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0" yWindow="0" windowWidth="20160" windowHeight="7590" tabRatio="819" firstSheet="1" activeTab="1"/>
  </bookViews>
  <sheets>
    <sheet name="temp_temp__" sheetId="45" state="veryHidden" r:id="rId1"/>
    <sheet name="说明" sheetId="47" r:id="rId2"/>
    <sheet name="TEST" sheetId="2" r:id="rId3"/>
    <sheet name="报表格式" sheetId="3" r:id="rId4"/>
    <sheet name="年初BS审定" sheetId="67" r:id="rId5"/>
    <sheet name="上年PL审定" sheetId="68" r:id="rId6"/>
    <sheet name="期初核对BS" sheetId="46" r:id="rId7"/>
    <sheet name="期初核对PL" sheetId="62" r:id="rId8"/>
    <sheet name="母公司BS汇总" sheetId="70" r:id="rId9"/>
    <sheet name="母公司PL汇总" sheetId="69" r:id="rId10"/>
    <sheet name="母公司CF汇总" sheetId="82" r:id="rId11"/>
    <sheet name="母公司汇总抵销" sheetId="73" r:id="rId12"/>
    <sheet name="母公司账项调整" sheetId="31" r:id="rId13"/>
    <sheet name="母公司报表调整" sheetId="32" r:id="rId14"/>
    <sheet name="母公司TB资产" sheetId="33" r:id="rId15"/>
    <sheet name="母公司TB负债" sheetId="34" r:id="rId16"/>
    <sheet name="母公司TB损益" sheetId="35" r:id="rId17"/>
    <sheet name="TB母公司CF" sheetId="83" r:id="rId18"/>
    <sheet name="合并BS汇总" sheetId="74" r:id="rId19"/>
    <sheet name="合并PL汇总" sheetId="75" r:id="rId20"/>
    <sheet name="合并CF汇总" sheetId="84" r:id="rId21"/>
    <sheet name="权益抵销" sheetId="76" r:id="rId22"/>
    <sheet name="往来交易抵销" sheetId="77" r:id="rId23"/>
    <sheet name="合并报表调整 " sheetId="78" r:id="rId24"/>
    <sheet name="合并TB资产" sheetId="79" r:id="rId25"/>
    <sheet name="合并TB负债" sheetId="80" r:id="rId26"/>
    <sheet name="合并TB损益" sheetId="81" r:id="rId27"/>
    <sheet name=" " sheetId="21" state="hidden" r:id="rId28"/>
    <sheet name="TB合并CF" sheetId="85" r:id="rId29"/>
    <sheet name="审定合并BS" sheetId="36" r:id="rId30"/>
    <sheet name="审定合并PL" sheetId="37" r:id="rId31"/>
    <sheet name="审定合并CF" sheetId="38" r:id="rId32"/>
    <sheet name="已审横向BS" sheetId="52" r:id="rId33"/>
    <sheet name="已审纵向BS" sheetId="54" r:id="rId34"/>
    <sheet name="已审横向PL" sheetId="53" r:id="rId35"/>
    <sheet name="已审纵向PL" sheetId="55" r:id="rId36"/>
    <sheet name="已审比率分析" sheetId="66" r:id="rId37"/>
    <sheet name="Q2-4 EPS-ROE(新)" sheetId="92" r:id="rId38"/>
    <sheet name="母已审横向BS" sheetId="87" r:id="rId39"/>
    <sheet name="母已审纵向BS" sheetId="89" r:id="rId40"/>
    <sheet name="母已审横向PL" sheetId="88" r:id="rId41"/>
    <sheet name="母已审纵向PL" sheetId="90" r:id="rId42"/>
    <sheet name="母已审比率分析" sheetId="91" r:id="rId43"/>
  </sheets>
  <externalReferences>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_13102" localSheetId="37">#REF!</definedName>
    <definedName name="_13102">#REF!</definedName>
    <definedName name="_13302" localSheetId="37">#REF!</definedName>
    <definedName name="_13302">#REF!</definedName>
    <definedName name="_13398" localSheetId="37">#REF!</definedName>
    <definedName name="_13398">#REF!</definedName>
    <definedName name="_18102" localSheetId="37">#REF!</definedName>
    <definedName name="_18102">#REF!</definedName>
    <definedName name="_18198" localSheetId="37">#REF!</definedName>
    <definedName name="_18198">#REF!</definedName>
    <definedName name="_1其他资产_开办费除外_明细表" localSheetId="37">#REF!</definedName>
    <definedName name="_2003附注">[1]附注汇总!$C$5:$AY$646</definedName>
    <definedName name="_2其他资产_开办费除外_明细表">#REF!</definedName>
    <definedName name="_xlnm._FilterDatabase" localSheetId="23" hidden="1">'合并报表调整 '!$A$4:$J$4</definedName>
    <definedName name="_xlnm._FilterDatabase" localSheetId="13" hidden="1">母公司报表调整!$A$4:$J$4</definedName>
    <definedName name="_xlnm._FilterDatabase" localSheetId="11" hidden="1">母公司汇总抵销!$A$4:$J$4</definedName>
    <definedName name="_xlnm._FilterDatabase" localSheetId="12" hidden="1">母公司账项调整!$A$4:$J$4</definedName>
    <definedName name="_xlnm._FilterDatabase" localSheetId="21" hidden="1">权益抵销!$A$4:$J$4</definedName>
    <definedName name="_xlnm._FilterDatabase" localSheetId="22" hidden="1">往来交易抵销!$A$4:$J$4</definedName>
    <definedName name="_scn11" localSheetId="37">#REF!</definedName>
    <definedName name="_scn11">#REF!</definedName>
    <definedName name="_scn15" localSheetId="37">#REF!</definedName>
    <definedName name="_scn15">#REF!</definedName>
    <definedName name="_scn16" localSheetId="37">#REF!</definedName>
    <definedName name="_scn16">#REF!</definedName>
    <definedName name="_scn17" localSheetId="37">#REF!</definedName>
    <definedName name="_scn17">#REF!</definedName>
    <definedName name="_scn19" localSheetId="37">#REF!</definedName>
    <definedName name="_scn19">#REF!</definedName>
    <definedName name="_scn2" localSheetId="37">#REF!</definedName>
    <definedName name="_scn2">#REF!</definedName>
    <definedName name="_scn20" localSheetId="37">#REF!</definedName>
    <definedName name="_scn20">#REF!</definedName>
    <definedName name="_scn3" localSheetId="37">#REF!</definedName>
    <definedName name="_scn3">#REF!</definedName>
    <definedName name="_scn4" localSheetId="37">#REF!</definedName>
    <definedName name="_scn4">#REF!</definedName>
    <definedName name="_scn5" localSheetId="37">#REF!</definedName>
    <definedName name="_scn5">#REF!</definedName>
    <definedName name="_scn6" localSheetId="37">#REF!</definedName>
    <definedName name="_scn6">#REF!</definedName>
    <definedName name="_scn7" localSheetId="37">#REF!</definedName>
    <definedName name="_scn7">#REF!</definedName>
    <definedName name="_scn8" localSheetId="37">#REF!</definedName>
    <definedName name="_scn8">#REF!</definedName>
    <definedName name="_scn9" localSheetId="37">#REF!</definedName>
    <definedName name="_scn9">#REF!</definedName>
    <definedName name="_scq1" localSheetId="37">#REF!</definedName>
    <definedName name="_scq1">#REF!</definedName>
    <definedName name="_scq11" localSheetId="37">#REF!</definedName>
    <definedName name="_scq11">#REF!</definedName>
    <definedName name="_scq15" localSheetId="37">#REF!</definedName>
    <definedName name="_scq15">#REF!</definedName>
    <definedName name="_scq16" localSheetId="37">#REF!</definedName>
    <definedName name="_scq16">#REF!</definedName>
    <definedName name="_scq17" localSheetId="37">#REF!</definedName>
    <definedName name="_scq17">#REF!</definedName>
    <definedName name="_scq19" localSheetId="37">#REF!</definedName>
    <definedName name="_scq19">#REF!</definedName>
    <definedName name="_scq2" localSheetId="37">#REF!</definedName>
    <definedName name="_scq2">#REF!</definedName>
    <definedName name="_scq20" localSheetId="37">#REF!</definedName>
    <definedName name="_scq20">#REF!</definedName>
    <definedName name="_scq3" localSheetId="37">#REF!</definedName>
    <definedName name="_scq3">#REF!</definedName>
    <definedName name="_scq4" localSheetId="37">#REF!</definedName>
    <definedName name="_scq4">#REF!</definedName>
    <definedName name="_scq5" localSheetId="37">#REF!</definedName>
    <definedName name="_scq5">#REF!</definedName>
    <definedName name="_scq6" localSheetId="37">#REF!</definedName>
    <definedName name="_scq6">#REF!</definedName>
    <definedName name="_scq7" localSheetId="37">#REF!</definedName>
    <definedName name="_scq7">#REF!</definedName>
    <definedName name="_scq8" localSheetId="37">#REF!</definedName>
    <definedName name="_scq8">#REF!</definedName>
    <definedName name="_scq9" localSheetId="37">#REF!</definedName>
    <definedName name="_scq9">#REF!</definedName>
    <definedName name="a">#REF!</definedName>
    <definedName name="Approach">[2]选择键!$G$2:$G$6</definedName>
    <definedName name="as">#REF!</definedName>
    <definedName name="AS2DocOpenMode" hidden="1">"AS2DocumentEdit"</definedName>
    <definedName name="AS2WebLink1">#REF!</definedName>
    <definedName name="AS2WebLink10">#REF!</definedName>
    <definedName name="AS2WebLink11">#REF!</definedName>
    <definedName name="AS2WebLink12">#REF!</definedName>
    <definedName name="AS2WebLink13">#REF!</definedName>
    <definedName name="AS2WebLink14">#REF!</definedName>
    <definedName name="AS2WebLink15">#REF!</definedName>
    <definedName name="AS2WebLink16">#REF!</definedName>
    <definedName name="AS2WebLink17">#REF!</definedName>
    <definedName name="AS2WebLink18">#REF!</definedName>
    <definedName name="AS2WebLink19">#REF!</definedName>
    <definedName name="AS2WebLink2">#REF!</definedName>
    <definedName name="AS2WebLink21">#REF!</definedName>
    <definedName name="AS2WebLink22">#REF!</definedName>
    <definedName name="AS2WebLink23">#REF!</definedName>
    <definedName name="AS2WebLink24">#REF!</definedName>
    <definedName name="AS2WebLink3">#REF!</definedName>
    <definedName name="AS2WebLink4">#REF!</definedName>
    <definedName name="AS2WebLink5">#REF!</definedName>
    <definedName name="AS2WebLink6">#REF!</definedName>
    <definedName name="AS2WebLink7">#REF!</definedName>
    <definedName name="AS2WebLink8">[3]Summary!#REF!</definedName>
    <definedName name="AS2WebLink9">#REF!</definedName>
    <definedName name="b">#REF!</definedName>
    <definedName name="baoji">[4]本期报表!$A$6:$D$139</definedName>
    <definedName name="bs" localSheetId="37" hidden="1">{#N/A,#N/A,FALSE,"BBPREP"}</definedName>
    <definedName name="bs" hidden="1">{#N/A,#N/A,FALSE,"BBPREP"}</definedName>
    <definedName name="bs_1" hidden="1">{#N/A,#N/A,FALSE,"BBPREP"}</definedName>
    <definedName name="bv">#REF!</definedName>
    <definedName name="Cash_Receipts">#REF!</definedName>
    <definedName name="CD">[2]选择键!$D$2:$D$5</definedName>
    <definedName name="CM">[2]选择键!$D$2:$D$4</definedName>
    <definedName name="CT">[2]选择键!$B$2:$B$10</definedName>
    <definedName name="Customer_Setup">#REF!</definedName>
    <definedName name="d">#REF!</definedName>
    <definedName name="data">[5]B!#REF!</definedName>
    <definedName name="_xlnm.Database" localSheetId="37">[6]B!#REF!</definedName>
    <definedName name="_xlnm.Database">[7]B!#REF!</definedName>
    <definedName name="DD">[2]选择键!$C$2:$C$4</definedName>
    <definedName name="df">#REF!</definedName>
    <definedName name="dfs">#REF!</definedName>
    <definedName name="e">#REF!</definedName>
    <definedName name="er">#REF!</definedName>
    <definedName name="eve">[8]XL4Poppy!$C$39</definedName>
    <definedName name="f">#REF!</definedName>
    <definedName name="fg">#REF!</definedName>
    <definedName name="fgd">#REF!</definedName>
    <definedName name="fgh">#REF!</definedName>
    <definedName name="g">#REF!</definedName>
    <definedName name="h">#REF!</definedName>
    <definedName name="hv" localSheetId="37">#REF!</definedName>
    <definedName name="hv">#REF!</definedName>
    <definedName name="i">#REF!</definedName>
    <definedName name="Invoicing">#REF!</definedName>
    <definedName name="jk">#REF!</definedName>
    <definedName name="k">#REF!</definedName>
    <definedName name="kj">#REF!</definedName>
    <definedName name="kklist">'[9]&lt;原报&gt;资产负债表'!$F$6:$F$110</definedName>
    <definedName name="kl">#REF!</definedName>
    <definedName name="KMDM">#REF!</definedName>
    <definedName name="L" localSheetId="37" hidden="1">{#N/A,#N/A,FALSE,"BBPREP"}</definedName>
    <definedName name="l">#REF!</definedName>
    <definedName name="lk">#REF!</definedName>
    <definedName name="m">#REF!</definedName>
    <definedName name="mn">#REF!</definedName>
    <definedName name="n">#REF!</definedName>
    <definedName name="nm">#REF!</definedName>
    <definedName name="o">#REF!</definedName>
    <definedName name="op">#REF!</definedName>
    <definedName name="p">#REF!</definedName>
    <definedName name="_xlnm.Print_Area" localSheetId="37">'Q2-4 EPS-ROE(新)'!$A$2:$I$40</definedName>
    <definedName name="_xlnm.Print_Area" localSheetId="28">TB合并CF!$A$1:$I$98</definedName>
    <definedName name="_xlnm.Print_Area" localSheetId="17">TB母公司CF!$A$1:$I$98</definedName>
    <definedName name="_xlnm.Print_Area" localSheetId="2">TEST!#REF!</definedName>
    <definedName name="_xlnm.Print_Area" localSheetId="3">报表格式!$A$1:$AA$179</definedName>
    <definedName name="_xlnm.Print_Area" localSheetId="25">合并TB负债!$A$1:$K$62</definedName>
    <definedName name="_xlnm.Print_Area" localSheetId="26">合并TB损益!$A$1:$K$67</definedName>
    <definedName name="_xlnm.Print_Area" localSheetId="24">合并TB资产!$A$1:$K$59</definedName>
    <definedName name="_xlnm.Print_Area" localSheetId="23">'合并报表调整 '!$A$1:$J$144</definedName>
    <definedName name="_xlnm.Print_Area" localSheetId="15">母公司TB负债!$A$1:$K$62</definedName>
    <definedName name="_xlnm.Print_Area" localSheetId="16">母公司TB损益!$A$1:$K$68</definedName>
    <definedName name="_xlnm.Print_Area" localSheetId="14">母公司TB资产!$A$1:$K$59</definedName>
    <definedName name="_xlnm.Print_Area" localSheetId="13">母公司报表调整!$A$1:$J$53</definedName>
    <definedName name="_xlnm.Print_Area" localSheetId="11">母公司汇总抵销!$A$1:$J$55</definedName>
    <definedName name="_xlnm.Print_Area" localSheetId="12">母公司账项调整!$A$1:$J$53</definedName>
    <definedName name="_xlnm.Print_Area" localSheetId="42">母已审比率分析!$A$1:$J$45</definedName>
    <definedName name="_xlnm.Print_Area" localSheetId="39">母已审纵向BS!$A$1:$R$51</definedName>
    <definedName name="_xlnm.Print_Area" localSheetId="6">期初核对BS!$A$1:$J$119</definedName>
    <definedName name="_xlnm.Print_Area" localSheetId="21">权益抵销!$A$1:$J$145</definedName>
    <definedName name="_xlnm.Print_Area" localSheetId="29">审定合并BS!$A$1:$K$123</definedName>
    <definedName name="_xlnm.Print_Area" localSheetId="31">审定合并CF!$A$1:$K$105</definedName>
    <definedName name="_xlnm.Print_Area" localSheetId="30">审定合并PL!$A$1:$K$91</definedName>
    <definedName name="_xlnm.Print_Area" localSheetId="22">往来交易抵销!$A$1:$J$144</definedName>
    <definedName name="_xlnm.Print_Area" localSheetId="36">已审比率分析!$A$1:$J$45</definedName>
    <definedName name="_xlnm.Print_Area" localSheetId="33">已审纵向BS!$A$1:$R$51</definedName>
    <definedName name="_xlnm.Print_Area">#REF!</definedName>
    <definedName name="Print_Area_MI">#REF!</definedName>
    <definedName name="_xlnm.Print_Titles" localSheetId="28">TB合并CF!$1:$5</definedName>
    <definedName name="_xlnm.Print_Titles" localSheetId="17">TB母公司CF!$1:$5</definedName>
    <definedName name="_xlnm.Print_Titles" localSheetId="3">报表格式!$1:$4</definedName>
    <definedName name="_xlnm.Print_Titles" localSheetId="25">合并TB负债!$1:$5</definedName>
    <definedName name="_xlnm.Print_Titles" localSheetId="26">合并TB损益!$1:$5</definedName>
    <definedName name="_xlnm.Print_Titles" localSheetId="24">合并TB资产!$1:$5</definedName>
    <definedName name="_xlnm.Print_Titles" localSheetId="23">'合并报表调整 '!$1:$4</definedName>
    <definedName name="_xlnm.Print_Titles" localSheetId="15">母公司TB负债!$1:$5</definedName>
    <definedName name="_xlnm.Print_Titles" localSheetId="16">母公司TB损益!$1:$5</definedName>
    <definedName name="_xlnm.Print_Titles" localSheetId="14">母公司TB资产!$1:$5</definedName>
    <definedName name="_xlnm.Print_Titles" localSheetId="42">母已审比率分析!$1:$5</definedName>
    <definedName name="_xlnm.Print_Titles" localSheetId="7">期初核对PL!#REF!</definedName>
    <definedName name="_xlnm.Print_Titles" localSheetId="21">权益抵销!$1:$4</definedName>
    <definedName name="_xlnm.Print_Titles" localSheetId="22">往来交易抵销!$1:$4</definedName>
    <definedName name="_xlnm.Print_Titles" localSheetId="36">已审比率分析!$1:$5</definedName>
    <definedName name="Priority">[2]选择键!$A$2:$A$5</definedName>
    <definedName name="q">#REF!</definedName>
    <definedName name="rt">#REF!</definedName>
    <definedName name="rty">#REF!</definedName>
    <definedName name="s" localSheetId="37" hidden="1">{#N/A,#N/A,FALSE,"BBPREP"}</definedName>
    <definedName name="s">#REF!</definedName>
    <definedName name="sa">#REF!</definedName>
    <definedName name="Sales_Adj">#REF!</definedName>
    <definedName name="scn" localSheetId="37">#REF!</definedName>
    <definedName name="scn">#REF!</definedName>
    <definedName name="scq" localSheetId="37">#REF!</definedName>
    <definedName name="scq">#REF!</definedName>
    <definedName name="sda">#REF!</definedName>
    <definedName name="Shipping">#REF!</definedName>
    <definedName name="Solution">[2]选择键!$E$13:$E$16</definedName>
    <definedName name="ss" localSheetId="37">#REF!</definedName>
    <definedName name="ss">#REF!</definedName>
    <definedName name="sss">[10]营业费用测试!#REF!</definedName>
    <definedName name="t" localSheetId="37" hidden="1">{#N/A,#N/A,FALSE,"BBPREP"}</definedName>
    <definedName name="t">#REF!</definedName>
    <definedName name="TextRefCopy1" localSheetId="37">#REF!</definedName>
    <definedName name="TextRefCopy1">#REF!</definedName>
    <definedName name="TextRefCopy10" localSheetId="37">#REF!</definedName>
    <definedName name="TextRefCopy10">#REF!</definedName>
    <definedName name="TextRefCopy100" localSheetId="37">#REF!</definedName>
    <definedName name="TextRefCopy100">#REF!</definedName>
    <definedName name="TextRefCopy101" localSheetId="37">#REF!</definedName>
    <definedName name="TextRefCopy101">#REF!</definedName>
    <definedName name="TextRefCopy102" localSheetId="37">#REF!</definedName>
    <definedName name="TextRefCopy102">#REF!</definedName>
    <definedName name="TextRefCopy103" localSheetId="37">#REF!</definedName>
    <definedName name="TextRefCopy103">#REF!</definedName>
    <definedName name="TextRefCopy104" localSheetId="37">#REF!</definedName>
    <definedName name="TextRefCopy104">#REF!</definedName>
    <definedName name="TextRefCopy105" localSheetId="37">#REF!</definedName>
    <definedName name="TextRefCopy105">#REF!</definedName>
    <definedName name="TextRefCopy106" localSheetId="37">#REF!</definedName>
    <definedName name="TextRefCopy106">#REF!</definedName>
    <definedName name="TextRefCopy107" localSheetId="37">#REF!</definedName>
    <definedName name="TextRefCopy107">#REF!</definedName>
    <definedName name="TextRefCopy108" localSheetId="37">#REF!</definedName>
    <definedName name="TextRefCopy108">#REF!</definedName>
    <definedName name="TextRefCopy109" localSheetId="37">#REF!</definedName>
    <definedName name="TextRefCopy109">#REF!</definedName>
    <definedName name="TextRefCopy11" localSheetId="37">#REF!</definedName>
    <definedName name="TextRefCopy11">#REF!</definedName>
    <definedName name="TextRefCopy110">'[11]35.1租赁明细'!#REF!</definedName>
    <definedName name="TextRefCopy112">#REF!</definedName>
    <definedName name="TextRefCopy113">'[11]35.1租赁明细'!#REF!</definedName>
    <definedName name="TextRefCopy12" localSheetId="37">#REF!</definedName>
    <definedName name="TextRefCopy12">#REF!</definedName>
    <definedName name="TextRefCopy120" localSheetId="37">#REF!</definedName>
    <definedName name="TextRefCopy120">#REF!</definedName>
    <definedName name="TextRefCopy121" localSheetId="37">#REF!</definedName>
    <definedName name="TextRefCopy121">#REF!</definedName>
    <definedName name="TextRefCopy122" localSheetId="37">#REF!</definedName>
    <definedName name="TextRefCopy122">#REF!</definedName>
    <definedName name="TextRefCopy123" localSheetId="37">#REF!</definedName>
    <definedName name="TextRefCopy123">#REF!</definedName>
    <definedName name="TextRefCopy124" localSheetId="37">#REF!</definedName>
    <definedName name="TextRefCopy124">#REF!</definedName>
    <definedName name="TextRefCopy125" localSheetId="37">#REF!</definedName>
    <definedName name="TextRefCopy125">#REF!</definedName>
    <definedName name="TextRefCopy126" localSheetId="37">#REF!</definedName>
    <definedName name="TextRefCopy126">#REF!</definedName>
    <definedName name="TextRefCopy127" localSheetId="37">#REF!</definedName>
    <definedName name="TextRefCopy127">#REF!</definedName>
    <definedName name="TextRefCopy128" localSheetId="37">#REF!</definedName>
    <definedName name="TextRefCopy128">#REF!</definedName>
    <definedName name="TextRefCopy129" localSheetId="37">#REF!</definedName>
    <definedName name="TextRefCopy129">#REF!</definedName>
    <definedName name="TextRefCopy13" localSheetId="37">#REF!</definedName>
    <definedName name="TextRefCopy13">#REF!</definedName>
    <definedName name="TextRefCopy130" localSheetId="37">#REF!</definedName>
    <definedName name="TextRefCopy130">#REF!</definedName>
    <definedName name="TextRefCopy131" localSheetId="37">#REF!</definedName>
    <definedName name="TextRefCopy131">#REF!</definedName>
    <definedName name="TextRefCopy137" localSheetId="37">#REF!</definedName>
    <definedName name="TextRefCopy137">#REF!</definedName>
    <definedName name="TextRefCopy14" localSheetId="37">#REF!</definedName>
    <definedName name="TextRefCopy14">#REF!</definedName>
    <definedName name="TextRefCopy149" localSheetId="37">#REF!</definedName>
    <definedName name="TextRefCopy149">#REF!</definedName>
    <definedName name="TextRefCopy15" localSheetId="37">#REF!</definedName>
    <definedName name="TextRefCopy15">#REF!</definedName>
    <definedName name="TextRefCopy150" localSheetId="37">#REF!</definedName>
    <definedName name="TextRefCopy150">#REF!</definedName>
    <definedName name="TextRefCopy151" localSheetId="37">#REF!</definedName>
    <definedName name="TextRefCopy151">#REF!</definedName>
    <definedName name="TextRefCopy16" localSheetId="37">#REF!</definedName>
    <definedName name="TextRefCopy16">#REF!</definedName>
    <definedName name="TextRefCopy17" localSheetId="37">#REF!</definedName>
    <definedName name="TextRefCopy17">#REF!</definedName>
    <definedName name="TextRefCopy18" localSheetId="37">#REF!</definedName>
    <definedName name="TextRefCopy18">#REF!</definedName>
    <definedName name="TextRefCopy19" localSheetId="37">#REF!</definedName>
    <definedName name="TextRefCopy19">#REF!</definedName>
    <definedName name="TextRefCopy190" localSheetId="37">#REF!</definedName>
    <definedName name="TextRefCopy190">#REF!</definedName>
    <definedName name="TextRefCopy191" localSheetId="37">#REF!</definedName>
    <definedName name="TextRefCopy191">#REF!</definedName>
    <definedName name="TextRefCopy2" localSheetId="37">#REF!</definedName>
    <definedName name="TextRefCopy2">#REF!</definedName>
    <definedName name="TextRefCopy20" localSheetId="37">#REF!</definedName>
    <definedName name="TextRefCopy20">#REF!</definedName>
    <definedName name="TextRefCopy21" localSheetId="37">#REF!</definedName>
    <definedName name="TextRefCopy21">#REF!</definedName>
    <definedName name="TextRefCopy22" localSheetId="37">#REF!</definedName>
    <definedName name="TextRefCopy22">#REF!</definedName>
    <definedName name="TextRefCopy221" localSheetId="37">'[12]Investment Property'!#REF!</definedName>
    <definedName name="TextRefCopy221">'[12]Investment Property'!#REF!</definedName>
    <definedName name="TextRefCopy222" localSheetId="37">'[12]Investment Property'!#REF!</definedName>
    <definedName name="TextRefCopy222">'[12]Investment Property'!#REF!</definedName>
    <definedName name="TextRefCopy23" localSheetId="37">#REF!</definedName>
    <definedName name="TextRefCopy23">#REF!</definedName>
    <definedName name="TextRefCopy24" localSheetId="37">#REF!</definedName>
    <definedName name="TextRefCopy24">#REF!</definedName>
    <definedName name="TextRefCopy25" localSheetId="37">#REF!</definedName>
    <definedName name="TextRefCopy25">#REF!</definedName>
    <definedName name="TextRefCopy26" localSheetId="37">#REF!</definedName>
    <definedName name="TextRefCopy26">#REF!</definedName>
    <definedName name="TextRefCopy27" localSheetId="37">#REF!</definedName>
    <definedName name="TextRefCopy27">#REF!</definedName>
    <definedName name="TextRefCopy28" localSheetId="37">#REF!</definedName>
    <definedName name="TextRefCopy28">#REF!</definedName>
    <definedName name="TextRefCopy29" localSheetId="37">#REF!</definedName>
    <definedName name="TextRefCopy29">#REF!</definedName>
    <definedName name="TextRefCopy3" localSheetId="37">#REF!</definedName>
    <definedName name="TextRefCopy3">#REF!</definedName>
    <definedName name="TextRefCopy30" localSheetId="37">#REF!</definedName>
    <definedName name="TextRefCopy30">#REF!</definedName>
    <definedName name="TextRefCopy31" localSheetId="37">#REF!</definedName>
    <definedName name="TextRefCopy31">#REF!</definedName>
    <definedName name="TextRefCopy32" localSheetId="37">#REF!</definedName>
    <definedName name="TextRefCopy32">#REF!</definedName>
    <definedName name="TextRefCopy33" localSheetId="37">#REF!</definedName>
    <definedName name="TextRefCopy33">#REF!</definedName>
    <definedName name="TextRefCopy34" localSheetId="37">#REF!</definedName>
    <definedName name="TextRefCopy34">#REF!</definedName>
    <definedName name="TextRefCopy35" localSheetId="37">#REF!</definedName>
    <definedName name="TextRefCopy35">#REF!</definedName>
    <definedName name="TextRefCopy36" localSheetId="37">#REF!</definedName>
    <definedName name="TextRefCopy36">#REF!</definedName>
    <definedName name="TextRefCopy37" localSheetId="37">#REF!</definedName>
    <definedName name="TextRefCopy37">#REF!</definedName>
    <definedName name="TextRefCopy38" localSheetId="37">#REF!</definedName>
    <definedName name="TextRefCopy38">#REF!</definedName>
    <definedName name="TextRefCopy39" localSheetId="37">#REF!</definedName>
    <definedName name="TextRefCopy39">#REF!</definedName>
    <definedName name="TextRefCopy4" localSheetId="37">#REF!</definedName>
    <definedName name="TextRefCopy4">#REF!</definedName>
    <definedName name="TextRefCopy40" localSheetId="37">#REF!</definedName>
    <definedName name="TextRefCopy40">#REF!</definedName>
    <definedName name="TextRefCopy41" localSheetId="37">#REF!</definedName>
    <definedName name="TextRefCopy41">#REF!</definedName>
    <definedName name="TextRefCopy42" localSheetId="37">#REF!</definedName>
    <definedName name="TextRefCopy42">#REF!</definedName>
    <definedName name="TextRefCopy43" localSheetId="37">#REF!</definedName>
    <definedName name="TextRefCopy43">#REF!</definedName>
    <definedName name="TextRefCopy44" localSheetId="37">#REF!</definedName>
    <definedName name="TextRefCopy44">#REF!</definedName>
    <definedName name="TextRefCopy45" localSheetId="37">#REF!</definedName>
    <definedName name="TextRefCopy45">#REF!</definedName>
    <definedName name="TextRefCopy46" localSheetId="37">#REF!</definedName>
    <definedName name="TextRefCopy46">#REF!</definedName>
    <definedName name="TextRefCopy47" localSheetId="37">#REF!</definedName>
    <definedName name="TextRefCopy47">#REF!</definedName>
    <definedName name="TextRefCopy48" localSheetId="37">#REF!</definedName>
    <definedName name="TextRefCopy48">#REF!</definedName>
    <definedName name="TextRefCopy49" localSheetId="37">#REF!</definedName>
    <definedName name="TextRefCopy49">#REF!</definedName>
    <definedName name="TextRefCopy5" localSheetId="37">#REF!</definedName>
    <definedName name="TextRefCopy5">#REF!</definedName>
    <definedName name="TextRefCopy50" localSheetId="37">#REF!</definedName>
    <definedName name="TextRefCopy50">#REF!</definedName>
    <definedName name="TextRefCopy51" localSheetId="37">#REF!</definedName>
    <definedName name="TextRefCopy51">#REF!</definedName>
    <definedName name="TextRefCopy52" localSheetId="37">#REF!</definedName>
    <definedName name="TextRefCopy52">#REF!</definedName>
    <definedName name="TextRefCopy53" localSheetId="37">#REF!</definedName>
    <definedName name="TextRefCopy53">#REF!</definedName>
    <definedName name="TextRefCopy54" localSheetId="37">#REF!</definedName>
    <definedName name="TextRefCopy54">#REF!</definedName>
    <definedName name="TextRefCopy55" localSheetId="37">#REF!</definedName>
    <definedName name="TextRefCopy55">#REF!</definedName>
    <definedName name="TextRefCopy56" localSheetId="37">#REF!</definedName>
    <definedName name="TextRefCopy56">#REF!</definedName>
    <definedName name="TextRefCopy57" localSheetId="37">#REF!</definedName>
    <definedName name="TextRefCopy57">#REF!</definedName>
    <definedName name="TextRefCopy58" localSheetId="37">#REF!</definedName>
    <definedName name="TextRefCopy58">#REF!</definedName>
    <definedName name="TextRefCopy59" localSheetId="37">#REF!</definedName>
    <definedName name="TextRefCopy59">#REF!</definedName>
    <definedName name="TextRefCopy6" localSheetId="37">#REF!</definedName>
    <definedName name="TextRefCopy6">#REF!</definedName>
    <definedName name="TextRefCopy60" localSheetId="37">#REF!</definedName>
    <definedName name="TextRefCopy60">#REF!</definedName>
    <definedName name="TextRefCopy61" localSheetId="37">#REF!</definedName>
    <definedName name="TextRefCopy61">#REF!</definedName>
    <definedName name="TextRefCopy62" localSheetId="37">#REF!</definedName>
    <definedName name="TextRefCopy62">#REF!</definedName>
    <definedName name="TextRefCopy63" localSheetId="37">#REF!</definedName>
    <definedName name="TextRefCopy63">#REF!</definedName>
    <definedName name="TextRefCopy64" localSheetId="37">#REF!</definedName>
    <definedName name="TextRefCopy64">#REF!</definedName>
    <definedName name="TextRefCopy65" localSheetId="37">#REF!</definedName>
    <definedName name="TextRefCopy65">#REF!</definedName>
    <definedName name="TextRefCopy66" localSheetId="37">#REF!</definedName>
    <definedName name="TextRefCopy66">#REF!</definedName>
    <definedName name="TextRefCopy67" localSheetId="37">#REF!</definedName>
    <definedName name="TextRefCopy67">#REF!</definedName>
    <definedName name="TextRefCopy68" localSheetId="37">#REF!</definedName>
    <definedName name="TextRefCopy68">#REF!</definedName>
    <definedName name="TextRefCopy69" localSheetId="37">#REF!</definedName>
    <definedName name="TextRefCopy69">#REF!</definedName>
    <definedName name="TextRefCopy7" localSheetId="37">#REF!</definedName>
    <definedName name="TextRefCopy7">#REF!</definedName>
    <definedName name="TextRefCopy70" localSheetId="37">#REF!</definedName>
    <definedName name="TextRefCopy70">#REF!</definedName>
    <definedName name="TextRefCopy71" localSheetId="37">#REF!</definedName>
    <definedName name="TextRefCopy71">#REF!</definedName>
    <definedName name="TextRefCopy72" localSheetId="37">#REF!</definedName>
    <definedName name="TextRefCopy72">#REF!</definedName>
    <definedName name="TextRefCopy73" localSheetId="37">#REF!</definedName>
    <definedName name="TextRefCopy73">#REF!</definedName>
    <definedName name="TextRefCopy74" localSheetId="37">#REF!</definedName>
    <definedName name="TextRefCopy74">#REF!</definedName>
    <definedName name="TextRefCopy75" localSheetId="37">#REF!</definedName>
    <definedName name="TextRefCopy75">#REF!</definedName>
    <definedName name="TextRefCopy76" localSheetId="37">#REF!</definedName>
    <definedName name="TextRefCopy76">#REF!</definedName>
    <definedName name="TextRefCopy77" localSheetId="37">#REF!</definedName>
    <definedName name="TextRefCopy77">#REF!</definedName>
    <definedName name="TextRefCopy78" localSheetId="37">#REF!</definedName>
    <definedName name="TextRefCopy78">#REF!</definedName>
    <definedName name="TextRefCopy79" localSheetId="37">#REF!</definedName>
    <definedName name="TextRefCopy79">#REF!</definedName>
    <definedName name="TextRefCopy8" localSheetId="37">#REF!</definedName>
    <definedName name="TextRefCopy8">#REF!</definedName>
    <definedName name="TextRefCopy80" localSheetId="37">#REF!</definedName>
    <definedName name="TextRefCopy80">#REF!</definedName>
    <definedName name="TextRefCopy81" localSheetId="37">#REF!</definedName>
    <definedName name="TextRefCopy81">#REF!</definedName>
    <definedName name="TextRefCopy82" localSheetId="37">#REF!</definedName>
    <definedName name="TextRefCopy82">#REF!</definedName>
    <definedName name="TextRefCopy83" localSheetId="37">#REF!</definedName>
    <definedName name="TextRefCopy83">#REF!</definedName>
    <definedName name="TextRefCopy84" localSheetId="37">#REF!</definedName>
    <definedName name="TextRefCopy84">#REF!</definedName>
    <definedName name="TextRefCopy85" localSheetId="37">#REF!</definedName>
    <definedName name="TextRefCopy85">#REF!</definedName>
    <definedName name="TextRefCopy86" localSheetId="37">#REF!</definedName>
    <definedName name="TextRefCopy86">#REF!</definedName>
    <definedName name="TextRefCopy87" localSheetId="37">#REF!</definedName>
    <definedName name="TextRefCopy87">#REF!</definedName>
    <definedName name="TextRefCopy88" localSheetId="37">#REF!</definedName>
    <definedName name="TextRefCopy88">#REF!</definedName>
    <definedName name="TextRefCopy89" localSheetId="37">#REF!</definedName>
    <definedName name="TextRefCopy89">#REF!</definedName>
    <definedName name="TextRefCopy9" localSheetId="37">#REF!</definedName>
    <definedName name="TextRefCopy9">#REF!</definedName>
    <definedName name="TextRefCopy90" localSheetId="37">#REF!</definedName>
    <definedName name="TextRefCopy90">#REF!</definedName>
    <definedName name="TextRefCopy91" localSheetId="37">#REF!</definedName>
    <definedName name="TextRefCopy91">#REF!</definedName>
    <definedName name="TextRefCopy92" localSheetId="37">#REF!</definedName>
    <definedName name="TextRefCopy92">#REF!</definedName>
    <definedName name="TextRefCopy93" localSheetId="37">#REF!</definedName>
    <definedName name="TextRefCopy93">#REF!</definedName>
    <definedName name="TextRefCopy94" localSheetId="37">#REF!</definedName>
    <definedName name="TextRefCopy94">#REF!</definedName>
    <definedName name="TextRefCopy95" localSheetId="37">#REF!</definedName>
    <definedName name="TextRefCopy95">#REF!</definedName>
    <definedName name="TextRefCopy96" localSheetId="37">#REF!</definedName>
    <definedName name="TextRefCopy96">#REF!</definedName>
    <definedName name="TextRefCopy97" localSheetId="37">#REF!</definedName>
    <definedName name="TextRefCopy97">#REF!</definedName>
    <definedName name="TextRefCopy98" localSheetId="37">#REF!</definedName>
    <definedName name="TextRefCopy98">#REF!</definedName>
    <definedName name="TextRefCopy99" localSheetId="37">#REF!</definedName>
    <definedName name="TextRefCopy99">#REF!</definedName>
    <definedName name="TextRefCopyRangeCount" hidden="1">136</definedName>
    <definedName name="Total_AR_Value">#REF!</definedName>
    <definedName name="ty">#REF!</definedName>
    <definedName name="u">#REF!</definedName>
    <definedName name="UFPrn20000310061247">#REF!</definedName>
    <definedName name="UFPrn20000324091925" localSheetId="37">#REF!</definedName>
    <definedName name="UFPrn20000324091925">#REF!</definedName>
    <definedName name="UFPrn20021008134934" localSheetId="37">#REF!</definedName>
    <definedName name="UFPrn20021008134934">#REF!</definedName>
    <definedName name="ui">#REF!</definedName>
    <definedName name="uio">#REF!</definedName>
    <definedName name="v">#REF!</definedName>
    <definedName name="vb">#REF!</definedName>
    <definedName name="w">#REF!</definedName>
    <definedName name="Warranty">#REF!</definedName>
    <definedName name="wer">#REF!</definedName>
    <definedName name="xc">#REF!</definedName>
    <definedName name="xcv">#REF!</definedName>
    <definedName name="XREF_COLUMN_1" localSheetId="37" hidden="1">#REF!</definedName>
    <definedName name="XREF_COLUMN_1" hidden="1">#REF!</definedName>
    <definedName name="XREF_COLUMN_2" hidden="1">[13]Breakdown!#REF!</definedName>
    <definedName name="XREF_COLUMN_3" hidden="1">#REF!</definedName>
    <definedName name="XREF_COLUMN_5" hidden="1">'[14]2004'!#REF!</definedName>
    <definedName name="XRefActiveRow" localSheetId="37" hidden="1">#REF!</definedName>
    <definedName name="XRefActiveRow" hidden="1">#REF!</definedName>
    <definedName name="XRefColumnsCount" hidden="1">2</definedName>
    <definedName name="XRefCopy1" localSheetId="37" hidden="1">#REF!</definedName>
    <definedName name="XRefCopy1" hidden="1">#REF!</definedName>
    <definedName name="XRefCopy1Row" localSheetId="37" hidden="1">#REF!</definedName>
    <definedName name="XRefCopy1Row" hidden="1">#REF!</definedName>
    <definedName name="XRefCopy2Row" localSheetId="37"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y">#REF!</definedName>
    <definedName name="yu">#REF!</definedName>
    <definedName name="Z_11225121_1664_11D5_91ED_001060808604_.wvu.PrintArea" localSheetId="29" hidden="1">审定合并BS!$A$1:$K$59</definedName>
    <definedName name="Z_38A85FE0_3960_11D5_8724_5254293012F4_.wvu.PrintArea" localSheetId="29" hidden="1">审定合并BS!$A$1:$K$59</definedName>
    <definedName name="Z_9A8CA204_20A8_11D5_8CC7_F77182B33125_.wvu.Cols" localSheetId="2" hidden="1">TEST!$G:$I</definedName>
    <definedName name="Z_9A8CA204_20A8_11D5_8CC7_F77182B33125_.wvu.PrintArea" localSheetId="2" hidden="1">TEST!#REF!</definedName>
    <definedName name="Z_9A8CA204_20A8_11D5_8CC7_F77182B33125_.wvu.PrintArea" localSheetId="3" hidden="1">报表格式!$A$1:$W$54</definedName>
    <definedName name="Z_9A8CA204_20A8_11D5_8CC7_F77182B33125_.wvu.PrintTitles" localSheetId="3" hidden="1">报表格式!$1:$4</definedName>
    <definedName name="Z_9A8CA204_20A8_11D5_8CC7_F77182B33125_.wvu.Rows" localSheetId="38" hidden="1">母已审横向BS!#REF!,母已审横向BS!#REF!</definedName>
    <definedName name="Z_9A8CA204_20A8_11D5_8CC7_F77182B33125_.wvu.Rows" localSheetId="40" hidden="1">母已审横向PL!#REF!,母已审横向PL!$14:$22,母已审横向PL!$29:$29,母已审横向PL!$41:$41</definedName>
    <definedName name="Z_9A8CA204_20A8_11D5_8CC7_F77182B33125_.wvu.Rows" localSheetId="39" hidden="1">母已审纵向BS!#REF!,母已审纵向BS!#REF!</definedName>
    <definedName name="Z_9A8CA204_20A8_11D5_8CC7_F77182B33125_.wvu.Rows" localSheetId="41" hidden="1">母已审纵向PL!#REF!,母已审纵向PL!$14:$22,母已审纵向PL!$29:$29,母已审纵向PL!$41:$41</definedName>
    <definedName name="Z_9A8CA204_20A8_11D5_8CC7_F77182B33125_.wvu.Rows" localSheetId="6" hidden="1">期初核对BS!$3:$3,期初核对BS!#REF!</definedName>
    <definedName name="Z_9A8CA204_20A8_11D5_8CC7_F77182B33125_.wvu.Rows" localSheetId="7" hidden="1">期初核对PL!#REF!,期初核对PL!#REF!</definedName>
    <definedName name="Z_9A8CA204_20A8_11D5_8CC7_F77182B33125_.wvu.Rows" localSheetId="32" hidden="1">已审横向BS!#REF!,已审横向BS!#REF!</definedName>
    <definedName name="Z_9A8CA204_20A8_11D5_8CC7_F77182B33125_.wvu.Rows" localSheetId="34" hidden="1">已审横向PL!#REF!,已审横向PL!$14:$22,已审横向PL!$29:$29,已审横向PL!$41:$41</definedName>
    <definedName name="Z_9A8CA204_20A8_11D5_8CC7_F77182B33125_.wvu.Rows" localSheetId="33" hidden="1">已审纵向BS!#REF!,已审纵向BS!#REF!</definedName>
    <definedName name="Z_9A8CA204_20A8_11D5_8CC7_F77182B33125_.wvu.Rows" localSheetId="35" hidden="1">已审纵向PL!#REF!,已审纵向PL!$14:$22,已审纵向PL!$29:$29,已审纵向PL!$41:$41</definedName>
    <definedName name="Z_B17549A0_198B_11D5_A231_0080C88DD54C_.wvu.PrintArea" localSheetId="29" hidden="1">审定合并BS!$A$1:$K$60</definedName>
    <definedName name="Z_B238A4E0_5F40_11D5_A601_00A0C939A085_.wvu.PrintArea" localSheetId="29" hidden="1">审定合并BS!$A$1:$K$59</definedName>
    <definedName name="zhjjl">#REF!</definedName>
    <definedName name="巴拉贡库">#REF!</definedName>
    <definedName name="包头2">[15]本期报表!$A$6:$D$139</definedName>
    <definedName name="包头报表">[15]本期报表!$A$6:$D$139</definedName>
    <definedName name="包头报表1">[15]本期报表!$A$6:$D$139</definedName>
    <definedName name="本期报表">[16]本期报表!$A$6:$D$139</definedName>
    <definedName name="本循环科目" hidden="1">[17]索引!$D$15:$D$76</definedName>
    <definedName name="表">#REF!</definedName>
    <definedName name="场地租赁合同书">#REF!</definedName>
    <definedName name="场内联营厂商合同书">#REF!</definedName>
    <definedName name="存货93期初" localSheetId="37">[18]企业表一!$C$7</definedName>
    <definedName name="存货93期初">[19]企业表一!$C$7</definedName>
    <definedName name="存货93期末" localSheetId="37">[18]企业表一!$D$7</definedName>
    <definedName name="存货93期末">[19]企业表一!$D$7</definedName>
    <definedName name="存货94期初" localSheetId="37">[18]企业表一!$E$7</definedName>
    <definedName name="存货94期初">[19]企业表一!$E$7</definedName>
    <definedName name="存货94期末" localSheetId="37">[18]企业表一!$F$7</definedName>
    <definedName name="存货94期末">[19]企业表一!$F$7</definedName>
    <definedName name="存货95期初" localSheetId="37">[18]企业表一!$G$7</definedName>
    <definedName name="存货95期初">[19]企业表一!$G$7</definedName>
    <definedName name="存货95期末" localSheetId="37">[18]企业表一!$H$7</definedName>
    <definedName name="存货95期末">[19]企业表一!$H$7</definedName>
    <definedName name="待处理固定资产净损失明细表" localSheetId="37">#REF!</definedName>
    <definedName name="待处理固定资产净损失明细表">#REF!</definedName>
    <definedName name="东胜库">#REF!</definedName>
    <definedName name="短期投资_债券_明细表" localSheetId="37">#REF!</definedName>
    <definedName name="短期投资_债券_明细表">#REF!</definedName>
    <definedName name="负债合计93期末" localSheetId="37">[18]企业表一!$D$17</definedName>
    <definedName name="负债合计93期末">[19]企业表一!$D$17</definedName>
    <definedName name="负债合计94期末" localSheetId="37">[18]企业表一!$F$17</definedName>
    <definedName name="负债合计94期末">[19]企业表一!$F$17</definedName>
    <definedName name="负债合计95期末" localSheetId="37">[18]企业表一!$H$17</definedName>
    <definedName name="负债合计95期末">[19]企业表一!$H$17</definedName>
    <definedName name="管理费用明细表" localSheetId="37">#REF!</definedName>
    <definedName name="管理费用明细表">#REF!</definedName>
    <definedName name="广州库">[20]广州库!$A$1:$O$2970</definedName>
    <definedName name="合并价差明细表" localSheetId="37">#REF!</definedName>
    <definedName name="合并价差明细表">#REF!</definedName>
    <definedName name="汇率" localSheetId="37">#REF!</definedName>
    <definedName name="汇率">#REF!</definedName>
    <definedName name="截止日">[21]表头信息!$B$3</definedName>
    <definedName name="借贷">[22]科目名称表!$A$2:$A$3</definedName>
    <definedName name="进项税">#REF!</definedName>
    <definedName name="净_利_润93" localSheetId="37">'[18]M-5C'!$B$24</definedName>
    <definedName name="净_利_润93">'[19]M-5C'!$B$24</definedName>
    <definedName name="净_利_润94" localSheetId="37">'[18]M-5C'!$D$24</definedName>
    <definedName name="净_利_润94">'[19]M-5C'!$D$24</definedName>
    <definedName name="净_利_润95" localSheetId="37">'[18]M-5C'!$F$24</definedName>
    <definedName name="净_利_润95">'[19]M-5C'!$F$24</definedName>
    <definedName name="净资产合计93期初" localSheetId="37">[18]企业表一!$C$20</definedName>
    <definedName name="净资产合计93期初">[19]企业表一!$C$20</definedName>
    <definedName name="净资产合计93期末" localSheetId="37">[18]企业表一!$D$20</definedName>
    <definedName name="净资产合计93期末">[19]企业表一!$D$20</definedName>
    <definedName name="净资产合计94期初" localSheetId="37">[18]企业表一!$E$20</definedName>
    <definedName name="净资产合计94期初">[19]企业表一!$E$20</definedName>
    <definedName name="净资产合计94期末" localSheetId="37">[18]企业表一!$F$20</definedName>
    <definedName name="净资产合计94期末">[19]企业表一!$F$20</definedName>
    <definedName name="净资产合计95期初" localSheetId="37">[18]企业表一!$G$20</definedName>
    <definedName name="净资产合计95期初">[19]企业表一!$G$20</definedName>
    <definedName name="净资产合计95期末" localSheetId="37">[18]企业表一!$H$20</definedName>
    <definedName name="净资产合计95期末">[19]企业表一!$H$20</definedName>
    <definedName name="开办费明细表" localSheetId="37">#REF!</definedName>
    <definedName name="开办费明细表">#REF!</definedName>
    <definedName name="累计折旧明细表" localSheetId="37">#REF!</definedName>
    <definedName name="累计折旧明细表">#REF!</definedName>
    <definedName name="利_润_总_额93" localSheetId="37">'[18]M-5A'!$B$10</definedName>
    <definedName name="利_润_总_额93">'[19]M-5A'!$B$10</definedName>
    <definedName name="利_润_总_额94" localSheetId="37">'[18]M-5A'!$C$10</definedName>
    <definedName name="利_润_总_额94">'[19]M-5A'!$C$10</definedName>
    <definedName name="利_润_总_额95" localSheetId="37">'[18]M-5A'!$D$10</definedName>
    <definedName name="利_润_总_额95">'[19]M-5A'!$D$10</definedName>
    <definedName name="流_动_资_产93" localSheetId="37">'[18]M-5A'!$B$15</definedName>
    <definedName name="流_动_资_产93">'[19]M-5A'!$B$15</definedName>
    <definedName name="流_动_资_产94" localSheetId="37">'[18]M-5A'!$C$15</definedName>
    <definedName name="流_动_资_产94">'[19]M-5A'!$C$15</definedName>
    <definedName name="流_动_资_产95" localSheetId="37">'[18]M-5A'!$D$15</definedName>
    <definedName name="流_动_资_产95">'[19]M-5A'!$D$15</definedName>
    <definedName name="流动负债93期末" localSheetId="37">[18]企业表一!$D$15</definedName>
    <definedName name="流动负债93期末">[19]企业表一!$D$15</definedName>
    <definedName name="流动负债94期末" localSheetId="37">[18]企业表一!$F$15</definedName>
    <definedName name="流动负债94期末">[19]企业表一!$F$15</definedName>
    <definedName name="流动负债95期末" localSheetId="37">[18]企业表一!$H$15</definedName>
    <definedName name="流动负债95期末">[19]企业表一!$H$15</definedName>
    <definedName name="评估汇总项目">[23]项目信息!#REF!</definedName>
    <definedName name="其他货币资金明细表" localSheetId="37">#REF!</definedName>
    <definedName name="其他货币资金明细表">#REF!</definedName>
    <definedName name="其他未交款明细表" localSheetId="37">#REF!</definedName>
    <definedName name="其他未交款明细表">#REF!</definedName>
    <definedName name="其他应付款明细表" localSheetId="37">#REF!</definedName>
    <definedName name="其他应付款明细表">#REF!</definedName>
    <definedName name="其他应收款明细表" localSheetId="37">#REF!</definedName>
    <definedName name="其他应收款明细表">#REF!</definedName>
    <definedName name="上期报表">[24]上期报表!$A$6:$D$150</definedName>
    <definedName name="生产成本2">[25]生产成本账!$A$2:$D$235</definedName>
    <definedName name="生产列1" localSheetId="37">#REF!</definedName>
    <definedName name="生产列1">#REF!</definedName>
    <definedName name="生产列11" localSheetId="37">#REF!</definedName>
    <definedName name="生产列11">#REF!</definedName>
    <definedName name="生产列15" localSheetId="37">#REF!</definedName>
    <definedName name="生产列15">#REF!</definedName>
    <definedName name="生产列16" localSheetId="37">#REF!</definedName>
    <definedName name="生产列16">#REF!</definedName>
    <definedName name="生产列17" localSheetId="37">#REF!</definedName>
    <definedName name="生产列17">#REF!</definedName>
    <definedName name="生产列19" localSheetId="37">#REF!</definedName>
    <definedName name="生产列19">#REF!</definedName>
    <definedName name="生产列2" localSheetId="37">#REF!</definedName>
    <definedName name="生产列2">#REF!</definedName>
    <definedName name="生产列20" localSheetId="37">#REF!</definedName>
    <definedName name="生产列20">#REF!</definedName>
    <definedName name="生产列3" localSheetId="37">#REF!</definedName>
    <definedName name="生产列3">#REF!</definedName>
    <definedName name="生产列4" localSheetId="37">#REF!</definedName>
    <definedName name="生产列4">#REF!</definedName>
    <definedName name="生产列5" localSheetId="37">#REF!</definedName>
    <definedName name="生产列5">#REF!</definedName>
    <definedName name="生产列6" localSheetId="37">#REF!</definedName>
    <definedName name="生产列6">#REF!</definedName>
    <definedName name="生产列7" localSheetId="37">#REF!</definedName>
    <definedName name="生产列7">#REF!</definedName>
    <definedName name="生产列8" localSheetId="37">#REF!</definedName>
    <definedName name="生产列8">#REF!</definedName>
    <definedName name="生产列9" localSheetId="37">#REF!</definedName>
    <definedName name="生产列9">#REF!</definedName>
    <definedName name="生产期" localSheetId="37">#REF!</definedName>
    <definedName name="生产期">#REF!</definedName>
    <definedName name="生产期1" localSheetId="37">#REF!</definedName>
    <definedName name="生产期1">#REF!</definedName>
    <definedName name="生产期11" localSheetId="37">#REF!</definedName>
    <definedName name="生产期11">#REF!</definedName>
    <definedName name="生产期15" localSheetId="37">#REF!</definedName>
    <definedName name="生产期15">#REF!</definedName>
    <definedName name="生产期16" localSheetId="37">#REF!</definedName>
    <definedName name="生产期16">#REF!</definedName>
    <definedName name="生产期17" localSheetId="37">#REF!</definedName>
    <definedName name="生产期17">#REF!</definedName>
    <definedName name="生产期19" localSheetId="37">#REF!</definedName>
    <definedName name="生产期19">#REF!</definedName>
    <definedName name="生产期2" localSheetId="37">#REF!</definedName>
    <definedName name="生产期2">#REF!</definedName>
    <definedName name="生产期20" localSheetId="37">#REF!</definedName>
    <definedName name="生产期20">#REF!</definedName>
    <definedName name="生产期3" localSheetId="37">#REF!</definedName>
    <definedName name="生产期3">#REF!</definedName>
    <definedName name="生产期4" localSheetId="37">#REF!</definedName>
    <definedName name="生产期4">#REF!</definedName>
    <definedName name="生产期5" localSheetId="37">#REF!</definedName>
    <definedName name="生产期5">#REF!</definedName>
    <definedName name="生产期6" localSheetId="37">#REF!</definedName>
    <definedName name="生产期6">#REF!</definedName>
    <definedName name="生产期7" localSheetId="37">#REF!</definedName>
    <definedName name="生产期7">#REF!</definedName>
    <definedName name="生产期8" localSheetId="37">#REF!</definedName>
    <definedName name="生产期8">#REF!</definedName>
    <definedName name="生产期9" localSheetId="37">#REF!</definedName>
    <definedName name="生产期9">#REF!</definedName>
    <definedName name="收入对">#REF!</definedName>
    <definedName name="宋体">[26]现金!#REF!</definedName>
    <definedName name="速_动_资_产93" localSheetId="37">'[18]M-5A'!$B$14</definedName>
    <definedName name="速_动_资_产93">'[19]M-5A'!$B$14</definedName>
    <definedName name="速_动_资_产94" localSheetId="37">'[18]M-5A'!$C$14</definedName>
    <definedName name="速_动_资_产94">'[19]M-5A'!$C$14</definedName>
    <definedName name="速_动_资_产95" localSheetId="37">'[18]M-5A'!$D$14</definedName>
    <definedName name="速_动_资_产95">'[19]M-5A'!$D$14</definedName>
    <definedName name="未">[27]本期报表!$A$6:$D$139</definedName>
    <definedName name="未交税金明细表" localSheetId="37">#REF!</definedName>
    <definedName name="未交税金明细表">#REF!</definedName>
    <definedName name="温">[28]本期报表!$A$6:$D$150</definedName>
    <definedName name="无对应明细表的报表项目" localSheetId="37">#REF!</definedName>
    <definedName name="无对应明细表的报表项目">#REF!</definedName>
    <definedName name="已交增值税">#REF!</definedName>
    <definedName name="以前年度损益调整明细表" localSheetId="37">#REF!</definedName>
    <definedName name="以前年度损益调整明细表">#REF!</definedName>
    <definedName name="银行存款" localSheetId="37">[29]银行借款询证!#REF!</definedName>
    <definedName name="银行存款">[30]银行借款询证!#REF!</definedName>
    <definedName name="营业外支出明细表" localSheetId="37">#REF!</definedName>
    <definedName name="营业外支出明细表">#REF!</definedName>
    <definedName name="应付福利费">#REF!</definedName>
    <definedName name="应付工资">#REF!</definedName>
    <definedName name="应付票据明细表" localSheetId="37">#REF!</definedName>
    <definedName name="应付票据明细表">#REF!</definedName>
    <definedName name="应收帐款93期初" localSheetId="37">[18]企业表一!$C$6</definedName>
    <definedName name="应收帐款93期初">[19]企业表一!$C$6</definedName>
    <definedName name="应收帐款93期末" localSheetId="37">[18]企业表一!$D$6</definedName>
    <definedName name="应收帐款93期末">[19]企业表一!$D$6</definedName>
    <definedName name="应收帐款94期初" localSheetId="37">[18]企业表一!$E$6</definedName>
    <definedName name="应收帐款94期初">[19]企业表一!$E$6</definedName>
    <definedName name="应收帐款94期末" localSheetId="37">[18]企业表一!$F$6</definedName>
    <definedName name="应收帐款94期末">[19]企业表一!$F$6</definedName>
    <definedName name="应收帐款95期初" localSheetId="37">[18]企业表一!$G$6</definedName>
    <definedName name="应收帐款95期初">[19]企业表一!$G$6</definedName>
    <definedName name="应收帐款95期末" localSheetId="37">[18]企业表一!$H$6</definedName>
    <definedName name="应收帐款95期末">[19]企业表一!$H$6</definedName>
    <definedName name="预付帐款明细表" localSheetId="37">#REF!</definedName>
    <definedName name="预付帐款明细表">#REF!</definedName>
    <definedName name="预收货款明细表" localSheetId="37">#REF!</definedName>
    <definedName name="预收货款明细表">#REF!</definedName>
    <definedName name="预提">#REF!</definedName>
    <definedName name="预提费用">#REF!</definedName>
    <definedName name="预提费用明细表" localSheetId="37">#REF!</definedName>
    <definedName name="预提费用明细表">#REF!</definedName>
    <definedName name="资产合计93期初" localSheetId="37">[18]企业表一!$C$14</definedName>
    <definedName name="资产合计93期初">[19]企业表一!$C$14</definedName>
    <definedName name="资产合计93期末" localSheetId="37">[18]企业表一!$D$14</definedName>
    <definedName name="资产合计93期末">[19]企业表一!$D$14</definedName>
    <definedName name="资产合计94期初" localSheetId="37">[18]企业表一!$E$14</definedName>
    <definedName name="资产合计94期初">[19]企业表一!$E$14</definedName>
    <definedName name="资产合计94期末" localSheetId="37">[18]企业表一!$F$14</definedName>
    <definedName name="资产合计94期末">[19]企业表一!$F$14</definedName>
    <definedName name="资产合计95期初" localSheetId="37">[18]企业表一!$G$14</definedName>
    <definedName name="资产合计95期初">[19]企业表一!$G$14</definedName>
    <definedName name="资产合计95期末" localSheetId="37">[18]企业表一!$H$14</definedName>
    <definedName name="资产合计95期末">[19]企业表一!$H$14</definedName>
    <definedName name="전">#REF!</definedName>
    <definedName name="주택사업본부">#REF!</definedName>
    <definedName name="철구사업본부">#REF!</definedName>
  </definedNames>
  <calcPr calcId="145621"/>
  <customWorkbookViews>
    <customWorkbookView name="标准部 - 个人视面" guid="{9A8CA204-20A8-11D5-8CC7-F77182B33125}" mergeInterval="0" personalView="1" maximized="1" windowWidth="796" windowHeight="438" tabRatio="815" activeSheetId="19"/>
  </customWorkbookViews>
</workbook>
</file>

<file path=xl/calcChain.xml><?xml version="1.0" encoding="utf-8"?>
<calcChain xmlns="http://schemas.openxmlformats.org/spreadsheetml/2006/main">
  <c r="A15" i="90" l="1"/>
  <c r="A16" i="90"/>
  <c r="A17" i="90"/>
  <c r="A18" i="90"/>
  <c r="A19" i="90"/>
  <c r="A20" i="90"/>
  <c r="A21" i="90"/>
  <c r="A22" i="90"/>
  <c r="A9" i="90"/>
  <c r="A10" i="90"/>
  <c r="A11" i="90"/>
  <c r="A15" i="88"/>
  <c r="A16" i="88"/>
  <c r="A17" i="88"/>
  <c r="A18" i="88"/>
  <c r="A19" i="88"/>
  <c r="A20" i="88"/>
  <c r="A21" i="88"/>
  <c r="A22" i="88"/>
  <c r="A9" i="88"/>
  <c r="A10" i="88"/>
  <c r="A11" i="88"/>
  <c r="A12" i="88"/>
  <c r="J58" i="89"/>
  <c r="J59" i="89"/>
  <c r="J26" i="89"/>
  <c r="J27" i="89"/>
  <c r="J28" i="89"/>
  <c r="J29" i="89"/>
  <c r="J30" i="89"/>
  <c r="J18" i="89"/>
  <c r="J19" i="89"/>
  <c r="J20" i="89"/>
  <c r="J9" i="89"/>
  <c r="J10" i="89"/>
  <c r="J11" i="89"/>
  <c r="J12" i="89"/>
  <c r="A34" i="89"/>
  <c r="A24" i="89"/>
  <c r="A18" i="89"/>
  <c r="A19" i="89"/>
  <c r="A20" i="89"/>
  <c r="A21" i="89"/>
  <c r="A9" i="89"/>
  <c r="A10" i="89"/>
  <c r="A11" i="89"/>
  <c r="I58" i="87"/>
  <c r="I59" i="87"/>
  <c r="I26" i="87"/>
  <c r="I27" i="87"/>
  <c r="I28" i="87"/>
  <c r="I29" i="87"/>
  <c r="I30" i="87"/>
  <c r="I18" i="87"/>
  <c r="I19" i="87"/>
  <c r="I20" i="87"/>
  <c r="I9" i="87"/>
  <c r="I10" i="87"/>
  <c r="I11" i="87"/>
  <c r="I12" i="87"/>
  <c r="A34" i="87"/>
  <c r="A24" i="87"/>
  <c r="A18" i="87"/>
  <c r="A19" i="87"/>
  <c r="A20" i="87"/>
  <c r="A21" i="87"/>
  <c r="A9" i="87"/>
  <c r="A10" i="87"/>
  <c r="A11" i="87"/>
  <c r="A15" i="55"/>
  <c r="A16" i="55"/>
  <c r="A17" i="55"/>
  <c r="A18" i="55"/>
  <c r="A19" i="55"/>
  <c r="A20" i="55"/>
  <c r="A21" i="55"/>
  <c r="A22" i="55"/>
  <c r="A9" i="55"/>
  <c r="A10" i="55"/>
  <c r="A11" i="55"/>
  <c r="A12" i="55"/>
  <c r="A15" i="53"/>
  <c r="A16" i="53"/>
  <c r="A17" i="53"/>
  <c r="A18" i="53"/>
  <c r="A19" i="53"/>
  <c r="A20" i="53"/>
  <c r="A21" i="53"/>
  <c r="A9" i="53"/>
  <c r="A10" i="53"/>
  <c r="A11" i="53"/>
  <c r="J59" i="54"/>
  <c r="J58" i="54"/>
  <c r="J26" i="54"/>
  <c r="J27" i="54"/>
  <c r="J28" i="54"/>
  <c r="J29" i="54"/>
  <c r="J30" i="54"/>
  <c r="J18" i="54"/>
  <c r="J19" i="54"/>
  <c r="J20" i="54"/>
  <c r="J9" i="54"/>
  <c r="J10" i="54"/>
  <c r="J11" i="54"/>
  <c r="J12" i="54"/>
  <c r="A34" i="54"/>
  <c r="A24" i="54"/>
  <c r="A25" i="54"/>
  <c r="A18" i="54"/>
  <c r="A19" i="54"/>
  <c r="A20" i="54"/>
  <c r="A21" i="54"/>
  <c r="A9" i="54"/>
  <c r="A10" i="54"/>
  <c r="A11" i="54"/>
  <c r="I58" i="52"/>
  <c r="I59" i="52"/>
  <c r="I26" i="52"/>
  <c r="I27" i="52"/>
  <c r="I28" i="52"/>
  <c r="I29" i="52"/>
  <c r="I30" i="52"/>
  <c r="I18" i="52"/>
  <c r="I19" i="52"/>
  <c r="I20" i="52"/>
  <c r="I9" i="52"/>
  <c r="I10" i="52"/>
  <c r="I11" i="52"/>
  <c r="I12" i="52"/>
  <c r="A34" i="52"/>
  <c r="A24" i="52"/>
  <c r="A18" i="52"/>
  <c r="A19" i="52"/>
  <c r="A20" i="52"/>
  <c r="A21" i="52"/>
  <c r="A11" i="52"/>
  <c r="A9" i="52"/>
  <c r="A10" i="52"/>
  <c r="A41" i="38"/>
  <c r="C41" i="38"/>
  <c r="H41" i="38"/>
  <c r="A22" i="38"/>
  <c r="C22" i="38"/>
  <c r="H22" i="38"/>
  <c r="A23" i="38"/>
  <c r="C23" i="38"/>
  <c r="H23" i="38"/>
  <c r="A24" i="38"/>
  <c r="C24" i="38"/>
  <c r="H24" i="38"/>
  <c r="A25" i="38"/>
  <c r="C25" i="38"/>
  <c r="H25" i="38"/>
  <c r="A26" i="38"/>
  <c r="C26" i="38"/>
  <c r="H26" i="38"/>
  <c r="A8" i="38"/>
  <c r="C8" i="38"/>
  <c r="H8" i="38"/>
  <c r="A9" i="38"/>
  <c r="C9" i="38"/>
  <c r="H9" i="38"/>
  <c r="A10" i="38"/>
  <c r="C10" i="38"/>
  <c r="H10" i="38"/>
  <c r="A11" i="38"/>
  <c r="C11" i="38"/>
  <c r="H11" i="38"/>
  <c r="A12" i="38"/>
  <c r="C12" i="38"/>
  <c r="H12" i="38"/>
  <c r="A13" i="38"/>
  <c r="C13" i="38"/>
  <c r="H13" i="38"/>
  <c r="A14" i="38"/>
  <c r="C14" i="38"/>
  <c r="H14" i="38"/>
  <c r="A15" i="38"/>
  <c r="C15" i="38"/>
  <c r="H15" i="38"/>
  <c r="A16" i="38"/>
  <c r="C16" i="38"/>
  <c r="H16" i="38"/>
  <c r="A17" i="38"/>
  <c r="C17" i="38"/>
  <c r="H17" i="38"/>
  <c r="A14" i="37"/>
  <c r="A15" i="37"/>
  <c r="A16" i="37"/>
  <c r="A17" i="37"/>
  <c r="A18" i="37"/>
  <c r="A19" i="37"/>
  <c r="A20" i="37"/>
  <c r="A8" i="37"/>
  <c r="A9" i="37"/>
  <c r="A10" i="37"/>
  <c r="A117" i="36"/>
  <c r="A85" i="36"/>
  <c r="A86" i="36"/>
  <c r="A87" i="36"/>
  <c r="A88" i="36"/>
  <c r="A77" i="36"/>
  <c r="A78" i="36"/>
  <c r="A68" i="36"/>
  <c r="A69" i="36"/>
  <c r="A70" i="36"/>
  <c r="A33" i="36"/>
  <c r="A23" i="36"/>
  <c r="A17" i="36"/>
  <c r="A18" i="36"/>
  <c r="A19" i="36"/>
  <c r="A8" i="36"/>
  <c r="A9" i="36"/>
  <c r="A41" i="85"/>
  <c r="B41" i="85"/>
  <c r="G41" i="85" s="1"/>
  <c r="I41" i="85" s="1"/>
  <c r="A22" i="85"/>
  <c r="B22" i="85"/>
  <c r="G22" i="85" s="1"/>
  <c r="I22" i="85" s="1"/>
  <c r="A23" i="85"/>
  <c r="B23" i="85"/>
  <c r="G23" i="85" s="1"/>
  <c r="I23" i="85" s="1"/>
  <c r="A24" i="85"/>
  <c r="B24" i="85"/>
  <c r="G24" i="85" s="1"/>
  <c r="I24" i="85" s="1"/>
  <c r="A25" i="85"/>
  <c r="B25" i="85"/>
  <c r="G25" i="85" s="1"/>
  <c r="I25" i="85" s="1"/>
  <c r="A26" i="85"/>
  <c r="B26" i="85"/>
  <c r="G26" i="85" s="1"/>
  <c r="I26" i="85" s="1"/>
  <c r="A8" i="85"/>
  <c r="B8" i="85"/>
  <c r="G8" i="85" s="1"/>
  <c r="I8" i="85" s="1"/>
  <c r="A9" i="85"/>
  <c r="B9" i="85"/>
  <c r="G9" i="85" s="1"/>
  <c r="I9" i="85" s="1"/>
  <c r="A10" i="85"/>
  <c r="B10" i="85"/>
  <c r="G10" i="85" s="1"/>
  <c r="I10" i="85" s="1"/>
  <c r="A11" i="85"/>
  <c r="B11" i="85"/>
  <c r="G11" i="85" s="1"/>
  <c r="I11" i="85" s="1"/>
  <c r="A12" i="85"/>
  <c r="B12" i="85"/>
  <c r="G12" i="85" s="1"/>
  <c r="I12" i="85" s="1"/>
  <c r="A13" i="85"/>
  <c r="B13" i="85"/>
  <c r="G13" i="85" s="1"/>
  <c r="I13" i="85" s="1"/>
  <c r="A14" i="85"/>
  <c r="B14" i="85"/>
  <c r="G14" i="85" s="1"/>
  <c r="I14" i="85" s="1"/>
  <c r="A15" i="85"/>
  <c r="B15" i="85"/>
  <c r="G15" i="85" s="1"/>
  <c r="I15" i="85" s="1"/>
  <c r="A16" i="85"/>
  <c r="B16" i="85"/>
  <c r="G16" i="85" s="1"/>
  <c r="I16" i="85" s="1"/>
  <c r="A17" i="85"/>
  <c r="B17" i="85"/>
  <c r="G17" i="85" s="1"/>
  <c r="I17" i="85" s="1"/>
  <c r="A14" i="81"/>
  <c r="F14" i="81" s="1"/>
  <c r="A15" i="81"/>
  <c r="F15" i="81" s="1"/>
  <c r="A16" i="81"/>
  <c r="F16" i="81" s="1"/>
  <c r="A17" i="81"/>
  <c r="F17" i="81" s="1"/>
  <c r="C17" i="81"/>
  <c r="E17" i="81"/>
  <c r="G17" i="81"/>
  <c r="H17" i="81"/>
  <c r="A18" i="81"/>
  <c r="F18" i="81" s="1"/>
  <c r="D18" i="81"/>
  <c r="E18" i="81"/>
  <c r="H18" i="81"/>
  <c r="A19" i="81"/>
  <c r="C19" i="81"/>
  <c r="D19" i="81"/>
  <c r="E19" i="81"/>
  <c r="F19" i="81"/>
  <c r="G19" i="81"/>
  <c r="H19" i="81"/>
  <c r="A20" i="81"/>
  <c r="F20" i="81" s="1"/>
  <c r="A8" i="81"/>
  <c r="F8" i="81" s="1"/>
  <c r="E8" i="81"/>
  <c r="H8" i="81"/>
  <c r="A9" i="81"/>
  <c r="D9" i="81" s="1"/>
  <c r="E9" i="81"/>
  <c r="F9" i="81"/>
  <c r="A10" i="81"/>
  <c r="F10" i="81" s="1"/>
  <c r="A57" i="80"/>
  <c r="A25" i="80"/>
  <c r="A26" i="80"/>
  <c r="A27" i="80"/>
  <c r="A28" i="80"/>
  <c r="A17" i="80"/>
  <c r="A18" i="80"/>
  <c r="A8" i="80"/>
  <c r="B8" i="80"/>
  <c r="A9" i="80"/>
  <c r="B9" i="80"/>
  <c r="A10" i="80"/>
  <c r="B10" i="80"/>
  <c r="A33" i="79"/>
  <c r="A23" i="79"/>
  <c r="A17" i="79"/>
  <c r="A18" i="79"/>
  <c r="A19" i="79"/>
  <c r="A8" i="79"/>
  <c r="A9" i="79"/>
  <c r="A41" i="84"/>
  <c r="C41" i="84"/>
  <c r="B41" i="84" s="1"/>
  <c r="A22" i="84"/>
  <c r="C22" i="84"/>
  <c r="B22" i="84" s="1"/>
  <c r="A23" i="84"/>
  <c r="C23" i="84"/>
  <c r="B23" i="84" s="1"/>
  <c r="A24" i="84"/>
  <c r="C24" i="84"/>
  <c r="B24" i="84" s="1"/>
  <c r="A25" i="84"/>
  <c r="C25" i="84"/>
  <c r="B25" i="84" s="1"/>
  <c r="A26" i="84"/>
  <c r="C26" i="84"/>
  <c r="B26" i="84" s="1"/>
  <c r="A8" i="84"/>
  <c r="C8" i="84"/>
  <c r="B8" i="84" s="1"/>
  <c r="A9" i="84"/>
  <c r="C9" i="84"/>
  <c r="B9" i="84" s="1"/>
  <c r="A10" i="84"/>
  <c r="C10" i="84"/>
  <c r="B10" i="84" s="1"/>
  <c r="A11" i="84"/>
  <c r="C11" i="84"/>
  <c r="B11" i="84" s="1"/>
  <c r="A12" i="84"/>
  <c r="C12" i="84"/>
  <c r="B12" i="84" s="1"/>
  <c r="A13" i="84"/>
  <c r="C13" i="84"/>
  <c r="B13" i="84" s="1"/>
  <c r="A14" i="84"/>
  <c r="C14" i="84"/>
  <c r="B14" i="84" s="1"/>
  <c r="A15" i="84"/>
  <c r="C15" i="84"/>
  <c r="B15" i="84" s="1"/>
  <c r="A16" i="84"/>
  <c r="C16" i="84"/>
  <c r="B16" i="84" s="1"/>
  <c r="A17" i="84"/>
  <c r="C17" i="84"/>
  <c r="B17" i="84" s="1"/>
  <c r="A14" i="75"/>
  <c r="A15" i="75"/>
  <c r="A16" i="75"/>
  <c r="A17" i="75"/>
  <c r="A18" i="75"/>
  <c r="A19" i="75"/>
  <c r="A20" i="75"/>
  <c r="A8" i="75"/>
  <c r="A9" i="75"/>
  <c r="A10" i="75"/>
  <c r="A112" i="74"/>
  <c r="A80" i="74"/>
  <c r="A81" i="74"/>
  <c r="A82" i="74"/>
  <c r="A83" i="74"/>
  <c r="A72" i="74"/>
  <c r="A73" i="74"/>
  <c r="A63" i="74"/>
  <c r="B63" i="74"/>
  <c r="A64" i="74"/>
  <c r="B64" i="74"/>
  <c r="A65" i="74"/>
  <c r="B65" i="74"/>
  <c r="D58" i="74"/>
  <c r="E58" i="74"/>
  <c r="F58" i="74"/>
  <c r="G58" i="74"/>
  <c r="H58" i="74"/>
  <c r="I58" i="74"/>
  <c r="J58" i="74"/>
  <c r="K58" i="74"/>
  <c r="L58" i="74"/>
  <c r="M58" i="74"/>
  <c r="N58" i="74"/>
  <c r="O58" i="74"/>
  <c r="A33" i="74"/>
  <c r="A23" i="74"/>
  <c r="A17" i="74"/>
  <c r="A18" i="74"/>
  <c r="A19" i="74"/>
  <c r="A8" i="74"/>
  <c r="A9" i="74"/>
  <c r="A41" i="83"/>
  <c r="B41" i="83"/>
  <c r="G41" i="83" s="1"/>
  <c r="I41" i="83" s="1"/>
  <c r="A22" i="83"/>
  <c r="B22" i="83"/>
  <c r="G22" i="83" s="1"/>
  <c r="I22" i="83" s="1"/>
  <c r="A23" i="83"/>
  <c r="B23" i="83"/>
  <c r="G23" i="83" s="1"/>
  <c r="I23" i="83" s="1"/>
  <c r="A24" i="83"/>
  <c r="B24" i="83"/>
  <c r="G24" i="83" s="1"/>
  <c r="I24" i="83" s="1"/>
  <c r="A25" i="83"/>
  <c r="B25" i="83"/>
  <c r="G25" i="83" s="1"/>
  <c r="I25" i="83" s="1"/>
  <c r="A26" i="83"/>
  <c r="B26" i="83"/>
  <c r="G26" i="83" s="1"/>
  <c r="I26" i="83" s="1"/>
  <c r="A8" i="83"/>
  <c r="B8" i="83"/>
  <c r="G8" i="83" s="1"/>
  <c r="I8" i="83" s="1"/>
  <c r="A9" i="83"/>
  <c r="B9" i="83"/>
  <c r="G9" i="83" s="1"/>
  <c r="I9" i="83" s="1"/>
  <c r="A10" i="83"/>
  <c r="B10" i="83"/>
  <c r="G10" i="83" s="1"/>
  <c r="I10" i="83" s="1"/>
  <c r="A11" i="83"/>
  <c r="B11" i="83"/>
  <c r="G11" i="83" s="1"/>
  <c r="I11" i="83" s="1"/>
  <c r="A12" i="83"/>
  <c r="B12" i="83"/>
  <c r="G12" i="83" s="1"/>
  <c r="I12" i="83" s="1"/>
  <c r="A13" i="83"/>
  <c r="B13" i="83"/>
  <c r="G13" i="83" s="1"/>
  <c r="I13" i="83" s="1"/>
  <c r="A14" i="83"/>
  <c r="B14" i="83"/>
  <c r="G14" i="83" s="1"/>
  <c r="I14" i="83" s="1"/>
  <c r="A15" i="83"/>
  <c r="B15" i="83"/>
  <c r="G15" i="83" s="1"/>
  <c r="I15" i="83" s="1"/>
  <c r="A16" i="83"/>
  <c r="B16" i="83"/>
  <c r="G16" i="83" s="1"/>
  <c r="I16" i="83" s="1"/>
  <c r="A17" i="83"/>
  <c r="B17" i="83"/>
  <c r="G17" i="83" s="1"/>
  <c r="I17" i="83" s="1"/>
  <c r="A14" i="35"/>
  <c r="F14" i="35" s="1"/>
  <c r="A15" i="35"/>
  <c r="F15" i="35" s="1"/>
  <c r="A16" i="35"/>
  <c r="F16" i="35" s="1"/>
  <c r="A17" i="35"/>
  <c r="F17" i="35" s="1"/>
  <c r="C17" i="35"/>
  <c r="E17" i="35"/>
  <c r="G17" i="35"/>
  <c r="H17" i="35"/>
  <c r="A18" i="35"/>
  <c r="F18" i="35" s="1"/>
  <c r="D18" i="35"/>
  <c r="E18" i="35"/>
  <c r="H18" i="35"/>
  <c r="A19" i="35"/>
  <c r="C19" i="35"/>
  <c r="D19" i="35"/>
  <c r="E19" i="35"/>
  <c r="F19" i="35"/>
  <c r="G19" i="35"/>
  <c r="H19" i="35"/>
  <c r="A20" i="35"/>
  <c r="F20" i="35" s="1"/>
  <c r="A8" i="35"/>
  <c r="F8" i="35" s="1"/>
  <c r="A9" i="35"/>
  <c r="D9" i="35" s="1"/>
  <c r="F9" i="35"/>
  <c r="A10" i="35"/>
  <c r="F10" i="35" s="1"/>
  <c r="A57" i="34"/>
  <c r="A25" i="34"/>
  <c r="A26" i="34"/>
  <c r="A27" i="34"/>
  <c r="A28" i="34"/>
  <c r="A17" i="34"/>
  <c r="A18" i="34"/>
  <c r="A8" i="34"/>
  <c r="A9" i="34"/>
  <c r="A10" i="34"/>
  <c r="J58" i="33"/>
  <c r="A33" i="33"/>
  <c r="A23" i="33"/>
  <c r="H15" i="81" l="1"/>
  <c r="H14" i="81"/>
  <c r="H16" i="81"/>
  <c r="E15" i="81"/>
  <c r="H10" i="81"/>
  <c r="E20" i="81"/>
  <c r="D17" i="81"/>
  <c r="E16" i="81"/>
  <c r="D15" i="81"/>
  <c r="H15" i="35"/>
  <c r="H14" i="35"/>
  <c r="H16" i="35"/>
  <c r="E15" i="35"/>
  <c r="H20" i="35"/>
  <c r="E20" i="35"/>
  <c r="D20" i="35"/>
  <c r="D17" i="35"/>
  <c r="E16" i="35"/>
  <c r="D15" i="35"/>
  <c r="G9" i="81"/>
  <c r="D16" i="81"/>
  <c r="G15" i="81"/>
  <c r="C15" i="81"/>
  <c r="E14" i="81"/>
  <c r="D14" i="81"/>
  <c r="C9" i="81"/>
  <c r="E9" i="35"/>
  <c r="H8" i="35"/>
  <c r="C9" i="35"/>
  <c r="E8" i="35"/>
  <c r="D16" i="35"/>
  <c r="G15" i="35"/>
  <c r="C15" i="35"/>
  <c r="E14" i="35"/>
  <c r="G9" i="35"/>
  <c r="D8" i="35"/>
  <c r="D14" i="35"/>
  <c r="G20" i="81"/>
  <c r="C20" i="81"/>
  <c r="G18" i="81"/>
  <c r="C18" i="81"/>
  <c r="G16" i="81"/>
  <c r="C16" i="81"/>
  <c r="G14" i="81"/>
  <c r="C14" i="81"/>
  <c r="H20" i="81"/>
  <c r="D20" i="81"/>
  <c r="E10" i="81"/>
  <c r="D8" i="81"/>
  <c r="D10" i="81"/>
  <c r="G8" i="81"/>
  <c r="C8" i="81"/>
  <c r="G10" i="81"/>
  <c r="C10" i="81"/>
  <c r="H9" i="81"/>
  <c r="G20" i="35"/>
  <c r="C20" i="35"/>
  <c r="G18" i="35"/>
  <c r="C18" i="35"/>
  <c r="G16" i="35"/>
  <c r="C16" i="35"/>
  <c r="G14" i="35"/>
  <c r="C14" i="35"/>
  <c r="E10" i="35"/>
  <c r="H10" i="35"/>
  <c r="D10" i="35"/>
  <c r="G8" i="35"/>
  <c r="C8" i="35"/>
  <c r="G10" i="35"/>
  <c r="C10" i="35"/>
  <c r="H9" i="35"/>
  <c r="A17" i="33"/>
  <c r="A18" i="33"/>
  <c r="A19" i="33"/>
  <c r="A8" i="33"/>
  <c r="A9" i="33"/>
  <c r="O208" i="78"/>
  <c r="N208" i="78"/>
  <c r="O207" i="78"/>
  <c r="N207" i="78"/>
  <c r="O206" i="78"/>
  <c r="N206" i="78"/>
  <c r="O205" i="78"/>
  <c r="N205" i="78"/>
  <c r="O204" i="78"/>
  <c r="N204" i="78"/>
  <c r="O203" i="78"/>
  <c r="N203" i="78"/>
  <c r="O202" i="78"/>
  <c r="N202" i="78"/>
  <c r="O201" i="78"/>
  <c r="N201" i="78"/>
  <c r="O200" i="78"/>
  <c r="N200" i="78"/>
  <c r="O199" i="78"/>
  <c r="N199" i="78"/>
  <c r="O198" i="78"/>
  <c r="N198" i="78"/>
  <c r="O197" i="78"/>
  <c r="N197" i="78"/>
  <c r="O196" i="78"/>
  <c r="N196" i="78"/>
  <c r="O195" i="78"/>
  <c r="N195" i="78"/>
  <c r="O194" i="78"/>
  <c r="N194" i="78"/>
  <c r="O193" i="78"/>
  <c r="N193" i="78"/>
  <c r="O192" i="78"/>
  <c r="N192" i="78"/>
  <c r="O191" i="78"/>
  <c r="N191" i="78"/>
  <c r="O190" i="78"/>
  <c r="N190" i="78"/>
  <c r="O189" i="78"/>
  <c r="N189" i="78"/>
  <c r="O188" i="78"/>
  <c r="N188" i="78"/>
  <c r="O187" i="78"/>
  <c r="N187" i="78"/>
  <c r="O186" i="78"/>
  <c r="N186" i="78"/>
  <c r="O185" i="78"/>
  <c r="N185" i="78"/>
  <c r="O184" i="78"/>
  <c r="N184" i="78"/>
  <c r="O183" i="78"/>
  <c r="N183" i="78"/>
  <c r="O182" i="78"/>
  <c r="N182" i="78"/>
  <c r="O181" i="78"/>
  <c r="N181" i="78"/>
  <c r="O180" i="78"/>
  <c r="N180" i="78"/>
  <c r="O179" i="78"/>
  <c r="N179" i="78"/>
  <c r="O178" i="78"/>
  <c r="N178" i="78"/>
  <c r="O177" i="78"/>
  <c r="N177" i="78"/>
  <c r="O176" i="78"/>
  <c r="N176" i="78"/>
  <c r="O175" i="78"/>
  <c r="N175" i="78"/>
  <c r="O174" i="78"/>
  <c r="N174" i="78"/>
  <c r="O173" i="78"/>
  <c r="N173" i="78"/>
  <c r="O172" i="78"/>
  <c r="N172" i="78"/>
  <c r="O171" i="78"/>
  <c r="N171" i="78"/>
  <c r="O170" i="78"/>
  <c r="N170" i="78"/>
  <c r="O169" i="78"/>
  <c r="N169" i="78"/>
  <c r="O168" i="78"/>
  <c r="N168" i="78"/>
  <c r="O167" i="78"/>
  <c r="N167" i="78"/>
  <c r="O166" i="78"/>
  <c r="N166" i="78"/>
  <c r="O165" i="78"/>
  <c r="N165" i="78"/>
  <c r="O164" i="78"/>
  <c r="N164" i="78"/>
  <c r="O163" i="78"/>
  <c r="N163" i="78"/>
  <c r="O162" i="78"/>
  <c r="N162" i="78"/>
  <c r="O161" i="78"/>
  <c r="N161" i="78"/>
  <c r="O160" i="78"/>
  <c r="N160" i="78"/>
  <c r="O159" i="78"/>
  <c r="N159" i="78"/>
  <c r="O158" i="78"/>
  <c r="N158" i="78"/>
  <c r="O157" i="78"/>
  <c r="N157" i="78"/>
  <c r="O156" i="78"/>
  <c r="N156" i="78"/>
  <c r="O155" i="78"/>
  <c r="N155" i="78"/>
  <c r="O154" i="78"/>
  <c r="N154" i="78"/>
  <c r="O153" i="78"/>
  <c r="N153" i="78"/>
  <c r="O152" i="78"/>
  <c r="N152" i="78"/>
  <c r="N151" i="78"/>
  <c r="N150" i="78"/>
  <c r="O149" i="78"/>
  <c r="N149" i="78"/>
  <c r="O148" i="78"/>
  <c r="N148" i="78"/>
  <c r="O147" i="78"/>
  <c r="N147" i="78"/>
  <c r="O146" i="78"/>
  <c r="N146" i="78"/>
  <c r="O145" i="78"/>
  <c r="N145" i="78"/>
  <c r="O144" i="78"/>
  <c r="N144" i="78"/>
  <c r="O143" i="78"/>
  <c r="N143" i="78"/>
  <c r="O142" i="78"/>
  <c r="N142" i="78"/>
  <c r="O141" i="78"/>
  <c r="N141" i="78"/>
  <c r="O140" i="78"/>
  <c r="N140" i="78"/>
  <c r="O139" i="78"/>
  <c r="N139" i="78"/>
  <c r="O138" i="78"/>
  <c r="N138" i="78"/>
  <c r="O137" i="78"/>
  <c r="N137" i="78"/>
  <c r="O136" i="78"/>
  <c r="N136" i="78"/>
  <c r="O135" i="78"/>
  <c r="N135" i="78"/>
  <c r="O134" i="78"/>
  <c r="N134" i="78"/>
  <c r="O133" i="78"/>
  <c r="N133" i="78"/>
  <c r="O132" i="78"/>
  <c r="N132" i="78"/>
  <c r="O131" i="78"/>
  <c r="N131" i="78"/>
  <c r="O130" i="78"/>
  <c r="N130" i="78"/>
  <c r="O129" i="78"/>
  <c r="N129" i="78"/>
  <c r="O128" i="78"/>
  <c r="N128" i="78"/>
  <c r="O127" i="78"/>
  <c r="N127" i="78"/>
  <c r="O126" i="78"/>
  <c r="N126" i="78"/>
  <c r="O125" i="78"/>
  <c r="N125" i="78"/>
  <c r="O124" i="78"/>
  <c r="N124" i="78"/>
  <c r="O123" i="78"/>
  <c r="N123" i="78"/>
  <c r="O122" i="78"/>
  <c r="N122" i="78"/>
  <c r="O121" i="78"/>
  <c r="N121" i="78"/>
  <c r="O120" i="78"/>
  <c r="N120" i="78"/>
  <c r="O119" i="78"/>
  <c r="N119" i="78"/>
  <c r="O118" i="78"/>
  <c r="N118" i="78"/>
  <c r="O117" i="78"/>
  <c r="N117" i="78"/>
  <c r="O116" i="78"/>
  <c r="N116" i="78"/>
  <c r="O115" i="78"/>
  <c r="N115" i="78"/>
  <c r="O114" i="78"/>
  <c r="N114" i="78"/>
  <c r="O113" i="78"/>
  <c r="N113" i="78"/>
  <c r="O112" i="78"/>
  <c r="N112" i="78"/>
  <c r="O111" i="78"/>
  <c r="N111" i="78"/>
  <c r="O110" i="78"/>
  <c r="N110" i="78"/>
  <c r="O109" i="78"/>
  <c r="N109" i="78"/>
  <c r="O108" i="78"/>
  <c r="N108" i="78"/>
  <c r="O107" i="78"/>
  <c r="N107" i="78"/>
  <c r="O106" i="78"/>
  <c r="N106" i="78"/>
  <c r="O105" i="78"/>
  <c r="N105" i="78"/>
  <c r="O104" i="78"/>
  <c r="N104" i="78"/>
  <c r="O103" i="78"/>
  <c r="N103" i="78"/>
  <c r="O102" i="78"/>
  <c r="N102" i="78"/>
  <c r="O101" i="78"/>
  <c r="N101" i="78"/>
  <c r="O100" i="78"/>
  <c r="N100" i="78"/>
  <c r="O99" i="78"/>
  <c r="N99" i="78"/>
  <c r="O98" i="78"/>
  <c r="N98" i="78"/>
  <c r="O97" i="78"/>
  <c r="N97" i="78"/>
  <c r="O96" i="78"/>
  <c r="N96" i="78"/>
  <c r="O95" i="78"/>
  <c r="N95" i="78"/>
  <c r="O94" i="78"/>
  <c r="N94" i="78"/>
  <c r="O93" i="78"/>
  <c r="N93" i="78"/>
  <c r="O92" i="78"/>
  <c r="N92" i="78"/>
  <c r="O91" i="78"/>
  <c r="N91" i="78"/>
  <c r="O90" i="78"/>
  <c r="N90" i="78"/>
  <c r="O89" i="78"/>
  <c r="N89" i="78"/>
  <c r="O88" i="78"/>
  <c r="N88" i="78"/>
  <c r="O87" i="78"/>
  <c r="N87" i="78"/>
  <c r="O86" i="78"/>
  <c r="N86" i="78"/>
  <c r="O85" i="78"/>
  <c r="N85" i="78"/>
  <c r="O84" i="78"/>
  <c r="N84" i="78"/>
  <c r="O83" i="78"/>
  <c r="N83" i="78"/>
  <c r="O82" i="78"/>
  <c r="N82" i="78"/>
  <c r="O81" i="78"/>
  <c r="N81" i="78"/>
  <c r="O80" i="78"/>
  <c r="N80" i="78"/>
  <c r="O79" i="78"/>
  <c r="N79" i="78"/>
  <c r="O78" i="78"/>
  <c r="N78" i="78"/>
  <c r="O77" i="78"/>
  <c r="N77" i="78"/>
  <c r="O76" i="78"/>
  <c r="N76" i="78"/>
  <c r="O75" i="78"/>
  <c r="N75" i="78"/>
  <c r="O74" i="78"/>
  <c r="N74" i="78"/>
  <c r="O73" i="78"/>
  <c r="N73" i="78"/>
  <c r="O72" i="78"/>
  <c r="N72" i="78"/>
  <c r="O71" i="78"/>
  <c r="N71" i="78"/>
  <c r="O70" i="78"/>
  <c r="N70" i="78"/>
  <c r="O69" i="78"/>
  <c r="N69" i="78"/>
  <c r="O68" i="78"/>
  <c r="N68" i="78"/>
  <c r="O67" i="78"/>
  <c r="N67" i="78"/>
  <c r="O66" i="78"/>
  <c r="N66" i="78"/>
  <c r="O65" i="78"/>
  <c r="N65" i="78"/>
  <c r="O64" i="78"/>
  <c r="N64" i="78"/>
  <c r="O63" i="78"/>
  <c r="N63" i="78"/>
  <c r="O62" i="78"/>
  <c r="N62" i="78"/>
  <c r="O61" i="78"/>
  <c r="N61" i="78"/>
  <c r="O60" i="78"/>
  <c r="N60" i="78"/>
  <c r="O59" i="78"/>
  <c r="N59" i="78"/>
  <c r="O58" i="78"/>
  <c r="N58" i="78"/>
  <c r="O57" i="78"/>
  <c r="N57" i="78"/>
  <c r="O56" i="78"/>
  <c r="N56" i="78"/>
  <c r="O55" i="78"/>
  <c r="N55" i="78"/>
  <c r="O54" i="78"/>
  <c r="N54" i="78"/>
  <c r="O53" i="78"/>
  <c r="N53" i="78"/>
  <c r="O52" i="78"/>
  <c r="N52" i="78"/>
  <c r="O51" i="78"/>
  <c r="N51" i="78"/>
  <c r="O50" i="78"/>
  <c r="N50" i="78"/>
  <c r="O49" i="78"/>
  <c r="N49" i="78"/>
  <c r="O48" i="78"/>
  <c r="N48" i="78"/>
  <c r="O47" i="78"/>
  <c r="N47" i="78"/>
  <c r="O46" i="78"/>
  <c r="N46" i="78"/>
  <c r="O45" i="78"/>
  <c r="N45" i="78"/>
  <c r="O44" i="78"/>
  <c r="N44" i="78"/>
  <c r="O43" i="78"/>
  <c r="N43" i="78"/>
  <c r="O42" i="78"/>
  <c r="N42" i="78"/>
  <c r="O41" i="78"/>
  <c r="N41" i="78"/>
  <c r="O40" i="78"/>
  <c r="N40" i="78"/>
  <c r="O39" i="78"/>
  <c r="N39" i="78"/>
  <c r="O38" i="78"/>
  <c r="N38" i="78"/>
  <c r="O37" i="78"/>
  <c r="N37" i="78"/>
  <c r="O36" i="78"/>
  <c r="N36" i="78"/>
  <c r="O35" i="78"/>
  <c r="N35" i="78"/>
  <c r="O34" i="78"/>
  <c r="N34" i="78"/>
  <c r="O33" i="78"/>
  <c r="N33" i="78"/>
  <c r="O32" i="78"/>
  <c r="N32" i="78"/>
  <c r="O31" i="78"/>
  <c r="N31" i="78"/>
  <c r="O30" i="78"/>
  <c r="N30" i="78"/>
  <c r="O29" i="78"/>
  <c r="N29" i="78"/>
  <c r="O28" i="78"/>
  <c r="N28" i="78"/>
  <c r="O27" i="78"/>
  <c r="N27" i="78"/>
  <c r="O26" i="78"/>
  <c r="N26" i="78"/>
  <c r="O25" i="78"/>
  <c r="N25" i="78"/>
  <c r="O24" i="78"/>
  <c r="N24" i="78"/>
  <c r="O23" i="78"/>
  <c r="N23" i="78"/>
  <c r="O22" i="78"/>
  <c r="N22" i="78"/>
  <c r="O21" i="78"/>
  <c r="N21" i="78"/>
  <c r="O20" i="78"/>
  <c r="N20" i="78"/>
  <c r="O19" i="78"/>
  <c r="N19" i="78"/>
  <c r="O18" i="78"/>
  <c r="N18" i="78"/>
  <c r="O17" i="78"/>
  <c r="N17" i="78"/>
  <c r="O16" i="78"/>
  <c r="N16" i="78"/>
  <c r="O15" i="78"/>
  <c r="N15" i="78"/>
  <c r="O14" i="78"/>
  <c r="N14" i="78"/>
  <c r="O13" i="78"/>
  <c r="N13" i="78"/>
  <c r="O12" i="78"/>
  <c r="N12" i="78"/>
  <c r="O11" i="78"/>
  <c r="N11" i="78"/>
  <c r="O10" i="78"/>
  <c r="N10" i="78"/>
  <c r="O9" i="78"/>
  <c r="N9" i="78"/>
  <c r="O8" i="78"/>
  <c r="N8" i="78"/>
  <c r="O7" i="78"/>
  <c r="N7" i="78"/>
  <c r="O6" i="78"/>
  <c r="N6" i="78"/>
  <c r="O5" i="78"/>
  <c r="N5" i="78"/>
  <c r="O4" i="78"/>
  <c r="N4" i="78"/>
  <c r="O3" i="78"/>
  <c r="N3" i="78"/>
  <c r="O2" i="78"/>
  <c r="N2" i="78"/>
  <c r="O1" i="78"/>
  <c r="N1" i="78"/>
  <c r="O208" i="77"/>
  <c r="N208" i="77"/>
  <c r="O207" i="77"/>
  <c r="N207" i="77"/>
  <c r="O206" i="77"/>
  <c r="N206" i="77"/>
  <c r="O205" i="77"/>
  <c r="N205" i="77"/>
  <c r="O204" i="77"/>
  <c r="N204" i="77"/>
  <c r="O203" i="77"/>
  <c r="N203" i="77"/>
  <c r="O202" i="77"/>
  <c r="N202" i="77"/>
  <c r="O201" i="77"/>
  <c r="N201" i="77"/>
  <c r="O200" i="77"/>
  <c r="N200" i="77"/>
  <c r="O199" i="77"/>
  <c r="N199" i="77"/>
  <c r="O198" i="77"/>
  <c r="N198" i="77"/>
  <c r="O197" i="77"/>
  <c r="N197" i="77"/>
  <c r="O196" i="77"/>
  <c r="N196" i="77"/>
  <c r="O195" i="77"/>
  <c r="N195" i="77"/>
  <c r="O194" i="77"/>
  <c r="N194" i="77"/>
  <c r="O193" i="77"/>
  <c r="N193" i="77"/>
  <c r="O192" i="77"/>
  <c r="N192" i="77"/>
  <c r="O191" i="77"/>
  <c r="N191" i="77"/>
  <c r="O190" i="77"/>
  <c r="N190" i="77"/>
  <c r="O189" i="77"/>
  <c r="N189" i="77"/>
  <c r="O188" i="77"/>
  <c r="N188" i="77"/>
  <c r="O187" i="77"/>
  <c r="N187" i="77"/>
  <c r="O186" i="77"/>
  <c r="N186" i="77"/>
  <c r="O185" i="77"/>
  <c r="N185" i="77"/>
  <c r="O184" i="77"/>
  <c r="N184" i="77"/>
  <c r="O183" i="77"/>
  <c r="N183" i="77"/>
  <c r="O182" i="77"/>
  <c r="N182" i="77"/>
  <c r="O181" i="77"/>
  <c r="N181" i="77"/>
  <c r="O180" i="77"/>
  <c r="N180" i="77"/>
  <c r="O179" i="77"/>
  <c r="N179" i="77"/>
  <c r="O178" i="77"/>
  <c r="N178" i="77"/>
  <c r="O177" i="77"/>
  <c r="N177" i="77"/>
  <c r="O176" i="77"/>
  <c r="N176" i="77"/>
  <c r="O175" i="77"/>
  <c r="N175" i="77"/>
  <c r="O174" i="77"/>
  <c r="N174" i="77"/>
  <c r="O173" i="77"/>
  <c r="N173" i="77"/>
  <c r="O172" i="77"/>
  <c r="N172" i="77"/>
  <c r="O171" i="77"/>
  <c r="N171" i="77"/>
  <c r="O170" i="77"/>
  <c r="N170" i="77"/>
  <c r="O169" i="77"/>
  <c r="N169" i="77"/>
  <c r="O168" i="77"/>
  <c r="N168" i="77"/>
  <c r="O167" i="77"/>
  <c r="N167" i="77"/>
  <c r="O166" i="77"/>
  <c r="N166" i="77"/>
  <c r="O165" i="77"/>
  <c r="N165" i="77"/>
  <c r="O164" i="77"/>
  <c r="N164" i="77"/>
  <c r="O163" i="77"/>
  <c r="N163" i="77"/>
  <c r="O162" i="77"/>
  <c r="N162" i="77"/>
  <c r="O161" i="77"/>
  <c r="N161" i="77"/>
  <c r="O160" i="77"/>
  <c r="N160" i="77"/>
  <c r="O159" i="77"/>
  <c r="N159" i="77"/>
  <c r="O158" i="77"/>
  <c r="N158" i="77"/>
  <c r="O157" i="77"/>
  <c r="N157" i="77"/>
  <c r="O156" i="77"/>
  <c r="N156" i="77"/>
  <c r="O155" i="77"/>
  <c r="N155" i="77"/>
  <c r="O154" i="77"/>
  <c r="N154" i="77"/>
  <c r="O153" i="77"/>
  <c r="N153" i="77"/>
  <c r="O152" i="77"/>
  <c r="N152" i="77"/>
  <c r="N151" i="77"/>
  <c r="N150" i="77"/>
  <c r="O149" i="77"/>
  <c r="N149" i="77"/>
  <c r="O148" i="77"/>
  <c r="N148" i="77"/>
  <c r="O147" i="77"/>
  <c r="N147" i="77"/>
  <c r="O146" i="77"/>
  <c r="N146" i="77"/>
  <c r="O145" i="77"/>
  <c r="N145" i="77"/>
  <c r="O144" i="77"/>
  <c r="N144" i="77"/>
  <c r="O143" i="77"/>
  <c r="N143" i="77"/>
  <c r="O142" i="77"/>
  <c r="N142" i="77"/>
  <c r="O141" i="77"/>
  <c r="N141" i="77"/>
  <c r="O140" i="77"/>
  <c r="N140" i="77"/>
  <c r="O139" i="77"/>
  <c r="N139" i="77"/>
  <c r="O138" i="77"/>
  <c r="N138" i="77"/>
  <c r="O137" i="77"/>
  <c r="N137" i="77"/>
  <c r="O136" i="77"/>
  <c r="N136" i="77"/>
  <c r="O135" i="77"/>
  <c r="N135" i="77"/>
  <c r="O134" i="77"/>
  <c r="N134" i="77"/>
  <c r="O133" i="77"/>
  <c r="N133" i="77"/>
  <c r="O132" i="77"/>
  <c r="N132" i="77"/>
  <c r="O131" i="77"/>
  <c r="N131" i="77"/>
  <c r="O130" i="77"/>
  <c r="N130" i="77"/>
  <c r="O129" i="77"/>
  <c r="N129" i="77"/>
  <c r="O128" i="77"/>
  <c r="N128" i="77"/>
  <c r="O127" i="77"/>
  <c r="N127" i="77"/>
  <c r="O126" i="77"/>
  <c r="N126" i="77"/>
  <c r="O125" i="77"/>
  <c r="N125" i="77"/>
  <c r="O124" i="77"/>
  <c r="N124" i="77"/>
  <c r="O123" i="77"/>
  <c r="N123" i="77"/>
  <c r="O122" i="77"/>
  <c r="N122" i="77"/>
  <c r="O121" i="77"/>
  <c r="N121" i="77"/>
  <c r="O120" i="77"/>
  <c r="N120" i="77"/>
  <c r="O119" i="77"/>
  <c r="N119" i="77"/>
  <c r="O118" i="77"/>
  <c r="N118" i="77"/>
  <c r="O117" i="77"/>
  <c r="N117" i="77"/>
  <c r="O116" i="77"/>
  <c r="N116" i="77"/>
  <c r="O115" i="77"/>
  <c r="N115" i="77"/>
  <c r="O114" i="77"/>
  <c r="N114" i="77"/>
  <c r="O113" i="77"/>
  <c r="N113" i="77"/>
  <c r="O112" i="77"/>
  <c r="N112" i="77"/>
  <c r="O111" i="77"/>
  <c r="N111" i="77"/>
  <c r="O110" i="77"/>
  <c r="N110" i="77"/>
  <c r="O109" i="77"/>
  <c r="N109" i="77"/>
  <c r="O108" i="77"/>
  <c r="N108" i="77"/>
  <c r="O107" i="77"/>
  <c r="N107" i="77"/>
  <c r="O106" i="77"/>
  <c r="N106" i="77"/>
  <c r="O105" i="77"/>
  <c r="N105" i="77"/>
  <c r="O104" i="77"/>
  <c r="N104" i="77"/>
  <c r="O103" i="77"/>
  <c r="N103" i="77"/>
  <c r="O102" i="77"/>
  <c r="N102" i="77"/>
  <c r="O101" i="77"/>
  <c r="N101" i="77"/>
  <c r="O100" i="77"/>
  <c r="N100" i="77"/>
  <c r="O99" i="77"/>
  <c r="N99" i="77"/>
  <c r="O98" i="77"/>
  <c r="N98" i="77"/>
  <c r="O97" i="77"/>
  <c r="N97" i="77"/>
  <c r="O96" i="77"/>
  <c r="N96" i="77"/>
  <c r="O95" i="77"/>
  <c r="N95" i="77"/>
  <c r="O94" i="77"/>
  <c r="N94" i="77"/>
  <c r="O93" i="77"/>
  <c r="N93" i="77"/>
  <c r="O92" i="77"/>
  <c r="N92" i="77"/>
  <c r="O91" i="77"/>
  <c r="N91" i="77"/>
  <c r="O90" i="77"/>
  <c r="N90" i="77"/>
  <c r="O89" i="77"/>
  <c r="N89" i="77"/>
  <c r="O88" i="77"/>
  <c r="N88" i="77"/>
  <c r="O87" i="77"/>
  <c r="N87" i="77"/>
  <c r="O86" i="77"/>
  <c r="N86" i="77"/>
  <c r="O85" i="77"/>
  <c r="N85" i="77"/>
  <c r="O84" i="77"/>
  <c r="N84" i="77"/>
  <c r="O83" i="77"/>
  <c r="N83" i="77"/>
  <c r="O82" i="77"/>
  <c r="N82" i="77"/>
  <c r="O81" i="77"/>
  <c r="N81" i="77"/>
  <c r="O80" i="77"/>
  <c r="N80" i="77"/>
  <c r="O79" i="77"/>
  <c r="N79" i="77"/>
  <c r="O78" i="77"/>
  <c r="N78" i="77"/>
  <c r="O77" i="77"/>
  <c r="N77" i="77"/>
  <c r="O76" i="77"/>
  <c r="N76" i="77"/>
  <c r="O75" i="77"/>
  <c r="N75" i="77"/>
  <c r="O74" i="77"/>
  <c r="N74" i="77"/>
  <c r="O73" i="77"/>
  <c r="N73" i="77"/>
  <c r="O72" i="77"/>
  <c r="N72" i="77"/>
  <c r="O71" i="77"/>
  <c r="N71" i="77"/>
  <c r="O70" i="77"/>
  <c r="N70" i="77"/>
  <c r="O69" i="77"/>
  <c r="N69" i="77"/>
  <c r="O68" i="77"/>
  <c r="N68" i="77"/>
  <c r="O67" i="77"/>
  <c r="N67" i="77"/>
  <c r="O66" i="77"/>
  <c r="N66" i="77"/>
  <c r="O65" i="77"/>
  <c r="N65" i="77"/>
  <c r="O64" i="77"/>
  <c r="N64" i="77"/>
  <c r="O63" i="77"/>
  <c r="N63" i="77"/>
  <c r="O62" i="77"/>
  <c r="N62" i="77"/>
  <c r="O61" i="77"/>
  <c r="N61" i="77"/>
  <c r="O60" i="77"/>
  <c r="N60" i="77"/>
  <c r="O59" i="77"/>
  <c r="N59" i="77"/>
  <c r="O58" i="77"/>
  <c r="N58" i="77"/>
  <c r="O57" i="77"/>
  <c r="N57" i="77"/>
  <c r="O56" i="77"/>
  <c r="N56" i="77"/>
  <c r="O55" i="77"/>
  <c r="N55" i="77"/>
  <c r="O54" i="77"/>
  <c r="N54" i="77"/>
  <c r="O53" i="77"/>
  <c r="N53" i="77"/>
  <c r="O52" i="77"/>
  <c r="N52" i="77"/>
  <c r="O51" i="77"/>
  <c r="N51" i="77"/>
  <c r="O50" i="77"/>
  <c r="N50" i="77"/>
  <c r="O49" i="77"/>
  <c r="N49" i="77"/>
  <c r="O48" i="77"/>
  <c r="N48" i="77"/>
  <c r="O47" i="77"/>
  <c r="N47" i="77"/>
  <c r="O46" i="77"/>
  <c r="N46" i="77"/>
  <c r="O45" i="77"/>
  <c r="N45" i="77"/>
  <c r="O44" i="77"/>
  <c r="N44" i="77"/>
  <c r="O43" i="77"/>
  <c r="N43" i="77"/>
  <c r="O42" i="77"/>
  <c r="N42" i="77"/>
  <c r="O41" i="77"/>
  <c r="N41" i="77"/>
  <c r="O40" i="77"/>
  <c r="N40" i="77"/>
  <c r="O39" i="77"/>
  <c r="N39" i="77"/>
  <c r="O38" i="77"/>
  <c r="N38" i="77"/>
  <c r="O37" i="77"/>
  <c r="N37" i="77"/>
  <c r="O36" i="77"/>
  <c r="N36" i="77"/>
  <c r="O35" i="77"/>
  <c r="N35" i="77"/>
  <c r="O34" i="77"/>
  <c r="N34" i="77"/>
  <c r="O33" i="77"/>
  <c r="N33" i="77"/>
  <c r="O32" i="77"/>
  <c r="N32" i="77"/>
  <c r="O31" i="77"/>
  <c r="N31" i="77"/>
  <c r="O30" i="77"/>
  <c r="N30" i="77"/>
  <c r="O29" i="77"/>
  <c r="N29" i="77"/>
  <c r="O28" i="77"/>
  <c r="N28" i="77"/>
  <c r="O27" i="77"/>
  <c r="N27" i="77"/>
  <c r="O26" i="77"/>
  <c r="N26" i="77"/>
  <c r="O25" i="77"/>
  <c r="N25" i="77"/>
  <c r="O24" i="77"/>
  <c r="N24" i="77"/>
  <c r="O23" i="77"/>
  <c r="N23" i="77"/>
  <c r="O22" i="77"/>
  <c r="N22" i="77"/>
  <c r="O21" i="77"/>
  <c r="N21" i="77"/>
  <c r="O20" i="77"/>
  <c r="N20" i="77"/>
  <c r="O19" i="77"/>
  <c r="N19" i="77"/>
  <c r="O18" i="77"/>
  <c r="N18" i="77"/>
  <c r="O17" i="77"/>
  <c r="N17" i="77"/>
  <c r="O16" i="77"/>
  <c r="N16" i="77"/>
  <c r="O15" i="77"/>
  <c r="N15" i="77"/>
  <c r="O14" i="77"/>
  <c r="N14" i="77"/>
  <c r="O13" i="77"/>
  <c r="N13" i="77"/>
  <c r="O12" i="77"/>
  <c r="N12" i="77"/>
  <c r="O11" i="77"/>
  <c r="N11" i="77"/>
  <c r="O10" i="77"/>
  <c r="N10" i="77"/>
  <c r="O9" i="77"/>
  <c r="N9" i="77"/>
  <c r="O8" i="77"/>
  <c r="N8" i="77"/>
  <c r="O7" i="77"/>
  <c r="N7" i="77"/>
  <c r="O6" i="77"/>
  <c r="N6" i="77"/>
  <c r="O5" i="77"/>
  <c r="N5" i="77"/>
  <c r="O4" i="77"/>
  <c r="N4" i="77"/>
  <c r="O3" i="77"/>
  <c r="N3" i="77"/>
  <c r="O2" i="77"/>
  <c r="N2" i="77"/>
  <c r="O1" i="77"/>
  <c r="N1" i="77"/>
  <c r="O208" i="76"/>
  <c r="N208" i="76"/>
  <c r="O207" i="76"/>
  <c r="N207" i="76"/>
  <c r="O206" i="76"/>
  <c r="N206" i="76"/>
  <c r="O205" i="76"/>
  <c r="N205" i="76"/>
  <c r="O204" i="76"/>
  <c r="N204" i="76"/>
  <c r="O203" i="76"/>
  <c r="N203" i="76"/>
  <c r="O202" i="76"/>
  <c r="N202" i="76"/>
  <c r="O201" i="76"/>
  <c r="N201" i="76"/>
  <c r="O200" i="76"/>
  <c r="N200" i="76"/>
  <c r="O199" i="76"/>
  <c r="N199" i="76"/>
  <c r="O198" i="76"/>
  <c r="N198" i="76"/>
  <c r="O197" i="76"/>
  <c r="N197" i="76"/>
  <c r="O196" i="76"/>
  <c r="N196" i="76"/>
  <c r="O195" i="76"/>
  <c r="N195" i="76"/>
  <c r="O194" i="76"/>
  <c r="N194" i="76"/>
  <c r="O193" i="76"/>
  <c r="N193" i="76"/>
  <c r="O192" i="76"/>
  <c r="N192" i="76"/>
  <c r="O191" i="76"/>
  <c r="N191" i="76"/>
  <c r="O190" i="76"/>
  <c r="N190" i="76"/>
  <c r="O189" i="76"/>
  <c r="N189" i="76"/>
  <c r="O188" i="76"/>
  <c r="N188" i="76"/>
  <c r="O187" i="76"/>
  <c r="N187" i="76"/>
  <c r="O186" i="76"/>
  <c r="N186" i="76"/>
  <c r="O185" i="76"/>
  <c r="N185" i="76"/>
  <c r="O184" i="76"/>
  <c r="N184" i="76"/>
  <c r="O183" i="76"/>
  <c r="N183" i="76"/>
  <c r="O182" i="76"/>
  <c r="N182" i="76"/>
  <c r="O181" i="76"/>
  <c r="N181" i="76"/>
  <c r="O180" i="76"/>
  <c r="N180" i="76"/>
  <c r="O179" i="76"/>
  <c r="N179" i="76"/>
  <c r="O178" i="76"/>
  <c r="N178" i="76"/>
  <c r="O177" i="76"/>
  <c r="N177" i="76"/>
  <c r="O176" i="76"/>
  <c r="N176" i="76"/>
  <c r="O175" i="76"/>
  <c r="N175" i="76"/>
  <c r="O174" i="76"/>
  <c r="N174" i="76"/>
  <c r="O173" i="76"/>
  <c r="N173" i="76"/>
  <c r="O172" i="76"/>
  <c r="N172" i="76"/>
  <c r="O171" i="76"/>
  <c r="N171" i="76"/>
  <c r="O170" i="76"/>
  <c r="N170" i="76"/>
  <c r="O169" i="76"/>
  <c r="N169" i="76"/>
  <c r="O168" i="76"/>
  <c r="N168" i="76"/>
  <c r="O167" i="76"/>
  <c r="N167" i="76"/>
  <c r="O166" i="76"/>
  <c r="N166" i="76"/>
  <c r="O165" i="76"/>
  <c r="N165" i="76"/>
  <c r="O164" i="76"/>
  <c r="N164" i="76"/>
  <c r="O163" i="76"/>
  <c r="N163" i="76"/>
  <c r="O162" i="76"/>
  <c r="N162" i="76"/>
  <c r="O161" i="76"/>
  <c r="N161" i="76"/>
  <c r="O160" i="76"/>
  <c r="N160" i="76"/>
  <c r="O159" i="76"/>
  <c r="N159" i="76"/>
  <c r="O158" i="76"/>
  <c r="N158" i="76"/>
  <c r="O157" i="76"/>
  <c r="N157" i="76"/>
  <c r="O156" i="76"/>
  <c r="N156" i="76"/>
  <c r="O155" i="76"/>
  <c r="N155" i="76"/>
  <c r="O154" i="76"/>
  <c r="N154" i="76"/>
  <c r="O153" i="76"/>
  <c r="N153" i="76"/>
  <c r="O152" i="76"/>
  <c r="N152" i="76"/>
  <c r="N151" i="76"/>
  <c r="N150" i="76"/>
  <c r="O149" i="76"/>
  <c r="N149" i="76"/>
  <c r="O148" i="76"/>
  <c r="N148" i="76"/>
  <c r="O147" i="76"/>
  <c r="N147" i="76"/>
  <c r="O146" i="76"/>
  <c r="N146" i="76"/>
  <c r="O145" i="76"/>
  <c r="N145" i="76"/>
  <c r="O144" i="76"/>
  <c r="N144" i="76"/>
  <c r="O143" i="76"/>
  <c r="N143" i="76"/>
  <c r="O142" i="76"/>
  <c r="N142" i="76"/>
  <c r="O141" i="76"/>
  <c r="N141" i="76"/>
  <c r="O140" i="76"/>
  <c r="N140" i="76"/>
  <c r="O139" i="76"/>
  <c r="N139" i="76"/>
  <c r="O138" i="76"/>
  <c r="N138" i="76"/>
  <c r="O137" i="76"/>
  <c r="N137" i="76"/>
  <c r="O136" i="76"/>
  <c r="N136" i="76"/>
  <c r="O135" i="76"/>
  <c r="N135" i="76"/>
  <c r="O134" i="76"/>
  <c r="N134" i="76"/>
  <c r="O133" i="76"/>
  <c r="N133" i="76"/>
  <c r="O132" i="76"/>
  <c r="N132" i="76"/>
  <c r="O131" i="76"/>
  <c r="N131" i="76"/>
  <c r="O130" i="76"/>
  <c r="N130" i="76"/>
  <c r="O129" i="76"/>
  <c r="N129" i="76"/>
  <c r="O128" i="76"/>
  <c r="N128" i="76"/>
  <c r="O127" i="76"/>
  <c r="N127" i="76"/>
  <c r="O126" i="76"/>
  <c r="N126" i="76"/>
  <c r="O125" i="76"/>
  <c r="N125" i="76"/>
  <c r="O124" i="76"/>
  <c r="N124" i="76"/>
  <c r="O123" i="76"/>
  <c r="N123" i="76"/>
  <c r="O122" i="76"/>
  <c r="N122" i="76"/>
  <c r="O121" i="76"/>
  <c r="N121" i="76"/>
  <c r="O120" i="76"/>
  <c r="N120" i="76"/>
  <c r="O119" i="76"/>
  <c r="N119" i="76"/>
  <c r="O118" i="76"/>
  <c r="N118" i="76"/>
  <c r="O117" i="76"/>
  <c r="N117" i="76"/>
  <c r="O116" i="76"/>
  <c r="N116" i="76"/>
  <c r="O115" i="76"/>
  <c r="N115" i="76"/>
  <c r="O114" i="76"/>
  <c r="N114" i="76"/>
  <c r="O113" i="76"/>
  <c r="N113" i="76"/>
  <c r="O112" i="76"/>
  <c r="N112" i="76"/>
  <c r="O111" i="76"/>
  <c r="N111" i="76"/>
  <c r="O110" i="76"/>
  <c r="N110" i="76"/>
  <c r="O109" i="76"/>
  <c r="N109" i="76"/>
  <c r="O108" i="76"/>
  <c r="N108" i="76"/>
  <c r="O107" i="76"/>
  <c r="N107" i="76"/>
  <c r="O106" i="76"/>
  <c r="N106" i="76"/>
  <c r="O105" i="76"/>
  <c r="N105" i="76"/>
  <c r="O104" i="76"/>
  <c r="N104" i="76"/>
  <c r="O103" i="76"/>
  <c r="N103" i="76"/>
  <c r="O102" i="76"/>
  <c r="N102" i="76"/>
  <c r="O101" i="76"/>
  <c r="N101" i="76"/>
  <c r="O100" i="76"/>
  <c r="N100" i="76"/>
  <c r="O99" i="76"/>
  <c r="N99" i="76"/>
  <c r="O98" i="76"/>
  <c r="N98" i="76"/>
  <c r="O97" i="76"/>
  <c r="N97" i="76"/>
  <c r="O96" i="76"/>
  <c r="N96" i="76"/>
  <c r="O95" i="76"/>
  <c r="N95" i="76"/>
  <c r="O94" i="76"/>
  <c r="N94" i="76"/>
  <c r="O93" i="76"/>
  <c r="N93" i="76"/>
  <c r="O92" i="76"/>
  <c r="N92" i="76"/>
  <c r="O91" i="76"/>
  <c r="N91" i="76"/>
  <c r="O90" i="76"/>
  <c r="N90" i="76"/>
  <c r="O89" i="76"/>
  <c r="N89" i="76"/>
  <c r="O88" i="76"/>
  <c r="N88" i="76"/>
  <c r="O87" i="76"/>
  <c r="N87" i="76"/>
  <c r="O86" i="76"/>
  <c r="N86" i="76"/>
  <c r="O85" i="76"/>
  <c r="N85" i="76"/>
  <c r="O84" i="76"/>
  <c r="N84" i="76"/>
  <c r="O83" i="76"/>
  <c r="N83" i="76"/>
  <c r="O82" i="76"/>
  <c r="N82" i="76"/>
  <c r="O81" i="76"/>
  <c r="N81" i="76"/>
  <c r="O80" i="76"/>
  <c r="N80" i="76"/>
  <c r="O79" i="76"/>
  <c r="N79" i="76"/>
  <c r="O78" i="76"/>
  <c r="N78" i="76"/>
  <c r="O77" i="76"/>
  <c r="N77" i="76"/>
  <c r="O76" i="76"/>
  <c r="N76" i="76"/>
  <c r="O75" i="76"/>
  <c r="N75" i="76"/>
  <c r="O74" i="76"/>
  <c r="N74" i="76"/>
  <c r="O73" i="76"/>
  <c r="N73" i="76"/>
  <c r="O72" i="76"/>
  <c r="N72" i="76"/>
  <c r="O71" i="76"/>
  <c r="N71" i="76"/>
  <c r="O70" i="76"/>
  <c r="N70" i="76"/>
  <c r="O69" i="76"/>
  <c r="N69" i="76"/>
  <c r="O68" i="76"/>
  <c r="N68" i="76"/>
  <c r="O67" i="76"/>
  <c r="N67" i="76"/>
  <c r="O66" i="76"/>
  <c r="N66" i="76"/>
  <c r="O65" i="76"/>
  <c r="N65" i="76"/>
  <c r="O64" i="76"/>
  <c r="N64" i="76"/>
  <c r="O63" i="76"/>
  <c r="N63" i="76"/>
  <c r="O62" i="76"/>
  <c r="N62" i="76"/>
  <c r="O61" i="76"/>
  <c r="N61" i="76"/>
  <c r="O60" i="76"/>
  <c r="N60" i="76"/>
  <c r="O59" i="76"/>
  <c r="N59" i="76"/>
  <c r="O58" i="76"/>
  <c r="N58" i="76"/>
  <c r="O57" i="76"/>
  <c r="N57" i="76"/>
  <c r="O56" i="76"/>
  <c r="N56" i="76"/>
  <c r="O55" i="76"/>
  <c r="N55" i="76"/>
  <c r="O54" i="76"/>
  <c r="N54" i="76"/>
  <c r="O53" i="76"/>
  <c r="N53" i="76"/>
  <c r="O52" i="76"/>
  <c r="N52" i="76"/>
  <c r="O51" i="76"/>
  <c r="N51" i="76"/>
  <c r="O50" i="76"/>
  <c r="N50" i="76"/>
  <c r="O49" i="76"/>
  <c r="N49" i="76"/>
  <c r="O48" i="76"/>
  <c r="N48" i="76"/>
  <c r="O47" i="76"/>
  <c r="N47" i="76"/>
  <c r="O46" i="76"/>
  <c r="N46" i="76"/>
  <c r="O45" i="76"/>
  <c r="N45" i="76"/>
  <c r="O44" i="76"/>
  <c r="N44" i="76"/>
  <c r="O43" i="76"/>
  <c r="N43" i="76"/>
  <c r="O42" i="76"/>
  <c r="N42" i="76"/>
  <c r="O41" i="76"/>
  <c r="N41" i="76"/>
  <c r="O40" i="76"/>
  <c r="N40" i="76"/>
  <c r="O39" i="76"/>
  <c r="N39" i="76"/>
  <c r="O38" i="76"/>
  <c r="N38" i="76"/>
  <c r="O37" i="76"/>
  <c r="N37" i="76"/>
  <c r="O36" i="76"/>
  <c r="N36" i="76"/>
  <c r="O35" i="76"/>
  <c r="N35" i="76"/>
  <c r="O34" i="76"/>
  <c r="N34" i="76"/>
  <c r="O33" i="76"/>
  <c r="N33" i="76"/>
  <c r="O32" i="76"/>
  <c r="N32" i="76"/>
  <c r="O31" i="76"/>
  <c r="N31" i="76"/>
  <c r="O30" i="76"/>
  <c r="N30" i="76"/>
  <c r="O29" i="76"/>
  <c r="N29" i="76"/>
  <c r="O28" i="76"/>
  <c r="N28" i="76"/>
  <c r="O27" i="76"/>
  <c r="N27" i="76"/>
  <c r="O26" i="76"/>
  <c r="N26" i="76"/>
  <c r="O25" i="76"/>
  <c r="N25" i="76"/>
  <c r="O24" i="76"/>
  <c r="N24" i="76"/>
  <c r="O23" i="76"/>
  <c r="N23" i="76"/>
  <c r="O22" i="76"/>
  <c r="N22" i="76"/>
  <c r="O21" i="76"/>
  <c r="N21" i="76"/>
  <c r="O20" i="76"/>
  <c r="N20" i="76"/>
  <c r="O19" i="76"/>
  <c r="N19" i="76"/>
  <c r="O18" i="76"/>
  <c r="N18" i="76"/>
  <c r="O17" i="76"/>
  <c r="N17" i="76"/>
  <c r="O16" i="76"/>
  <c r="N16" i="76"/>
  <c r="O15" i="76"/>
  <c r="N15" i="76"/>
  <c r="O14" i="76"/>
  <c r="N14" i="76"/>
  <c r="O13" i="76"/>
  <c r="N13" i="76"/>
  <c r="O12" i="76"/>
  <c r="N12" i="76"/>
  <c r="O11" i="76"/>
  <c r="N11" i="76"/>
  <c r="O10" i="76"/>
  <c r="N10" i="76"/>
  <c r="O9" i="76"/>
  <c r="N9" i="76"/>
  <c r="O8" i="76"/>
  <c r="N8" i="76"/>
  <c r="O7" i="76"/>
  <c r="N7" i="76"/>
  <c r="O6" i="76"/>
  <c r="N6" i="76"/>
  <c r="O5" i="76"/>
  <c r="N5" i="76"/>
  <c r="O4" i="76"/>
  <c r="N4" i="76"/>
  <c r="O3" i="76"/>
  <c r="N3" i="76"/>
  <c r="O2" i="76"/>
  <c r="N2" i="76"/>
  <c r="O1" i="76"/>
  <c r="N1" i="76"/>
  <c r="O208" i="32"/>
  <c r="N208" i="32"/>
  <c r="O207" i="32"/>
  <c r="N207" i="32"/>
  <c r="O206" i="32"/>
  <c r="N206" i="32"/>
  <c r="O205" i="32"/>
  <c r="N205" i="32"/>
  <c r="O204" i="32"/>
  <c r="N204" i="32"/>
  <c r="O203" i="32"/>
  <c r="N203" i="32"/>
  <c r="O202" i="32"/>
  <c r="N202" i="32"/>
  <c r="O201" i="32"/>
  <c r="N201" i="32"/>
  <c r="O200" i="32"/>
  <c r="N200" i="32"/>
  <c r="O199" i="32"/>
  <c r="N199" i="32"/>
  <c r="O198" i="32"/>
  <c r="N198" i="32"/>
  <c r="O197" i="32"/>
  <c r="N197" i="32"/>
  <c r="O196" i="32"/>
  <c r="N196" i="32"/>
  <c r="O195" i="32"/>
  <c r="N195" i="32"/>
  <c r="O194" i="32"/>
  <c r="N194" i="32"/>
  <c r="O193" i="32"/>
  <c r="N193" i="32"/>
  <c r="O192" i="32"/>
  <c r="N192" i="32"/>
  <c r="O191" i="32"/>
  <c r="N191" i="32"/>
  <c r="O190" i="32"/>
  <c r="N190" i="32"/>
  <c r="O189" i="32"/>
  <c r="N189" i="32"/>
  <c r="O188" i="32"/>
  <c r="N188" i="32"/>
  <c r="O187" i="32"/>
  <c r="N187" i="32"/>
  <c r="O186" i="32"/>
  <c r="N186" i="32"/>
  <c r="O185" i="32"/>
  <c r="N185" i="32"/>
  <c r="O184" i="32"/>
  <c r="N184" i="32"/>
  <c r="O183" i="32"/>
  <c r="N183" i="32"/>
  <c r="O182" i="32"/>
  <c r="N182" i="32"/>
  <c r="O181" i="32"/>
  <c r="N181" i="32"/>
  <c r="O180" i="32"/>
  <c r="N180" i="32"/>
  <c r="O179" i="32"/>
  <c r="N179" i="32"/>
  <c r="O178" i="32"/>
  <c r="N178" i="32"/>
  <c r="O177" i="32"/>
  <c r="N177" i="32"/>
  <c r="O176" i="32"/>
  <c r="N176" i="32"/>
  <c r="O175" i="32"/>
  <c r="N175" i="32"/>
  <c r="O174" i="32"/>
  <c r="N174" i="32"/>
  <c r="O173" i="32"/>
  <c r="N173" i="32"/>
  <c r="O172" i="32"/>
  <c r="N172" i="32"/>
  <c r="O171" i="32"/>
  <c r="N171" i="32"/>
  <c r="O170" i="32"/>
  <c r="N170" i="32"/>
  <c r="O169" i="32"/>
  <c r="N169" i="32"/>
  <c r="O168" i="32"/>
  <c r="N168" i="32"/>
  <c r="O167" i="32"/>
  <c r="N167" i="32"/>
  <c r="O166" i="32"/>
  <c r="N166" i="32"/>
  <c r="O165" i="32"/>
  <c r="N165" i="32"/>
  <c r="O164" i="32"/>
  <c r="N164" i="32"/>
  <c r="O163" i="32"/>
  <c r="N163" i="32"/>
  <c r="O162" i="32"/>
  <c r="N162" i="32"/>
  <c r="O161" i="32"/>
  <c r="N161" i="32"/>
  <c r="O160" i="32"/>
  <c r="N160" i="32"/>
  <c r="O159" i="32"/>
  <c r="N159" i="32"/>
  <c r="O158" i="32"/>
  <c r="N158" i="32"/>
  <c r="O157" i="32"/>
  <c r="N157" i="32"/>
  <c r="O156" i="32"/>
  <c r="N156" i="32"/>
  <c r="O155" i="32"/>
  <c r="N155" i="32"/>
  <c r="O154" i="32"/>
  <c r="N154" i="32"/>
  <c r="O153" i="32"/>
  <c r="N153" i="32"/>
  <c r="O152" i="32"/>
  <c r="N152" i="32"/>
  <c r="N151" i="32"/>
  <c r="N150" i="32"/>
  <c r="O149" i="32"/>
  <c r="N149" i="32"/>
  <c r="O148" i="32"/>
  <c r="N148" i="32"/>
  <c r="O147" i="32"/>
  <c r="N147" i="32"/>
  <c r="O146" i="32"/>
  <c r="N146" i="32"/>
  <c r="O145" i="32"/>
  <c r="N145" i="32"/>
  <c r="O144" i="32"/>
  <c r="N144" i="32"/>
  <c r="O143" i="32"/>
  <c r="N143" i="32"/>
  <c r="O142" i="32"/>
  <c r="N142" i="32"/>
  <c r="O141" i="32"/>
  <c r="N141" i="32"/>
  <c r="O140" i="32"/>
  <c r="N140" i="32"/>
  <c r="O139" i="32"/>
  <c r="N139" i="32"/>
  <c r="O138" i="32"/>
  <c r="N138" i="32"/>
  <c r="O137" i="32"/>
  <c r="N137" i="32"/>
  <c r="O136" i="32"/>
  <c r="N136" i="32"/>
  <c r="O135" i="32"/>
  <c r="N135" i="32"/>
  <c r="O134" i="32"/>
  <c r="N134" i="32"/>
  <c r="O133" i="32"/>
  <c r="N133" i="32"/>
  <c r="O132" i="32"/>
  <c r="N132" i="32"/>
  <c r="O131" i="32"/>
  <c r="N131" i="32"/>
  <c r="O130" i="32"/>
  <c r="N130" i="32"/>
  <c r="O129" i="32"/>
  <c r="N129" i="32"/>
  <c r="O128" i="32"/>
  <c r="N128" i="32"/>
  <c r="O127" i="32"/>
  <c r="N127" i="32"/>
  <c r="O126" i="32"/>
  <c r="N126" i="32"/>
  <c r="O125" i="32"/>
  <c r="N125" i="32"/>
  <c r="O124" i="32"/>
  <c r="N124" i="32"/>
  <c r="O123" i="32"/>
  <c r="N123" i="32"/>
  <c r="O122" i="32"/>
  <c r="N122" i="32"/>
  <c r="O121" i="32"/>
  <c r="N121" i="32"/>
  <c r="O120" i="32"/>
  <c r="N120" i="32"/>
  <c r="O119" i="32"/>
  <c r="N119" i="32"/>
  <c r="O118" i="32"/>
  <c r="N118" i="32"/>
  <c r="O117" i="32"/>
  <c r="N117" i="32"/>
  <c r="O116" i="32"/>
  <c r="N116" i="32"/>
  <c r="O115" i="32"/>
  <c r="N115" i="32"/>
  <c r="O114" i="32"/>
  <c r="N114" i="32"/>
  <c r="O113" i="32"/>
  <c r="N113" i="32"/>
  <c r="O112" i="32"/>
  <c r="N112" i="32"/>
  <c r="O111" i="32"/>
  <c r="N111" i="32"/>
  <c r="O110" i="32"/>
  <c r="N110" i="32"/>
  <c r="O109" i="32"/>
  <c r="N109" i="32"/>
  <c r="O108" i="32"/>
  <c r="N108" i="32"/>
  <c r="O107" i="32"/>
  <c r="N107" i="32"/>
  <c r="O106" i="32"/>
  <c r="N106" i="32"/>
  <c r="O105" i="32"/>
  <c r="N105" i="32"/>
  <c r="O104" i="32"/>
  <c r="N104" i="32"/>
  <c r="O103" i="32"/>
  <c r="N103" i="32"/>
  <c r="O102" i="32"/>
  <c r="N102" i="32"/>
  <c r="O101" i="32"/>
  <c r="N101" i="32"/>
  <c r="O100" i="32"/>
  <c r="N100" i="32"/>
  <c r="O99" i="32"/>
  <c r="N99" i="32"/>
  <c r="O98" i="32"/>
  <c r="N98" i="32"/>
  <c r="O97" i="32"/>
  <c r="N97" i="32"/>
  <c r="O96" i="32"/>
  <c r="N96" i="32"/>
  <c r="O95" i="32"/>
  <c r="N95" i="32"/>
  <c r="O94" i="32"/>
  <c r="N94" i="32"/>
  <c r="O93" i="32"/>
  <c r="N93" i="32"/>
  <c r="O92" i="32"/>
  <c r="N92" i="32"/>
  <c r="O91" i="32"/>
  <c r="N91" i="32"/>
  <c r="O90" i="32"/>
  <c r="N90" i="32"/>
  <c r="O89" i="32"/>
  <c r="N89" i="32"/>
  <c r="O88" i="32"/>
  <c r="N88" i="32"/>
  <c r="O87" i="32"/>
  <c r="N87" i="32"/>
  <c r="O86" i="32"/>
  <c r="N86" i="32"/>
  <c r="O85" i="32"/>
  <c r="N85" i="32"/>
  <c r="O84" i="32"/>
  <c r="N84" i="32"/>
  <c r="O83" i="32"/>
  <c r="N83" i="32"/>
  <c r="O82" i="32"/>
  <c r="N82" i="32"/>
  <c r="O81" i="32"/>
  <c r="N81" i="32"/>
  <c r="O80" i="32"/>
  <c r="N80" i="32"/>
  <c r="O79" i="32"/>
  <c r="N79" i="32"/>
  <c r="O78" i="32"/>
  <c r="N78" i="32"/>
  <c r="O77" i="32"/>
  <c r="N77" i="32"/>
  <c r="O76" i="32"/>
  <c r="N76" i="32"/>
  <c r="O75" i="32"/>
  <c r="N75" i="32"/>
  <c r="O74" i="32"/>
  <c r="N74" i="32"/>
  <c r="O73" i="32"/>
  <c r="N73" i="32"/>
  <c r="O72" i="32"/>
  <c r="N72" i="32"/>
  <c r="O71" i="32"/>
  <c r="N71" i="32"/>
  <c r="O70" i="32"/>
  <c r="N70" i="32"/>
  <c r="O69" i="32"/>
  <c r="N69" i="32"/>
  <c r="O68" i="32"/>
  <c r="N68" i="32"/>
  <c r="O67" i="32"/>
  <c r="N67" i="32"/>
  <c r="O66" i="32"/>
  <c r="N66" i="32"/>
  <c r="O65" i="32"/>
  <c r="N65" i="32"/>
  <c r="O64" i="32"/>
  <c r="N64" i="32"/>
  <c r="O63" i="32"/>
  <c r="N63" i="32"/>
  <c r="O62" i="32"/>
  <c r="N62" i="32"/>
  <c r="O61" i="32"/>
  <c r="N61" i="32"/>
  <c r="O60" i="32"/>
  <c r="N60" i="32"/>
  <c r="O59" i="32"/>
  <c r="N59" i="32"/>
  <c r="O58" i="32"/>
  <c r="N58" i="32"/>
  <c r="O57" i="32"/>
  <c r="N57" i="32"/>
  <c r="O56" i="32"/>
  <c r="N56" i="32"/>
  <c r="O55" i="32"/>
  <c r="N55" i="32"/>
  <c r="O54" i="32"/>
  <c r="N54" i="32"/>
  <c r="O53" i="32"/>
  <c r="N53" i="32"/>
  <c r="O52" i="32"/>
  <c r="N52" i="32"/>
  <c r="O51" i="32"/>
  <c r="N51" i="32"/>
  <c r="O50" i="32"/>
  <c r="N50" i="32"/>
  <c r="O49" i="32"/>
  <c r="N49" i="32"/>
  <c r="O48" i="32"/>
  <c r="N48" i="32"/>
  <c r="O47" i="32"/>
  <c r="N47" i="32"/>
  <c r="O46" i="32"/>
  <c r="N46" i="32"/>
  <c r="O45" i="32"/>
  <c r="N45" i="32"/>
  <c r="O44" i="32"/>
  <c r="N44" i="32"/>
  <c r="O43" i="32"/>
  <c r="N43" i="32"/>
  <c r="O42" i="32"/>
  <c r="N42" i="32"/>
  <c r="O41" i="32"/>
  <c r="N41" i="32"/>
  <c r="O40" i="32"/>
  <c r="N40" i="32"/>
  <c r="O39" i="32"/>
  <c r="N39" i="32"/>
  <c r="O38" i="32"/>
  <c r="N38" i="32"/>
  <c r="O37" i="32"/>
  <c r="N37" i="32"/>
  <c r="O36" i="32"/>
  <c r="N36" i="32"/>
  <c r="O35" i="32"/>
  <c r="N35" i="32"/>
  <c r="O34" i="32"/>
  <c r="N34" i="32"/>
  <c r="O33" i="32"/>
  <c r="N33" i="32"/>
  <c r="O32" i="32"/>
  <c r="N32" i="32"/>
  <c r="O31" i="32"/>
  <c r="N31" i="32"/>
  <c r="O30" i="32"/>
  <c r="N30" i="32"/>
  <c r="O29" i="32"/>
  <c r="N29" i="32"/>
  <c r="O28" i="32"/>
  <c r="N28" i="32"/>
  <c r="O27" i="32"/>
  <c r="N27" i="32"/>
  <c r="O26" i="32"/>
  <c r="N26" i="32"/>
  <c r="O25" i="32"/>
  <c r="N25" i="32"/>
  <c r="O24" i="32"/>
  <c r="N24" i="32"/>
  <c r="O23" i="32"/>
  <c r="N23" i="32"/>
  <c r="O22" i="32"/>
  <c r="N22" i="32"/>
  <c r="O21" i="32"/>
  <c r="N21" i="32"/>
  <c r="O20" i="32"/>
  <c r="N20" i="32"/>
  <c r="O19" i="32"/>
  <c r="N19" i="32"/>
  <c r="O18" i="32"/>
  <c r="N18" i="32"/>
  <c r="O17" i="32"/>
  <c r="N17" i="32"/>
  <c r="O16" i="32"/>
  <c r="N16" i="32"/>
  <c r="O15" i="32"/>
  <c r="N15" i="32"/>
  <c r="O14" i="32"/>
  <c r="N14" i="32"/>
  <c r="O13" i="32"/>
  <c r="N13" i="32"/>
  <c r="O12" i="32"/>
  <c r="N12" i="32"/>
  <c r="O11" i="32"/>
  <c r="N11" i="32"/>
  <c r="O10" i="32"/>
  <c r="N10" i="32"/>
  <c r="O9" i="32"/>
  <c r="N9" i="32"/>
  <c r="O8" i="32"/>
  <c r="N8" i="32"/>
  <c r="O7" i="32"/>
  <c r="N7" i="32"/>
  <c r="O6" i="32"/>
  <c r="N6" i="32"/>
  <c r="O5" i="32"/>
  <c r="N5" i="32"/>
  <c r="O4" i="32"/>
  <c r="N4" i="32"/>
  <c r="O3" i="32"/>
  <c r="N3" i="32"/>
  <c r="O2" i="32"/>
  <c r="N2" i="32"/>
  <c r="O1" i="32"/>
  <c r="N1" i="32"/>
  <c r="N129" i="31"/>
  <c r="O129" i="31"/>
  <c r="N130" i="31"/>
  <c r="O130" i="31"/>
  <c r="N131" i="31"/>
  <c r="O131" i="31"/>
  <c r="N132" i="31"/>
  <c r="O132" i="31"/>
  <c r="N133" i="31"/>
  <c r="O133" i="31"/>
  <c r="N134" i="31"/>
  <c r="O134" i="31"/>
  <c r="N135" i="31"/>
  <c r="O135" i="31"/>
  <c r="N123" i="31"/>
  <c r="O123" i="31"/>
  <c r="N124" i="31"/>
  <c r="O124" i="31"/>
  <c r="N125" i="31"/>
  <c r="O125" i="31"/>
  <c r="N112" i="31"/>
  <c r="O112" i="31"/>
  <c r="N80" i="31"/>
  <c r="O80" i="31"/>
  <c r="N81" i="31"/>
  <c r="O81" i="31"/>
  <c r="N82" i="31"/>
  <c r="O82" i="31"/>
  <c r="N83" i="31"/>
  <c r="O83" i="31"/>
  <c r="N72" i="31"/>
  <c r="O72" i="31"/>
  <c r="N73" i="31"/>
  <c r="O73" i="31"/>
  <c r="N63" i="31"/>
  <c r="O63" i="31"/>
  <c r="N64" i="31"/>
  <c r="O64" i="31"/>
  <c r="N65" i="31"/>
  <c r="O65" i="31"/>
  <c r="N32" i="31"/>
  <c r="O32" i="31"/>
  <c r="N22" i="31"/>
  <c r="O22" i="31"/>
  <c r="N16" i="31"/>
  <c r="O16" i="31"/>
  <c r="N17" i="31"/>
  <c r="O17" i="31"/>
  <c r="N18" i="31"/>
  <c r="O18" i="31"/>
  <c r="N7" i="31"/>
  <c r="O7" i="31"/>
  <c r="N8" i="31"/>
  <c r="O8" i="31"/>
  <c r="N9" i="31"/>
  <c r="O9" i="31"/>
  <c r="N129" i="73" l="1"/>
  <c r="O129" i="73"/>
  <c r="N130" i="73"/>
  <c r="O130" i="73"/>
  <c r="N131" i="73"/>
  <c r="O131" i="73"/>
  <c r="N132" i="73"/>
  <c r="O132" i="73"/>
  <c r="N133" i="73"/>
  <c r="O133" i="73"/>
  <c r="N134" i="73"/>
  <c r="O134" i="73"/>
  <c r="N135" i="73"/>
  <c r="O135" i="73"/>
  <c r="N123" i="73"/>
  <c r="O123" i="73"/>
  <c r="N124" i="73"/>
  <c r="O124" i="73"/>
  <c r="N125" i="73"/>
  <c r="O125" i="73"/>
  <c r="N112" i="73"/>
  <c r="O112" i="73"/>
  <c r="N80" i="73"/>
  <c r="O80" i="73"/>
  <c r="N81" i="73"/>
  <c r="O81" i="73"/>
  <c r="N82" i="73"/>
  <c r="O82" i="73"/>
  <c r="N83" i="73"/>
  <c r="O83" i="73"/>
  <c r="N72" i="73"/>
  <c r="O72" i="73"/>
  <c r="N73" i="73"/>
  <c r="O73" i="73"/>
  <c r="N63" i="73"/>
  <c r="O63" i="73"/>
  <c r="N64" i="73"/>
  <c r="O64" i="73"/>
  <c r="N65" i="73"/>
  <c r="O65" i="73"/>
  <c r="N32" i="73"/>
  <c r="O32" i="73"/>
  <c r="N22" i="73"/>
  <c r="O22" i="73"/>
  <c r="N23" i="73"/>
  <c r="O23" i="73"/>
  <c r="N16" i="73"/>
  <c r="O16" i="73"/>
  <c r="N17" i="73"/>
  <c r="O17" i="73"/>
  <c r="N18" i="73"/>
  <c r="O18" i="73"/>
  <c r="N7" i="73"/>
  <c r="O7" i="73"/>
  <c r="N8" i="73"/>
  <c r="O8" i="73"/>
  <c r="A41" i="82"/>
  <c r="B41" i="82"/>
  <c r="A22" i="82"/>
  <c r="B22" i="82"/>
  <c r="A23" i="82"/>
  <c r="B23" i="82"/>
  <c r="A24" i="82"/>
  <c r="B24" i="82"/>
  <c r="A25" i="82"/>
  <c r="B25" i="82"/>
  <c r="A26" i="82"/>
  <c r="B26" i="82"/>
  <c r="A8" i="82"/>
  <c r="B8" i="82"/>
  <c r="A9" i="82"/>
  <c r="B9" i="82"/>
  <c r="A10" i="82"/>
  <c r="B10" i="82"/>
  <c r="A11" i="82"/>
  <c r="B11" i="82"/>
  <c r="A12" i="82"/>
  <c r="B12" i="82"/>
  <c r="A13" i="82"/>
  <c r="B13" i="82"/>
  <c r="A14" i="82"/>
  <c r="B14" i="82"/>
  <c r="A15" i="82"/>
  <c r="B15" i="82"/>
  <c r="A16" i="82"/>
  <c r="B16" i="82"/>
  <c r="A17" i="82"/>
  <c r="B17" i="82"/>
  <c r="A14" i="69"/>
  <c r="B14" i="69"/>
  <c r="B14" i="35" s="1"/>
  <c r="I14" i="35" s="1"/>
  <c r="K14" i="35" s="1"/>
  <c r="A15" i="69"/>
  <c r="B15" i="69"/>
  <c r="B15" i="35" s="1"/>
  <c r="I15" i="35" s="1"/>
  <c r="K15" i="35" s="1"/>
  <c r="A16" i="69"/>
  <c r="B16" i="69"/>
  <c r="B16" i="35" s="1"/>
  <c r="I16" i="35" s="1"/>
  <c r="K16" i="35" s="1"/>
  <c r="A17" i="69"/>
  <c r="B17" i="69"/>
  <c r="B17" i="35" s="1"/>
  <c r="I17" i="35" s="1"/>
  <c r="K17" i="35" s="1"/>
  <c r="A18" i="69"/>
  <c r="B18" i="69"/>
  <c r="B18" i="35" s="1"/>
  <c r="I18" i="35" s="1"/>
  <c r="K18" i="35" s="1"/>
  <c r="A19" i="69"/>
  <c r="B19" i="69"/>
  <c r="B19" i="35" s="1"/>
  <c r="I19" i="35" s="1"/>
  <c r="K19" i="35" s="1"/>
  <c r="A20" i="69"/>
  <c r="B20" i="69"/>
  <c r="B20" i="35" s="1"/>
  <c r="I20" i="35" s="1"/>
  <c r="K20" i="35" s="1"/>
  <c r="A8" i="69"/>
  <c r="B8" i="69"/>
  <c r="B8" i="35" s="1"/>
  <c r="I8" i="35" s="1"/>
  <c r="K8" i="35" s="1"/>
  <c r="A9" i="69"/>
  <c r="B9" i="69"/>
  <c r="B9" i="35" s="1"/>
  <c r="I9" i="35" s="1"/>
  <c r="K9" i="35" s="1"/>
  <c r="A10" i="69"/>
  <c r="B10" i="69"/>
  <c r="B10" i="35" s="1"/>
  <c r="I10" i="35" s="1"/>
  <c r="K10" i="35" s="1"/>
  <c r="C10" i="75" l="1"/>
  <c r="B10" i="75" s="1"/>
  <c r="B10" i="81" s="1"/>
  <c r="I10" i="81" s="1"/>
  <c r="K10" i="81" s="1"/>
  <c r="C10" i="37" s="1"/>
  <c r="D11" i="53" s="1"/>
  <c r="E11" i="55" s="1"/>
  <c r="H10" i="37"/>
  <c r="D11" i="88" s="1"/>
  <c r="E11" i="90" s="1"/>
  <c r="H9" i="37"/>
  <c r="D10" i="88" s="1"/>
  <c r="E10" i="90" s="1"/>
  <c r="C9" i="75"/>
  <c r="B9" i="75" s="1"/>
  <c r="B9" i="81" s="1"/>
  <c r="I9" i="81" s="1"/>
  <c r="K9" i="81" s="1"/>
  <c r="C9" i="37" s="1"/>
  <c r="D10" i="53" s="1"/>
  <c r="E10" i="55" s="1"/>
  <c r="H18" i="37"/>
  <c r="D19" i="88" s="1"/>
  <c r="E19" i="90" s="1"/>
  <c r="C18" i="75"/>
  <c r="B18" i="75" s="1"/>
  <c r="B18" i="81" s="1"/>
  <c r="I18" i="81" s="1"/>
  <c r="K18" i="81" s="1"/>
  <c r="C18" i="37" s="1"/>
  <c r="D19" i="53" s="1"/>
  <c r="E19" i="55" s="1"/>
  <c r="H16" i="37"/>
  <c r="D17" i="88" s="1"/>
  <c r="E17" i="90" s="1"/>
  <c r="C16" i="75"/>
  <c r="B16" i="75" s="1"/>
  <c r="B16" i="81" s="1"/>
  <c r="I16" i="81" s="1"/>
  <c r="K16" i="81" s="1"/>
  <c r="C16" i="37" s="1"/>
  <c r="D17" i="53" s="1"/>
  <c r="E17" i="55" s="1"/>
  <c r="H20" i="37"/>
  <c r="D21" i="88" s="1"/>
  <c r="E21" i="90" s="1"/>
  <c r="C20" i="75"/>
  <c r="B20" i="75" s="1"/>
  <c r="B20" i="81" s="1"/>
  <c r="I20" i="81" s="1"/>
  <c r="K20" i="81" s="1"/>
  <c r="C20" i="37" s="1"/>
  <c r="D21" i="53" s="1"/>
  <c r="E21" i="55" s="1"/>
  <c r="H14" i="37"/>
  <c r="D15" i="88" s="1"/>
  <c r="E15" i="90" s="1"/>
  <c r="C14" i="75"/>
  <c r="B14" i="75" s="1"/>
  <c r="B14" i="81" s="1"/>
  <c r="I14" i="81" s="1"/>
  <c r="K14" i="81" s="1"/>
  <c r="C14" i="37" s="1"/>
  <c r="D15" i="53" s="1"/>
  <c r="E15" i="55" s="1"/>
  <c r="C17" i="75"/>
  <c r="B17" i="75" s="1"/>
  <c r="B17" i="81" s="1"/>
  <c r="I17" i="81" s="1"/>
  <c r="K17" i="81" s="1"/>
  <c r="C17" i="37" s="1"/>
  <c r="D18" i="53" s="1"/>
  <c r="E18" i="55" s="1"/>
  <c r="H17" i="37"/>
  <c r="D18" i="88" s="1"/>
  <c r="E18" i="90" s="1"/>
  <c r="H8" i="37"/>
  <c r="D9" i="88" s="1"/>
  <c r="E9" i="90" s="1"/>
  <c r="C8" i="75"/>
  <c r="B8" i="75" s="1"/>
  <c r="B8" i="81" s="1"/>
  <c r="I8" i="81" s="1"/>
  <c r="K8" i="81" s="1"/>
  <c r="C8" i="37" s="1"/>
  <c r="D9" i="53" s="1"/>
  <c r="E9" i="55" s="1"/>
  <c r="C19" i="75"/>
  <c r="B19" i="75" s="1"/>
  <c r="B19" i="81" s="1"/>
  <c r="I19" i="81" s="1"/>
  <c r="K19" i="81" s="1"/>
  <c r="C19" i="37" s="1"/>
  <c r="D20" i="53" s="1"/>
  <c r="E20" i="55" s="1"/>
  <c r="H19" i="37"/>
  <c r="D20" i="88" s="1"/>
  <c r="E20" i="90" s="1"/>
  <c r="C15" i="75"/>
  <c r="B15" i="75" s="1"/>
  <c r="B15" i="81" s="1"/>
  <c r="I15" i="81" s="1"/>
  <c r="K15" i="81" s="1"/>
  <c r="C15" i="37" s="1"/>
  <c r="D16" i="53" s="1"/>
  <c r="E16" i="55" s="1"/>
  <c r="H15" i="37"/>
  <c r="D16" i="88" s="1"/>
  <c r="E16" i="90" s="1"/>
  <c r="A112" i="70"/>
  <c r="B112" i="70"/>
  <c r="B57" i="34" s="1"/>
  <c r="A80" i="70"/>
  <c r="B80" i="70"/>
  <c r="B25" i="34" s="1"/>
  <c r="A81" i="70"/>
  <c r="B81" i="70"/>
  <c r="B26" i="34" s="1"/>
  <c r="A82" i="70"/>
  <c r="B82" i="70"/>
  <c r="B27" i="34" s="1"/>
  <c r="A83" i="70"/>
  <c r="B83" i="70"/>
  <c r="B28" i="34" s="1"/>
  <c r="A72" i="70"/>
  <c r="B72" i="70"/>
  <c r="B17" i="34" s="1"/>
  <c r="A73" i="70"/>
  <c r="B73" i="70"/>
  <c r="B18" i="34" s="1"/>
  <c r="C31" i="70"/>
  <c r="C58" i="70"/>
  <c r="C123" i="70" s="1"/>
  <c r="A63" i="70"/>
  <c r="B63" i="70"/>
  <c r="B8" i="34" s="1"/>
  <c r="A64" i="70"/>
  <c r="B64" i="70"/>
  <c r="B9" i="34" s="1"/>
  <c r="A65" i="70"/>
  <c r="B65" i="70"/>
  <c r="B10" i="34" s="1"/>
  <c r="A33" i="70"/>
  <c r="B33" i="70"/>
  <c r="B33" i="33" s="1"/>
  <c r="A23" i="70"/>
  <c r="B23" i="70"/>
  <c r="B23" i="33" s="1"/>
  <c r="A17" i="70"/>
  <c r="B17" i="70"/>
  <c r="B17" i="33" s="1"/>
  <c r="A18" i="70"/>
  <c r="B18" i="70"/>
  <c r="B18" i="33" s="1"/>
  <c r="A19" i="70"/>
  <c r="B19" i="70"/>
  <c r="B19" i="33" s="1"/>
  <c r="A8" i="70"/>
  <c r="B8" i="70"/>
  <c r="B8" i="33" s="1"/>
  <c r="A9" i="70"/>
  <c r="B9" i="70"/>
  <c r="B9" i="33" s="1"/>
  <c r="A103" i="62"/>
  <c r="A104" i="62"/>
  <c r="A105" i="62"/>
  <c r="A106" i="62"/>
  <c r="A107" i="62"/>
  <c r="A108" i="62"/>
  <c r="A109" i="62"/>
  <c r="A97" i="62"/>
  <c r="A98" i="62"/>
  <c r="A99" i="62"/>
  <c r="A14" i="62"/>
  <c r="A15" i="62"/>
  <c r="A16" i="62"/>
  <c r="A17" i="62"/>
  <c r="A18" i="62"/>
  <c r="A19" i="62"/>
  <c r="A20" i="62"/>
  <c r="A8" i="62"/>
  <c r="A9" i="62"/>
  <c r="A10" i="62"/>
  <c r="A11" i="62"/>
  <c r="A114" i="46"/>
  <c r="A115" i="46"/>
  <c r="A82" i="46"/>
  <c r="A83" i="46"/>
  <c r="A84" i="46"/>
  <c r="A85" i="46"/>
  <c r="A86" i="46"/>
  <c r="A74" i="46"/>
  <c r="A75" i="46"/>
  <c r="A76" i="46"/>
  <c r="A65" i="46"/>
  <c r="A66" i="46"/>
  <c r="A67" i="46"/>
  <c r="A68" i="46"/>
  <c r="A34" i="46" l="1"/>
  <c r="A24" i="46"/>
  <c r="A21" i="46"/>
  <c r="A18" i="46"/>
  <c r="A19" i="46"/>
  <c r="A20" i="46"/>
  <c r="A9" i="46"/>
  <c r="A10" i="46"/>
  <c r="A11" i="46"/>
  <c r="A15" i="68" l="1"/>
  <c r="J15" i="68"/>
  <c r="F15" i="68" s="1"/>
  <c r="A16" i="68"/>
  <c r="J16" i="68"/>
  <c r="F16" i="68" s="1"/>
  <c r="A17" i="68"/>
  <c r="J17" i="68"/>
  <c r="F17" i="68" s="1"/>
  <c r="A18" i="68"/>
  <c r="J18" i="68"/>
  <c r="F18" i="68" s="1"/>
  <c r="A19" i="68"/>
  <c r="J19" i="68"/>
  <c r="F19" i="68" s="1"/>
  <c r="A20" i="68"/>
  <c r="J20" i="68"/>
  <c r="F20" i="68" s="1"/>
  <c r="A14" i="68"/>
  <c r="J14" i="68"/>
  <c r="F14" i="68" s="1"/>
  <c r="A8" i="68"/>
  <c r="J8" i="68"/>
  <c r="F8" i="68" s="1"/>
  <c r="A9" i="68"/>
  <c r="J9" i="68"/>
  <c r="F9" i="68" s="1"/>
  <c r="A10" i="68"/>
  <c r="J10" i="68"/>
  <c r="F10" i="68" s="1"/>
  <c r="A112" i="67"/>
  <c r="J112" i="67"/>
  <c r="F112" i="67" s="1"/>
  <c r="E10" i="68" l="1"/>
  <c r="B10" i="68" s="1"/>
  <c r="C11" i="88"/>
  <c r="J10" i="37"/>
  <c r="D99" i="62"/>
  <c r="F99" i="62" s="1"/>
  <c r="E99" i="62" s="1"/>
  <c r="E8" i="68"/>
  <c r="B8" i="68" s="1"/>
  <c r="J8" i="37"/>
  <c r="C9" i="88"/>
  <c r="D97" i="62"/>
  <c r="F97" i="62" s="1"/>
  <c r="E97" i="62" s="1"/>
  <c r="E18" i="68"/>
  <c r="B18" i="68" s="1"/>
  <c r="C19" i="88"/>
  <c r="J18" i="37"/>
  <c r="D107" i="62"/>
  <c r="F107" i="62" s="1"/>
  <c r="E107" i="62" s="1"/>
  <c r="E9" i="68"/>
  <c r="B9" i="68" s="1"/>
  <c r="C10" i="88"/>
  <c r="J9" i="37"/>
  <c r="D98" i="62"/>
  <c r="F98" i="62" s="1"/>
  <c r="E98" i="62" s="1"/>
  <c r="E17" i="68"/>
  <c r="B17" i="68" s="1"/>
  <c r="C18" i="88"/>
  <c r="J17" i="37"/>
  <c r="D106" i="62"/>
  <c r="F106" i="62" s="1"/>
  <c r="E106" i="62" s="1"/>
  <c r="E20" i="68"/>
  <c r="B20" i="68" s="1"/>
  <c r="J20" i="37"/>
  <c r="C21" i="88"/>
  <c r="D109" i="62"/>
  <c r="F109" i="62" s="1"/>
  <c r="E109" i="62" s="1"/>
  <c r="E16" i="68"/>
  <c r="B16" i="68" s="1"/>
  <c r="J16" i="37"/>
  <c r="C17" i="88"/>
  <c r="D105" i="62"/>
  <c r="F105" i="62" s="1"/>
  <c r="E105" i="62" s="1"/>
  <c r="E14" i="68"/>
  <c r="B14" i="68" s="1"/>
  <c r="J14" i="37"/>
  <c r="C15" i="88"/>
  <c r="D103" i="62"/>
  <c r="F103" i="62" s="1"/>
  <c r="E103" i="62" s="1"/>
  <c r="E19" i="68"/>
  <c r="B19" i="68" s="1"/>
  <c r="C20" i="88"/>
  <c r="J19" i="37"/>
  <c r="D108" i="62"/>
  <c r="F108" i="62" s="1"/>
  <c r="E108" i="62" s="1"/>
  <c r="E15" i="68"/>
  <c r="B15" i="68" s="1"/>
  <c r="C16" i="88"/>
  <c r="J15" i="37"/>
  <c r="D104" i="62"/>
  <c r="F104" i="62" s="1"/>
  <c r="E104" i="62" s="1"/>
  <c r="E112" i="67"/>
  <c r="B112" i="67" s="1"/>
  <c r="J117" i="36"/>
  <c r="K58" i="87"/>
  <c r="H114" i="46"/>
  <c r="J114" i="46" s="1"/>
  <c r="I114" i="46" s="1"/>
  <c r="D31" i="67"/>
  <c r="C31" i="67"/>
  <c r="C58" i="67"/>
  <c r="C123" i="67" s="1"/>
  <c r="D58" i="67"/>
  <c r="D123" i="67" s="1"/>
  <c r="G58" i="67"/>
  <c r="G123" i="67" s="1"/>
  <c r="H58" i="67"/>
  <c r="H123" i="67" s="1"/>
  <c r="I58" i="67"/>
  <c r="I123" i="67" s="1"/>
  <c r="K58" i="67"/>
  <c r="K123" i="67" s="1"/>
  <c r="L58" i="67"/>
  <c r="L123" i="67" s="1"/>
  <c r="M58" i="67"/>
  <c r="M123" i="67" s="1"/>
  <c r="N58" i="67"/>
  <c r="N123" i="67" s="1"/>
  <c r="O58" i="67"/>
  <c r="O123" i="67" s="1"/>
  <c r="P58" i="67"/>
  <c r="P123" i="67" s="1"/>
  <c r="Q58" i="67"/>
  <c r="Q123" i="67" s="1"/>
  <c r="R58" i="67"/>
  <c r="R123" i="67" s="1"/>
  <c r="S58" i="67"/>
  <c r="S123" i="67" s="1"/>
  <c r="T58" i="67"/>
  <c r="T123" i="67" s="1"/>
  <c r="U58" i="67"/>
  <c r="U123" i="67" s="1"/>
  <c r="V58" i="67"/>
  <c r="V123" i="67" s="1"/>
  <c r="W58" i="67"/>
  <c r="W123" i="67" s="1"/>
  <c r="X58" i="67"/>
  <c r="X123" i="67" s="1"/>
  <c r="Y58" i="67"/>
  <c r="Y123" i="67" s="1"/>
  <c r="Z58" i="67"/>
  <c r="Z123" i="67" s="1"/>
  <c r="AA58" i="67"/>
  <c r="AA123" i="67" s="1"/>
  <c r="AB58" i="67"/>
  <c r="AB123" i="67" s="1"/>
  <c r="AC58" i="67"/>
  <c r="AC123" i="67" s="1"/>
  <c r="AD58" i="67"/>
  <c r="AD123" i="67" s="1"/>
  <c r="AE58" i="67"/>
  <c r="AE123" i="67" s="1"/>
  <c r="AF58" i="67"/>
  <c r="AF123" i="67" s="1"/>
  <c r="AG58" i="67"/>
  <c r="AG123" i="67" s="1"/>
  <c r="AH58" i="67"/>
  <c r="AH123" i="67" s="1"/>
  <c r="AI58" i="67"/>
  <c r="AI123" i="67" s="1"/>
  <c r="A80" i="67"/>
  <c r="J80" i="67"/>
  <c r="F80" i="67" s="1"/>
  <c r="A81" i="67"/>
  <c r="J81" i="67"/>
  <c r="F81" i="67" s="1"/>
  <c r="A82" i="67"/>
  <c r="J82" i="67"/>
  <c r="F82" i="67" s="1"/>
  <c r="A83" i="67"/>
  <c r="J83" i="67"/>
  <c r="F83" i="67" s="1"/>
  <c r="A72" i="67"/>
  <c r="J72" i="67"/>
  <c r="F72" i="67" s="1"/>
  <c r="A73" i="67"/>
  <c r="J73" i="67"/>
  <c r="F73" i="67" s="1"/>
  <c r="A63" i="67"/>
  <c r="J63" i="67"/>
  <c r="F63" i="67" s="1"/>
  <c r="A64" i="67"/>
  <c r="J64" i="67"/>
  <c r="F64" i="67" s="1"/>
  <c r="A65" i="67"/>
  <c r="J65" i="67"/>
  <c r="F65" i="67" s="1"/>
  <c r="A33" i="67"/>
  <c r="J33" i="67"/>
  <c r="F33" i="67" s="1"/>
  <c r="A23" i="67"/>
  <c r="J23" i="67"/>
  <c r="F23" i="67" s="1"/>
  <c r="A17" i="67"/>
  <c r="J17" i="67"/>
  <c r="F17" i="67" s="1"/>
  <c r="A18" i="67"/>
  <c r="J18" i="67"/>
  <c r="F18" i="67" s="1"/>
  <c r="A19" i="67"/>
  <c r="J19" i="67"/>
  <c r="F19" i="67" s="1"/>
  <c r="A8" i="67"/>
  <c r="J8" i="67"/>
  <c r="F8" i="67" s="1"/>
  <c r="A9" i="67"/>
  <c r="J9" i="67"/>
  <c r="F9" i="67" s="1"/>
  <c r="A55" i="67"/>
  <c r="AA129" i="3"/>
  <c r="AA130" i="3"/>
  <c r="AA131" i="3"/>
  <c r="AA132" i="3"/>
  <c r="AA133" i="3"/>
  <c r="AA134" i="3"/>
  <c r="AA135" i="3"/>
  <c r="AA123" i="3"/>
  <c r="AA124" i="3"/>
  <c r="AA125" i="3"/>
  <c r="AA112" i="3"/>
  <c r="AA80" i="3"/>
  <c r="AA81" i="3"/>
  <c r="AA82" i="3"/>
  <c r="AA83" i="3"/>
  <c r="AA72" i="3"/>
  <c r="AA73" i="3"/>
  <c r="AA63" i="3"/>
  <c r="AA64" i="3"/>
  <c r="AA65" i="3"/>
  <c r="AA32" i="3"/>
  <c r="AA22" i="3"/>
  <c r="AA16" i="3"/>
  <c r="AA17" i="3"/>
  <c r="AA18" i="3"/>
  <c r="AA7" i="3"/>
  <c r="AA8" i="3"/>
  <c r="F15" i="88" l="1"/>
  <c r="C15" i="90"/>
  <c r="E15" i="88"/>
  <c r="C17" i="90"/>
  <c r="F17" i="88"/>
  <c r="G17" i="88" s="1"/>
  <c r="E17" i="88"/>
  <c r="F21" i="88"/>
  <c r="C21" i="90"/>
  <c r="E21" i="88"/>
  <c r="C9" i="90"/>
  <c r="E9" i="88"/>
  <c r="F9" i="88"/>
  <c r="E16" i="88"/>
  <c r="C16" i="90"/>
  <c r="F16" i="88"/>
  <c r="G16" i="88" s="1"/>
  <c r="C20" i="90"/>
  <c r="E20" i="88"/>
  <c r="F20" i="88"/>
  <c r="G20" i="88" s="1"/>
  <c r="F18" i="88"/>
  <c r="G18" i="88" s="1"/>
  <c r="C18" i="90"/>
  <c r="E18" i="88"/>
  <c r="C10" i="90"/>
  <c r="E10" i="88"/>
  <c r="F10" i="88"/>
  <c r="C19" i="90"/>
  <c r="E19" i="88"/>
  <c r="F19" i="88"/>
  <c r="G19" i="88" s="1"/>
  <c r="C11" i="90"/>
  <c r="F11" i="88"/>
  <c r="E11" i="88"/>
  <c r="C16" i="53"/>
  <c r="E15" i="37"/>
  <c r="D15" i="62"/>
  <c r="F15" i="62" s="1"/>
  <c r="E15" i="62" s="1"/>
  <c r="C20" i="53"/>
  <c r="E19" i="37"/>
  <c r="D19" i="62"/>
  <c r="F19" i="62" s="1"/>
  <c r="E19" i="62" s="1"/>
  <c r="E14" i="37"/>
  <c r="C15" i="53"/>
  <c r="D14" i="62"/>
  <c r="F14" i="62" s="1"/>
  <c r="E14" i="62" s="1"/>
  <c r="C17" i="53"/>
  <c r="E16" i="37"/>
  <c r="D16" i="62"/>
  <c r="F16" i="62" s="1"/>
  <c r="E16" i="62" s="1"/>
  <c r="C21" i="53"/>
  <c r="E20" i="37"/>
  <c r="D20" i="62"/>
  <c r="F20" i="62" s="1"/>
  <c r="E20" i="62" s="1"/>
  <c r="E17" i="37"/>
  <c r="C18" i="53"/>
  <c r="D17" i="62"/>
  <c r="F17" i="62" s="1"/>
  <c r="E17" i="62" s="1"/>
  <c r="E9" i="37"/>
  <c r="C10" i="53"/>
  <c r="D9" i="62"/>
  <c r="F9" i="62" s="1"/>
  <c r="E9" i="62" s="1"/>
  <c r="E18" i="37"/>
  <c r="C19" i="53"/>
  <c r="D18" i="62"/>
  <c r="F18" i="62" s="1"/>
  <c r="E18" i="62" s="1"/>
  <c r="E8" i="37"/>
  <c r="C9" i="53"/>
  <c r="D8" i="62"/>
  <c r="F8" i="62" s="1"/>
  <c r="E8" i="62" s="1"/>
  <c r="C11" i="53"/>
  <c r="E10" i="37"/>
  <c r="D10" i="62"/>
  <c r="F10" i="62" s="1"/>
  <c r="E10" i="62" s="1"/>
  <c r="L58" i="89"/>
  <c r="K58" i="52"/>
  <c r="E117" i="36"/>
  <c r="D114" i="46"/>
  <c r="F114" i="46" s="1"/>
  <c r="E114" i="46" s="1"/>
  <c r="E73" i="67"/>
  <c r="B73" i="67" s="1"/>
  <c r="K19" i="87"/>
  <c r="J78" i="36"/>
  <c r="H75" i="46"/>
  <c r="J75" i="46" s="1"/>
  <c r="I75" i="46" s="1"/>
  <c r="E81" i="67"/>
  <c r="B81" i="67" s="1"/>
  <c r="K27" i="87"/>
  <c r="J86" i="36"/>
  <c r="H83" i="46"/>
  <c r="J83" i="46" s="1"/>
  <c r="I83" i="46" s="1"/>
  <c r="E63" i="67"/>
  <c r="B63" i="67" s="1"/>
  <c r="J68" i="36"/>
  <c r="K9" i="87"/>
  <c r="H65" i="46"/>
  <c r="J65" i="46" s="1"/>
  <c r="I65" i="46" s="1"/>
  <c r="E82" i="67"/>
  <c r="B82" i="67" s="1"/>
  <c r="K28" i="87"/>
  <c r="J87" i="36"/>
  <c r="H84" i="46"/>
  <c r="J84" i="46" s="1"/>
  <c r="I84" i="46" s="1"/>
  <c r="E64" i="67"/>
  <c r="B64" i="67" s="1"/>
  <c r="J69" i="36"/>
  <c r="K10" i="87"/>
  <c r="H66" i="46"/>
  <c r="J66" i="46" s="1"/>
  <c r="I66" i="46" s="1"/>
  <c r="E83" i="67"/>
  <c r="B83" i="67" s="1"/>
  <c r="J88" i="36"/>
  <c r="K29" i="87"/>
  <c r="H85" i="46"/>
  <c r="J85" i="46" s="1"/>
  <c r="I85" i="46" s="1"/>
  <c r="E65" i="67"/>
  <c r="B65" i="67" s="1"/>
  <c r="K11" i="87"/>
  <c r="J70" i="36"/>
  <c r="H67" i="46"/>
  <c r="J67" i="46" s="1"/>
  <c r="I67" i="46" s="1"/>
  <c r="E72" i="67"/>
  <c r="B72" i="67" s="1"/>
  <c r="K18" i="87"/>
  <c r="J77" i="36"/>
  <c r="H74" i="46"/>
  <c r="J74" i="46" s="1"/>
  <c r="I74" i="46" s="1"/>
  <c r="E80" i="67"/>
  <c r="B80" i="67" s="1"/>
  <c r="J85" i="36"/>
  <c r="K26" i="87"/>
  <c r="H82" i="46"/>
  <c r="J82" i="46" s="1"/>
  <c r="I82" i="46" s="1"/>
  <c r="E33" i="67"/>
  <c r="B33" i="67" s="1"/>
  <c r="J33" i="36"/>
  <c r="C34" i="87"/>
  <c r="H34" i="46"/>
  <c r="J34" i="46" s="1"/>
  <c r="I34" i="46" s="1"/>
  <c r="E17" i="67"/>
  <c r="B17" i="67" s="1"/>
  <c r="C18" i="87"/>
  <c r="J17" i="36"/>
  <c r="H18" i="46"/>
  <c r="J18" i="46" s="1"/>
  <c r="I18" i="46" s="1"/>
  <c r="E23" i="67"/>
  <c r="B23" i="67" s="1"/>
  <c r="C24" i="87"/>
  <c r="J23" i="36"/>
  <c r="H24" i="46"/>
  <c r="J24" i="46" s="1"/>
  <c r="I24" i="46" s="1"/>
  <c r="E9" i="67"/>
  <c r="B9" i="67" s="1"/>
  <c r="J9" i="36"/>
  <c r="C10" i="87"/>
  <c r="H10" i="46"/>
  <c r="J10" i="46" s="1"/>
  <c r="I10" i="46" s="1"/>
  <c r="E19" i="67"/>
  <c r="B19" i="67" s="1"/>
  <c r="C20" i="87"/>
  <c r="J19" i="36"/>
  <c r="H20" i="46"/>
  <c r="J20" i="46" s="1"/>
  <c r="I20" i="46" s="1"/>
  <c r="E8" i="67"/>
  <c r="B8" i="67" s="1"/>
  <c r="J8" i="36"/>
  <c r="C9" i="87"/>
  <c r="H9" i="46"/>
  <c r="J9" i="46" s="1"/>
  <c r="I9" i="46" s="1"/>
  <c r="E18" i="67"/>
  <c r="B18" i="67" s="1"/>
  <c r="C19" i="87"/>
  <c r="J18" i="36"/>
  <c r="H19" i="46"/>
  <c r="J19" i="46" s="1"/>
  <c r="I19" i="46" s="1"/>
  <c r="A62" i="90"/>
  <c r="A63" i="90"/>
  <c r="A64" i="90"/>
  <c r="A65" i="90"/>
  <c r="A66" i="90"/>
  <c r="A30" i="90"/>
  <c r="A31" i="90"/>
  <c r="A32" i="90"/>
  <c r="A33" i="90"/>
  <c r="A34" i="90"/>
  <c r="A35" i="90"/>
  <c r="A36" i="90"/>
  <c r="A37" i="90"/>
  <c r="A38" i="90"/>
  <c r="A62" i="88"/>
  <c r="C62" i="88"/>
  <c r="C62" i="90" s="1"/>
  <c r="A63" i="88"/>
  <c r="A64" i="88"/>
  <c r="A65" i="88"/>
  <c r="C65" i="88"/>
  <c r="C65" i="90" s="1"/>
  <c r="A66" i="88"/>
  <c r="C66" i="88"/>
  <c r="C66" i="90" s="1"/>
  <c r="A67" i="88"/>
  <c r="A68" i="88"/>
  <c r="A69" i="88"/>
  <c r="A70" i="88"/>
  <c r="A71" i="88"/>
  <c r="A30" i="88"/>
  <c r="A31" i="88"/>
  <c r="A32" i="88"/>
  <c r="A33" i="88"/>
  <c r="A34" i="88"/>
  <c r="A35" i="88"/>
  <c r="A36" i="88"/>
  <c r="A37" i="88"/>
  <c r="A38" i="88"/>
  <c r="J39" i="89"/>
  <c r="J40" i="89"/>
  <c r="J13" i="89"/>
  <c r="J14" i="89"/>
  <c r="J15" i="89"/>
  <c r="J16" i="89"/>
  <c r="J17" i="89"/>
  <c r="J21" i="89"/>
  <c r="J22" i="89"/>
  <c r="J23" i="89"/>
  <c r="J24" i="89"/>
  <c r="J25" i="89"/>
  <c r="A36" i="89"/>
  <c r="A37" i="89"/>
  <c r="A38" i="89"/>
  <c r="A39" i="89"/>
  <c r="A12" i="89"/>
  <c r="A13" i="89"/>
  <c r="A14" i="89"/>
  <c r="A15" i="89"/>
  <c r="A16" i="89"/>
  <c r="A17" i="89"/>
  <c r="A22" i="89"/>
  <c r="A23" i="89"/>
  <c r="A25" i="89"/>
  <c r="I39" i="87"/>
  <c r="K39" i="87"/>
  <c r="I40" i="87"/>
  <c r="I13" i="87"/>
  <c r="I14" i="87"/>
  <c r="I15" i="87"/>
  <c r="I16" i="87"/>
  <c r="I17" i="87"/>
  <c r="I21" i="87"/>
  <c r="I22" i="87"/>
  <c r="I23" i="87"/>
  <c r="I24" i="87"/>
  <c r="I25" i="87"/>
  <c r="A36" i="87"/>
  <c r="A37" i="87"/>
  <c r="A38" i="87"/>
  <c r="A39" i="87"/>
  <c r="A12" i="87"/>
  <c r="A13" i="87"/>
  <c r="A14" i="87"/>
  <c r="A15" i="87"/>
  <c r="A16" i="87"/>
  <c r="A17" i="87"/>
  <c r="A22" i="87"/>
  <c r="A23" i="87"/>
  <c r="A25" i="87"/>
  <c r="C9" i="55" l="1"/>
  <c r="F9" i="53"/>
  <c r="E9" i="53"/>
  <c r="C17" i="55"/>
  <c r="F17" i="53"/>
  <c r="G17" i="53" s="1"/>
  <c r="E17" i="53"/>
  <c r="C18" i="55"/>
  <c r="E18" i="53"/>
  <c r="F18" i="53"/>
  <c r="G18" i="53" s="1"/>
  <c r="E21" i="53"/>
  <c r="C21" i="55"/>
  <c r="F21" i="53"/>
  <c r="C11" i="55"/>
  <c r="E11" i="53"/>
  <c r="F11" i="53"/>
  <c r="C10" i="55"/>
  <c r="E10" i="53"/>
  <c r="F10" i="53"/>
  <c r="C15" i="55"/>
  <c r="E15" i="53"/>
  <c r="F15" i="53"/>
  <c r="F20" i="53"/>
  <c r="G20" i="53" s="1"/>
  <c r="C20" i="55"/>
  <c r="E20" i="53"/>
  <c r="E16" i="53"/>
  <c r="C16" i="55"/>
  <c r="F16" i="53"/>
  <c r="G16" i="53" s="1"/>
  <c r="F19" i="53"/>
  <c r="G19" i="53" s="1"/>
  <c r="C19" i="55"/>
  <c r="E19" i="53"/>
  <c r="L58" i="54"/>
  <c r="L26" i="89"/>
  <c r="L29" i="89"/>
  <c r="L10" i="89"/>
  <c r="L9" i="89"/>
  <c r="L18" i="89"/>
  <c r="L11" i="89"/>
  <c r="L28" i="89"/>
  <c r="L27" i="89"/>
  <c r="L19" i="89"/>
  <c r="E85" i="36"/>
  <c r="K26" i="52"/>
  <c r="D82" i="46"/>
  <c r="F82" i="46" s="1"/>
  <c r="E82" i="46" s="1"/>
  <c r="E77" i="36"/>
  <c r="D74" i="46"/>
  <c r="F74" i="46" s="1"/>
  <c r="E74" i="46" s="1"/>
  <c r="K11" i="52"/>
  <c r="E70" i="36"/>
  <c r="D67" i="46"/>
  <c r="F67" i="46" s="1"/>
  <c r="E67" i="46" s="1"/>
  <c r="K29" i="52"/>
  <c r="E88" i="36"/>
  <c r="D85" i="46"/>
  <c r="F85" i="46" s="1"/>
  <c r="E85" i="46" s="1"/>
  <c r="K10" i="52"/>
  <c r="E69" i="36"/>
  <c r="D66" i="46"/>
  <c r="F66" i="46" s="1"/>
  <c r="E66" i="46" s="1"/>
  <c r="E87" i="36"/>
  <c r="K28" i="52"/>
  <c r="D84" i="46"/>
  <c r="F84" i="46" s="1"/>
  <c r="E84" i="46" s="1"/>
  <c r="K9" i="52"/>
  <c r="E68" i="36"/>
  <c r="D65" i="46"/>
  <c r="F65" i="46" s="1"/>
  <c r="E65" i="46" s="1"/>
  <c r="K27" i="52"/>
  <c r="E86" i="36"/>
  <c r="D83" i="46"/>
  <c r="F83" i="46" s="1"/>
  <c r="E83" i="46" s="1"/>
  <c r="E78" i="36"/>
  <c r="D75" i="46"/>
  <c r="F75" i="46" s="1"/>
  <c r="E75" i="46" s="1"/>
  <c r="C34" i="89"/>
  <c r="C34" i="52"/>
  <c r="E33" i="36"/>
  <c r="D34" i="46"/>
  <c r="F34" i="46" s="1"/>
  <c r="E34" i="46" s="1"/>
  <c r="C9" i="89"/>
  <c r="C10" i="89"/>
  <c r="C19" i="89"/>
  <c r="C20" i="89"/>
  <c r="C24" i="89"/>
  <c r="C18" i="89"/>
  <c r="E18" i="36"/>
  <c r="C19" i="52"/>
  <c r="D19" i="46"/>
  <c r="F19" i="46" s="1"/>
  <c r="E19" i="46" s="1"/>
  <c r="C9" i="52"/>
  <c r="E8" i="36"/>
  <c r="D9" i="46"/>
  <c r="F9" i="46" s="1"/>
  <c r="E9" i="46" s="1"/>
  <c r="C20" i="52"/>
  <c r="E19" i="36"/>
  <c r="D20" i="46"/>
  <c r="F20" i="46" s="1"/>
  <c r="E20" i="46" s="1"/>
  <c r="E9" i="36"/>
  <c r="C10" i="52"/>
  <c r="D10" i="46"/>
  <c r="F10" i="46" s="1"/>
  <c r="E10" i="46" s="1"/>
  <c r="C24" i="52"/>
  <c r="E23" i="36"/>
  <c r="D24" i="46"/>
  <c r="F24" i="46" s="1"/>
  <c r="E24" i="46" s="1"/>
  <c r="C18" i="52"/>
  <c r="E17" i="36"/>
  <c r="D18" i="46"/>
  <c r="F18" i="46" s="1"/>
  <c r="E18" i="46" s="1"/>
  <c r="L39" i="89"/>
  <c r="L28" i="54" l="1"/>
  <c r="L10" i="54"/>
  <c r="L27" i="54"/>
  <c r="L29" i="54"/>
  <c r="L9" i="54"/>
  <c r="L11" i="54"/>
  <c r="L26" i="54"/>
  <c r="C34" i="54"/>
  <c r="C19" i="54"/>
  <c r="C24" i="54"/>
  <c r="C18" i="54"/>
  <c r="C9" i="54"/>
  <c r="C10" i="54"/>
  <c r="C20" i="54"/>
  <c r="A62" i="55"/>
  <c r="A63" i="55"/>
  <c r="A64" i="55"/>
  <c r="A65" i="55"/>
  <c r="A30" i="55"/>
  <c r="A31" i="55"/>
  <c r="A32" i="55"/>
  <c r="A33" i="55"/>
  <c r="A34" i="55"/>
  <c r="A35" i="55"/>
  <c r="A36" i="55"/>
  <c r="A37" i="55"/>
  <c r="A38" i="55"/>
  <c r="A66" i="53"/>
  <c r="C66" i="53"/>
  <c r="A62" i="53"/>
  <c r="C62" i="53"/>
  <c r="C62" i="55" s="1"/>
  <c r="A63" i="53"/>
  <c r="A64" i="53"/>
  <c r="A65" i="53"/>
  <c r="C65" i="53"/>
  <c r="C65" i="55" s="1"/>
  <c r="A30" i="53"/>
  <c r="A31" i="53"/>
  <c r="A32" i="53"/>
  <c r="A33" i="53"/>
  <c r="A34" i="53"/>
  <c r="A35" i="53"/>
  <c r="A36" i="53"/>
  <c r="A37" i="53"/>
  <c r="A38" i="53"/>
  <c r="J39" i="54"/>
  <c r="J40" i="54"/>
  <c r="J13" i="54"/>
  <c r="J14" i="54"/>
  <c r="J15" i="54"/>
  <c r="J16" i="54"/>
  <c r="J17" i="54"/>
  <c r="J21" i="54"/>
  <c r="J22" i="54"/>
  <c r="J23" i="54"/>
  <c r="J24" i="54"/>
  <c r="J25" i="54"/>
  <c r="A36" i="54"/>
  <c r="A37" i="54"/>
  <c r="A38" i="54"/>
  <c r="A39" i="54"/>
  <c r="A12" i="54"/>
  <c r="A13" i="54"/>
  <c r="A14" i="54"/>
  <c r="A15" i="54"/>
  <c r="A16" i="54"/>
  <c r="A17" i="54"/>
  <c r="A22" i="54"/>
  <c r="A23" i="54"/>
  <c r="I39" i="52"/>
  <c r="K39" i="52"/>
  <c r="L39" i="54" s="1"/>
  <c r="I40" i="52"/>
  <c r="I24" i="52"/>
  <c r="I25" i="52"/>
  <c r="I17" i="52"/>
  <c r="I16" i="52"/>
  <c r="I14" i="52"/>
  <c r="I13" i="52"/>
  <c r="A39" i="52"/>
  <c r="A36" i="52"/>
  <c r="A37" i="52"/>
  <c r="A38" i="52"/>
  <c r="A12" i="52"/>
  <c r="A13" i="52"/>
  <c r="A14" i="52"/>
  <c r="A15" i="52"/>
  <c r="A16" i="52"/>
  <c r="A17" i="52"/>
  <c r="A22" i="52"/>
  <c r="A23" i="52"/>
  <c r="A25" i="52"/>
  <c r="J77" i="37" l="1"/>
  <c r="C75" i="37"/>
  <c r="H75" i="37"/>
  <c r="J75" i="37"/>
  <c r="J71" i="37"/>
  <c r="E61" i="37"/>
  <c r="J61" i="37"/>
  <c r="E64" i="37"/>
  <c r="J64" i="37"/>
  <c r="E65" i="37"/>
  <c r="J65" i="37"/>
  <c r="A61" i="81"/>
  <c r="A62" i="81"/>
  <c r="A63" i="81"/>
  <c r="A64" i="81"/>
  <c r="A61" i="37"/>
  <c r="A62" i="37"/>
  <c r="A63" i="37"/>
  <c r="A64" i="37"/>
  <c r="A65" i="37"/>
  <c r="A66" i="37"/>
  <c r="A67" i="37"/>
  <c r="A68" i="37"/>
  <c r="A69" i="37"/>
  <c r="A70" i="37"/>
  <c r="J56" i="37"/>
  <c r="J57" i="37"/>
  <c r="J58" i="37"/>
  <c r="A61" i="75"/>
  <c r="A62" i="75"/>
  <c r="A63" i="75"/>
  <c r="A64" i="75"/>
  <c r="A61" i="35"/>
  <c r="A62" i="35"/>
  <c r="A63" i="35"/>
  <c r="A64" i="35"/>
  <c r="B61" i="69"/>
  <c r="B61" i="35" s="1"/>
  <c r="B62" i="69"/>
  <c r="B62" i="35" s="1"/>
  <c r="B63" i="69"/>
  <c r="B63" i="35" s="1"/>
  <c r="B64" i="69"/>
  <c r="B64" i="35" s="1"/>
  <c r="B65" i="69"/>
  <c r="B66" i="69"/>
  <c r="B67" i="69"/>
  <c r="B68" i="69"/>
  <c r="B69" i="69"/>
  <c r="B70" i="69"/>
  <c r="A61" i="69"/>
  <c r="A62" i="69"/>
  <c r="A63" i="69"/>
  <c r="A64" i="69"/>
  <c r="A65" i="69"/>
  <c r="A66" i="69"/>
  <c r="A67" i="69"/>
  <c r="A68" i="69"/>
  <c r="A69" i="69"/>
  <c r="A70" i="69"/>
  <c r="A29" i="37"/>
  <c r="A30" i="37"/>
  <c r="A31" i="37"/>
  <c r="A32" i="37"/>
  <c r="A33" i="37"/>
  <c r="A34" i="37"/>
  <c r="A35" i="37"/>
  <c r="A36" i="37"/>
  <c r="A37" i="37"/>
  <c r="J66" i="36" l="1"/>
  <c r="A98" i="36"/>
  <c r="A82" i="36"/>
  <c r="A83" i="36"/>
  <c r="A84" i="36"/>
  <c r="A89" i="36"/>
  <c r="A90" i="36"/>
  <c r="A91" i="36"/>
  <c r="A75" i="36"/>
  <c r="H75" i="36"/>
  <c r="L16" i="87" s="1"/>
  <c r="N16" i="89" s="1"/>
  <c r="A72" i="36"/>
  <c r="H72" i="36"/>
  <c r="L13" i="87" s="1"/>
  <c r="N13" i="89" s="1"/>
  <c r="A35" i="36"/>
  <c r="H35" i="36"/>
  <c r="D36" i="87" s="1"/>
  <c r="E36" i="89" s="1"/>
  <c r="A36" i="36"/>
  <c r="A37" i="36"/>
  <c r="H37" i="36"/>
  <c r="D38" i="87" s="1"/>
  <c r="E38" i="89" s="1"/>
  <c r="A21" i="36"/>
  <c r="A22" i="36"/>
  <c r="A14" i="36"/>
  <c r="A15" i="36"/>
  <c r="A11" i="36"/>
  <c r="H20" i="77"/>
  <c r="H28" i="77"/>
  <c r="E28" i="77"/>
  <c r="H27" i="77"/>
  <c r="E27" i="77"/>
  <c r="H26" i="77"/>
  <c r="E26" i="77"/>
  <c r="H24" i="77"/>
  <c r="E24" i="77"/>
  <c r="H23" i="77"/>
  <c r="E23" i="77"/>
  <c r="H22" i="77"/>
  <c r="E22" i="77"/>
  <c r="H21" i="77"/>
  <c r="E21" i="77"/>
  <c r="E20" i="77"/>
  <c r="H19" i="77"/>
  <c r="E19" i="77"/>
  <c r="H17" i="77"/>
  <c r="E17" i="77"/>
  <c r="H16" i="77"/>
  <c r="E16" i="77"/>
  <c r="H15" i="77"/>
  <c r="E15" i="77"/>
  <c r="H14" i="77"/>
  <c r="E14" i="77"/>
  <c r="E13" i="77"/>
  <c r="H12" i="77"/>
  <c r="E10" i="77"/>
  <c r="H9" i="77"/>
  <c r="E8" i="77"/>
  <c r="H7" i="77"/>
  <c r="H6" i="77"/>
  <c r="E6" i="77"/>
  <c r="H5" i="77"/>
  <c r="E5" i="77"/>
  <c r="J25" i="77" l="1"/>
  <c r="H29" i="77"/>
  <c r="E29" i="77"/>
  <c r="H11" i="76"/>
  <c r="E11" i="76"/>
  <c r="H10" i="76"/>
  <c r="E10" i="76"/>
  <c r="H9" i="76"/>
  <c r="H8" i="76"/>
  <c r="E8" i="76"/>
  <c r="H7" i="76"/>
  <c r="E7" i="76"/>
  <c r="H6" i="76"/>
  <c r="E6" i="76"/>
  <c r="H5" i="76"/>
  <c r="E5" i="76"/>
  <c r="E22" i="31"/>
  <c r="H22" i="31"/>
  <c r="E23" i="31"/>
  <c r="H23" i="31"/>
  <c r="E24" i="31"/>
  <c r="H24" i="31"/>
  <c r="E14" i="73"/>
  <c r="H14" i="73"/>
  <c r="E15" i="73"/>
  <c r="H15" i="73"/>
  <c r="E16" i="73"/>
  <c r="H16" i="73"/>
  <c r="J38" i="81"/>
  <c r="A29" i="81"/>
  <c r="A30" i="81"/>
  <c r="A31" i="81"/>
  <c r="H31" i="81" s="1"/>
  <c r="A32" i="81"/>
  <c r="A33" i="81"/>
  <c r="A34" i="81"/>
  <c r="A35" i="81"/>
  <c r="A36" i="81"/>
  <c r="J32" i="80"/>
  <c r="A38" i="80"/>
  <c r="A23" i="80"/>
  <c r="G23" i="80" s="1"/>
  <c r="A24" i="80"/>
  <c r="E24" i="80" s="1"/>
  <c r="A15" i="80"/>
  <c r="A12" i="80"/>
  <c r="A35" i="79"/>
  <c r="A36" i="79"/>
  <c r="A37" i="79"/>
  <c r="A21" i="79"/>
  <c r="H21" i="79" s="1"/>
  <c r="A22" i="79"/>
  <c r="F22" i="79" s="1"/>
  <c r="A14" i="79"/>
  <c r="A15" i="79"/>
  <c r="A11" i="79"/>
  <c r="D23" i="80" l="1"/>
  <c r="C31" i="81"/>
  <c r="E31" i="81"/>
  <c r="G31" i="81"/>
  <c r="F31" i="81"/>
  <c r="D31" i="81"/>
  <c r="F32" i="81"/>
  <c r="E32" i="81"/>
  <c r="H32" i="81"/>
  <c r="D32" i="81"/>
  <c r="G32" i="81"/>
  <c r="C32" i="81"/>
  <c r="C23" i="80"/>
  <c r="H23" i="80"/>
  <c r="E21" i="79"/>
  <c r="C22" i="79"/>
  <c r="G22" i="79"/>
  <c r="F21" i="79"/>
  <c r="D22" i="79"/>
  <c r="H22" i="79"/>
  <c r="C21" i="79"/>
  <c r="G21" i="79"/>
  <c r="E22" i="79"/>
  <c r="D21" i="79"/>
  <c r="F24" i="80"/>
  <c r="E23" i="80"/>
  <c r="C24" i="80"/>
  <c r="G24" i="80"/>
  <c r="F23" i="80"/>
  <c r="D24" i="80"/>
  <c r="H24" i="80"/>
  <c r="D38" i="75"/>
  <c r="D93" i="75" s="1"/>
  <c r="E38" i="75"/>
  <c r="E93" i="75" s="1"/>
  <c r="F38" i="75"/>
  <c r="F93" i="75" s="1"/>
  <c r="G38" i="75"/>
  <c r="G93" i="75" s="1"/>
  <c r="H38" i="75"/>
  <c r="H93" i="75" s="1"/>
  <c r="I38" i="75"/>
  <c r="I93" i="75" s="1"/>
  <c r="J38" i="75"/>
  <c r="J93" i="75" s="1"/>
  <c r="K38" i="75"/>
  <c r="K93" i="75" s="1"/>
  <c r="L38" i="75"/>
  <c r="L93" i="75" s="1"/>
  <c r="M38" i="75"/>
  <c r="M93" i="75" s="1"/>
  <c r="N38" i="75"/>
  <c r="N93" i="75" s="1"/>
  <c r="O38" i="75"/>
  <c r="O93" i="75" s="1"/>
  <c r="A29" i="75"/>
  <c r="A30" i="75"/>
  <c r="A31" i="75"/>
  <c r="A32" i="75"/>
  <c r="A33" i="75"/>
  <c r="A34" i="75"/>
  <c r="A35" i="75"/>
  <c r="A36" i="75"/>
  <c r="A37" i="75"/>
  <c r="D87" i="74"/>
  <c r="D125" i="74" s="1"/>
  <c r="E87" i="74"/>
  <c r="E125" i="74" s="1"/>
  <c r="F87" i="74"/>
  <c r="F125" i="74" s="1"/>
  <c r="G87" i="74"/>
  <c r="G125" i="74" s="1"/>
  <c r="H87" i="74"/>
  <c r="H125" i="74" s="1"/>
  <c r="I87" i="74"/>
  <c r="I125" i="74" s="1"/>
  <c r="J87" i="74"/>
  <c r="J125" i="74" s="1"/>
  <c r="K87" i="74"/>
  <c r="K125" i="74" s="1"/>
  <c r="L87" i="74"/>
  <c r="L125" i="74" s="1"/>
  <c r="M87" i="74"/>
  <c r="M125" i="74" s="1"/>
  <c r="N87" i="74"/>
  <c r="N125" i="74" s="1"/>
  <c r="O87" i="74"/>
  <c r="O125" i="74" s="1"/>
  <c r="J31" i="74"/>
  <c r="J122" i="74" s="1"/>
  <c r="K31" i="74"/>
  <c r="K122" i="74" s="1"/>
  <c r="L31" i="74"/>
  <c r="L122" i="74" s="1"/>
  <c r="M31" i="74"/>
  <c r="M122" i="74" s="1"/>
  <c r="N31" i="74"/>
  <c r="N122" i="74" s="1"/>
  <c r="O31" i="74"/>
  <c r="O122" i="74" s="1"/>
  <c r="D31" i="74"/>
  <c r="D122" i="74" s="1"/>
  <c r="E31" i="74"/>
  <c r="E122" i="74" s="1"/>
  <c r="F31" i="74"/>
  <c r="F122" i="74" s="1"/>
  <c r="G31" i="74"/>
  <c r="G122" i="74" s="1"/>
  <c r="H31" i="74"/>
  <c r="H122" i="74" s="1"/>
  <c r="I31" i="74"/>
  <c r="I122" i="74" s="1"/>
  <c r="A93" i="74"/>
  <c r="A78" i="74"/>
  <c r="A79" i="74"/>
  <c r="A70" i="74"/>
  <c r="C70" i="74"/>
  <c r="B70" i="74" s="1"/>
  <c r="B15" i="80" s="1"/>
  <c r="A67" i="74"/>
  <c r="C67" i="74"/>
  <c r="B67" i="74" s="1"/>
  <c r="B12" i="80" s="1"/>
  <c r="A35" i="74"/>
  <c r="C35" i="74"/>
  <c r="B35" i="74" s="1"/>
  <c r="B35" i="79" s="1"/>
  <c r="A36" i="74"/>
  <c r="A37" i="74"/>
  <c r="C37" i="74"/>
  <c r="B37" i="74" s="1"/>
  <c r="B37" i="79" s="1"/>
  <c r="A21" i="74"/>
  <c r="A22" i="74"/>
  <c r="A24" i="74"/>
  <c r="A14" i="74"/>
  <c r="A15" i="74"/>
  <c r="A11" i="74"/>
  <c r="J38" i="35" l="1"/>
  <c r="E5" i="32"/>
  <c r="H5" i="32"/>
  <c r="E6" i="32"/>
  <c r="H6" i="32"/>
  <c r="E7" i="32"/>
  <c r="H8" i="32"/>
  <c r="E9" i="32"/>
  <c r="H9" i="32"/>
  <c r="E12" i="32"/>
  <c r="H12" i="32"/>
  <c r="E13" i="32"/>
  <c r="H13" i="32"/>
  <c r="E14" i="32"/>
  <c r="H14" i="32"/>
  <c r="E15" i="32"/>
  <c r="H15" i="32"/>
  <c r="E16" i="32"/>
  <c r="H16" i="32"/>
  <c r="E19" i="32"/>
  <c r="H19" i="32"/>
  <c r="E20" i="32"/>
  <c r="H20" i="32"/>
  <c r="E21" i="32"/>
  <c r="H21" i="32"/>
  <c r="H12" i="31"/>
  <c r="E13" i="31"/>
  <c r="H14" i="31"/>
  <c r="E15" i="31"/>
  <c r="E16" i="31"/>
  <c r="H16" i="31"/>
  <c r="E17" i="31"/>
  <c r="H17" i="31"/>
  <c r="H5" i="31"/>
  <c r="E6" i="31"/>
  <c r="H7" i="31"/>
  <c r="E8" i="31"/>
  <c r="H9" i="31"/>
  <c r="A33" i="35"/>
  <c r="A34" i="35"/>
  <c r="A35" i="35"/>
  <c r="A36" i="35"/>
  <c r="A37" i="35"/>
  <c r="A30" i="35"/>
  <c r="A31" i="35"/>
  <c r="C31" i="35" s="1"/>
  <c r="A32" i="35"/>
  <c r="A29" i="35"/>
  <c r="J32" i="34"/>
  <c r="A38" i="34"/>
  <c r="A23" i="34"/>
  <c r="G23" i="34" s="1"/>
  <c r="A24" i="34"/>
  <c r="E24" i="34" s="1"/>
  <c r="A15" i="34"/>
  <c r="A12" i="34"/>
  <c r="A37" i="33"/>
  <c r="A35" i="33"/>
  <c r="J31" i="33"/>
  <c r="A25" i="33"/>
  <c r="A26" i="33"/>
  <c r="A21" i="33"/>
  <c r="F21" i="33" s="1"/>
  <c r="A22" i="33"/>
  <c r="F22" i="33" s="1"/>
  <c r="A14" i="33"/>
  <c r="A15" i="33"/>
  <c r="A11" i="33"/>
  <c r="H32" i="35" l="1"/>
  <c r="E32" i="35"/>
  <c r="F32" i="35"/>
  <c r="G32" i="35"/>
  <c r="C32" i="35"/>
  <c r="D32" i="35"/>
  <c r="E31" i="35"/>
  <c r="G31" i="35"/>
  <c r="F31" i="35"/>
  <c r="D31" i="35"/>
  <c r="H31" i="35"/>
  <c r="D23" i="34"/>
  <c r="H23" i="34"/>
  <c r="F24" i="34"/>
  <c r="E23" i="34"/>
  <c r="C24" i="34"/>
  <c r="G24" i="34"/>
  <c r="F23" i="34"/>
  <c r="D24" i="34"/>
  <c r="H24" i="34"/>
  <c r="C23" i="34"/>
  <c r="E21" i="33"/>
  <c r="G21" i="33"/>
  <c r="G22" i="33"/>
  <c r="C22" i="33"/>
  <c r="H22" i="33"/>
  <c r="C21" i="33"/>
  <c r="D22" i="33"/>
  <c r="E22" i="33"/>
  <c r="D21" i="33"/>
  <c r="H21" i="33"/>
  <c r="D38" i="69" l="1"/>
  <c r="D93" i="69" s="1"/>
  <c r="E38" i="69"/>
  <c r="E93" i="69" s="1"/>
  <c r="F38" i="69"/>
  <c r="F93" i="69" s="1"/>
  <c r="G38" i="69"/>
  <c r="G93" i="69" s="1"/>
  <c r="H38" i="69"/>
  <c r="H93" i="69" s="1"/>
  <c r="I38" i="69"/>
  <c r="I93" i="69" s="1"/>
  <c r="J38" i="69"/>
  <c r="J93" i="69" s="1"/>
  <c r="K38" i="69"/>
  <c r="K93" i="69" s="1"/>
  <c r="L38" i="69"/>
  <c r="L93" i="69" s="1"/>
  <c r="M38" i="69"/>
  <c r="M93" i="69" s="1"/>
  <c r="N38" i="69"/>
  <c r="N93" i="69" s="1"/>
  <c r="O38" i="69"/>
  <c r="O93" i="69" s="1"/>
  <c r="C38" i="69"/>
  <c r="C93" i="69" s="1"/>
  <c r="A29" i="69"/>
  <c r="A30" i="69"/>
  <c r="A31" i="69"/>
  <c r="A32" i="69"/>
  <c r="A33" i="69"/>
  <c r="A34" i="69"/>
  <c r="A35" i="69"/>
  <c r="A36" i="69"/>
  <c r="A37" i="69"/>
  <c r="D87" i="70"/>
  <c r="D125" i="70" s="1"/>
  <c r="E87" i="70"/>
  <c r="E125" i="70" s="1"/>
  <c r="F87" i="70"/>
  <c r="F125" i="70" s="1"/>
  <c r="G87" i="70"/>
  <c r="G125" i="70" s="1"/>
  <c r="H87" i="70"/>
  <c r="H125" i="70" s="1"/>
  <c r="I87" i="70"/>
  <c r="I125" i="70" s="1"/>
  <c r="J87" i="70"/>
  <c r="J125" i="70" s="1"/>
  <c r="K87" i="70"/>
  <c r="K125" i="70" s="1"/>
  <c r="L87" i="70"/>
  <c r="L125" i="70" s="1"/>
  <c r="M87" i="70"/>
  <c r="M125" i="70" s="1"/>
  <c r="N87" i="70"/>
  <c r="N125" i="70" s="1"/>
  <c r="O87" i="70"/>
  <c r="O125" i="70" s="1"/>
  <c r="C87" i="70"/>
  <c r="C125" i="70" s="1"/>
  <c r="D31" i="70"/>
  <c r="D122" i="70" s="1"/>
  <c r="E31" i="70"/>
  <c r="E122" i="70" s="1"/>
  <c r="F31" i="70"/>
  <c r="F122" i="70" s="1"/>
  <c r="G31" i="70"/>
  <c r="G122" i="70" s="1"/>
  <c r="H31" i="70"/>
  <c r="H122" i="70" s="1"/>
  <c r="I31" i="70"/>
  <c r="I122" i="70" s="1"/>
  <c r="J31" i="70"/>
  <c r="J122" i="70" s="1"/>
  <c r="K31" i="70"/>
  <c r="K122" i="70" s="1"/>
  <c r="L31" i="70"/>
  <c r="L122" i="70" s="1"/>
  <c r="M31" i="70"/>
  <c r="M122" i="70" s="1"/>
  <c r="N31" i="70"/>
  <c r="N122" i="70" s="1"/>
  <c r="O31" i="70"/>
  <c r="O122" i="70" s="1"/>
  <c r="C122" i="70"/>
  <c r="A93" i="70" l="1"/>
  <c r="B93" i="70"/>
  <c r="B38" i="34" s="1"/>
  <c r="A78" i="70"/>
  <c r="B78" i="70"/>
  <c r="B23" i="34" s="1"/>
  <c r="I23" i="34" s="1"/>
  <c r="K23" i="34" s="1"/>
  <c r="A79" i="70"/>
  <c r="B79" i="70"/>
  <c r="B24" i="34" s="1"/>
  <c r="I24" i="34" s="1"/>
  <c r="K24" i="34" s="1"/>
  <c r="A70" i="70"/>
  <c r="B70" i="70"/>
  <c r="B15" i="34" s="1"/>
  <c r="A67" i="70"/>
  <c r="B67" i="70"/>
  <c r="B12" i="34" s="1"/>
  <c r="A37" i="70"/>
  <c r="B37" i="70"/>
  <c r="B37" i="33" s="1"/>
  <c r="A35" i="70"/>
  <c r="B35" i="70"/>
  <c r="B35" i="33" s="1"/>
  <c r="A29" i="70"/>
  <c r="A30" i="70"/>
  <c r="A21" i="70"/>
  <c r="B21" i="70"/>
  <c r="B21" i="33" s="1"/>
  <c r="A22" i="70"/>
  <c r="B22" i="70"/>
  <c r="B22" i="33" s="1"/>
  <c r="A14" i="70"/>
  <c r="B14" i="70"/>
  <c r="B14" i="33" s="1"/>
  <c r="A15" i="70"/>
  <c r="B15" i="70"/>
  <c r="B15" i="33" s="1"/>
  <c r="A11" i="70"/>
  <c r="B11" i="70"/>
  <c r="B11" i="33" s="1"/>
  <c r="C79" i="74" l="1"/>
  <c r="B79" i="74" s="1"/>
  <c r="B24" i="80" s="1"/>
  <c r="I24" i="80" s="1"/>
  <c r="K24" i="80" s="1"/>
  <c r="C84" i="36" s="1"/>
  <c r="L25" i="52" s="1"/>
  <c r="N25" i="54" s="1"/>
  <c r="H84" i="36"/>
  <c r="L25" i="87" s="1"/>
  <c r="N25" i="89" s="1"/>
  <c r="C78" i="74"/>
  <c r="B78" i="74" s="1"/>
  <c r="B23" i="80" s="1"/>
  <c r="I23" i="80" s="1"/>
  <c r="K23" i="80" s="1"/>
  <c r="C83" i="36" s="1"/>
  <c r="L24" i="52" s="1"/>
  <c r="N24" i="54" s="1"/>
  <c r="H83" i="36"/>
  <c r="L24" i="87" s="1"/>
  <c r="N24" i="89" s="1"/>
  <c r="A150" i="62"/>
  <c r="D150" i="62"/>
  <c r="F150" i="62" s="1"/>
  <c r="E150" i="62" s="1"/>
  <c r="A151" i="62"/>
  <c r="A152" i="62"/>
  <c r="A153" i="62"/>
  <c r="D153" i="62"/>
  <c r="F153" i="62" s="1"/>
  <c r="E153" i="62" s="1"/>
  <c r="A118" i="62"/>
  <c r="A119" i="62"/>
  <c r="A120" i="62"/>
  <c r="A121" i="62"/>
  <c r="A122" i="62"/>
  <c r="A123" i="62"/>
  <c r="A124" i="62"/>
  <c r="A125" i="62"/>
  <c r="A126" i="62"/>
  <c r="A61" i="62"/>
  <c r="D61" i="62"/>
  <c r="F61" i="62" s="1"/>
  <c r="E61" i="62" s="1"/>
  <c r="A62" i="62"/>
  <c r="A63" i="62"/>
  <c r="A64" i="62"/>
  <c r="D64" i="62"/>
  <c r="F64" i="62" s="1"/>
  <c r="E64" i="62" s="1"/>
  <c r="C38" i="62"/>
  <c r="A29" i="62"/>
  <c r="A30" i="62"/>
  <c r="A31" i="62"/>
  <c r="A32" i="62"/>
  <c r="A33" i="62"/>
  <c r="A34" i="62"/>
  <c r="A35" i="62"/>
  <c r="A36" i="62"/>
  <c r="A37" i="62"/>
  <c r="A95" i="46"/>
  <c r="G89" i="46"/>
  <c r="C89" i="46"/>
  <c r="B8" i="46"/>
  <c r="A80" i="46"/>
  <c r="A81" i="46"/>
  <c r="A72" i="46"/>
  <c r="A69" i="46"/>
  <c r="G32" i="46"/>
  <c r="C32" i="46"/>
  <c r="A38" i="46"/>
  <c r="A36" i="46"/>
  <c r="A22" i="46"/>
  <c r="A23" i="46"/>
  <c r="A15" i="46"/>
  <c r="A16" i="46"/>
  <c r="A12" i="46"/>
  <c r="B9" i="46" l="1"/>
  <c r="B10" i="46" s="1"/>
  <c r="B11" i="46" s="1"/>
  <c r="B12" i="46" s="1"/>
  <c r="B13" i="46" s="1"/>
  <c r="B14" i="46" s="1"/>
  <c r="B15" i="46" s="1"/>
  <c r="B16" i="46" s="1"/>
  <c r="B17" i="46" s="1"/>
  <c r="B18" i="46" s="1"/>
  <c r="B19" i="46" s="1"/>
  <c r="B20" i="46" s="1"/>
  <c r="B21" i="46" s="1"/>
  <c r="B22" i="46" s="1"/>
  <c r="B23" i="46" s="1"/>
  <c r="A43" i="68"/>
  <c r="B24" i="46" l="1"/>
  <c r="B25" i="46" s="1"/>
  <c r="B26" i="46" s="1"/>
  <c r="B27" i="46" s="1"/>
  <c r="B28" i="46" s="1"/>
  <c r="B29" i="46" s="1"/>
  <c r="B30" i="46" s="1"/>
  <c r="B31" i="46" s="1"/>
  <c r="B32" i="46" s="1"/>
  <c r="B33" i="46" s="1"/>
  <c r="E45" i="68"/>
  <c r="E48" i="68"/>
  <c r="G38" i="68"/>
  <c r="G93" i="68" s="1"/>
  <c r="H38" i="68"/>
  <c r="H93" i="68" s="1"/>
  <c r="I38" i="68"/>
  <c r="I93" i="68" s="1"/>
  <c r="K38" i="68"/>
  <c r="K93" i="68" s="1"/>
  <c r="L38" i="68"/>
  <c r="L93" i="68" s="1"/>
  <c r="M38" i="68"/>
  <c r="M93" i="68" s="1"/>
  <c r="N38" i="68"/>
  <c r="N93" i="68" s="1"/>
  <c r="O38" i="68"/>
  <c r="O93" i="68" s="1"/>
  <c r="P38" i="68"/>
  <c r="P93" i="68" s="1"/>
  <c r="Q38" i="68"/>
  <c r="Q93" i="68" s="1"/>
  <c r="R38" i="68"/>
  <c r="R93" i="68" s="1"/>
  <c r="S38" i="68"/>
  <c r="S93" i="68" s="1"/>
  <c r="T38" i="68"/>
  <c r="T93" i="68" s="1"/>
  <c r="U38" i="68"/>
  <c r="U93" i="68" s="1"/>
  <c r="V38" i="68"/>
  <c r="V93" i="68" s="1"/>
  <c r="W38" i="68"/>
  <c r="W93" i="68" s="1"/>
  <c r="X38" i="68"/>
  <c r="X93" i="68" s="1"/>
  <c r="Y38" i="68"/>
  <c r="Y93" i="68" s="1"/>
  <c r="Z38" i="68"/>
  <c r="Z93" i="68" s="1"/>
  <c r="AA38" i="68"/>
  <c r="AA93" i="68" s="1"/>
  <c r="AB38" i="68"/>
  <c r="AB93" i="68" s="1"/>
  <c r="AC38" i="68"/>
  <c r="AC93" i="68" s="1"/>
  <c r="AD38" i="68"/>
  <c r="AD93" i="68" s="1"/>
  <c r="AE38" i="68"/>
  <c r="AE93" i="68" s="1"/>
  <c r="AF38" i="68"/>
  <c r="AF93" i="68" s="1"/>
  <c r="AG38" i="68"/>
  <c r="AG93" i="68" s="1"/>
  <c r="AH38" i="68"/>
  <c r="AH93" i="68" s="1"/>
  <c r="AI38" i="68"/>
  <c r="AI93" i="68" s="1"/>
  <c r="D38" i="68"/>
  <c r="D93" i="68" s="1"/>
  <c r="C38" i="68"/>
  <c r="C93" i="68" s="1"/>
  <c r="A64" i="68"/>
  <c r="J64" i="68"/>
  <c r="F64" i="68" s="1"/>
  <c r="E64" i="68" s="1"/>
  <c r="B64" i="68" s="1"/>
  <c r="A61" i="68"/>
  <c r="J61" i="68"/>
  <c r="F61" i="68" s="1"/>
  <c r="E61" i="68" s="1"/>
  <c r="B61" i="68" s="1"/>
  <c r="J32" i="68"/>
  <c r="F32" i="68" s="1"/>
  <c r="A32" i="68"/>
  <c r="D87" i="67"/>
  <c r="D125" i="67" s="1"/>
  <c r="C87" i="67"/>
  <c r="C125" i="67" s="1"/>
  <c r="G87" i="67"/>
  <c r="G125" i="67" s="1"/>
  <c r="H87" i="67"/>
  <c r="H125" i="67" s="1"/>
  <c r="I87" i="67"/>
  <c r="I125" i="67" s="1"/>
  <c r="M87" i="67"/>
  <c r="M125" i="67" s="1"/>
  <c r="N87" i="67"/>
  <c r="N125" i="67" s="1"/>
  <c r="O87" i="67"/>
  <c r="O125" i="67" s="1"/>
  <c r="P87" i="67"/>
  <c r="P125" i="67" s="1"/>
  <c r="Q87" i="67"/>
  <c r="Q125" i="67" s="1"/>
  <c r="R87" i="67"/>
  <c r="R125" i="67" s="1"/>
  <c r="S87" i="67"/>
  <c r="S125" i="67" s="1"/>
  <c r="T87" i="67"/>
  <c r="T125" i="67" s="1"/>
  <c r="U87" i="67"/>
  <c r="U125" i="67" s="1"/>
  <c r="V87" i="67"/>
  <c r="V125" i="67" s="1"/>
  <c r="W87" i="67"/>
  <c r="W125" i="67" s="1"/>
  <c r="X87" i="67"/>
  <c r="X125" i="67" s="1"/>
  <c r="Y87" i="67"/>
  <c r="Y125" i="67" s="1"/>
  <c r="Z87" i="67"/>
  <c r="Z125" i="67" s="1"/>
  <c r="AA87" i="67"/>
  <c r="AA125" i="67" s="1"/>
  <c r="AB87" i="67"/>
  <c r="AB125" i="67" s="1"/>
  <c r="AC87" i="67"/>
  <c r="AC125" i="67" s="1"/>
  <c r="AD87" i="67"/>
  <c r="AD125" i="67" s="1"/>
  <c r="AE87" i="67"/>
  <c r="AE125" i="67" s="1"/>
  <c r="AF87" i="67"/>
  <c r="AF125" i="67" s="1"/>
  <c r="AG87" i="67"/>
  <c r="AG125" i="67" s="1"/>
  <c r="AH87" i="67"/>
  <c r="AH125" i="67" s="1"/>
  <c r="AI87" i="67"/>
  <c r="AI125" i="67" s="1"/>
  <c r="L87" i="67"/>
  <c r="L125" i="67" s="1"/>
  <c r="K87" i="67"/>
  <c r="K125" i="67" s="1"/>
  <c r="G31" i="67"/>
  <c r="G122" i="67" s="1"/>
  <c r="H31" i="67"/>
  <c r="H122" i="67" s="1"/>
  <c r="I31" i="67"/>
  <c r="I122" i="67" s="1"/>
  <c r="M31" i="67"/>
  <c r="M122" i="67" s="1"/>
  <c r="N31" i="67"/>
  <c r="N122" i="67" s="1"/>
  <c r="O31" i="67"/>
  <c r="O122" i="67" s="1"/>
  <c r="P31" i="67"/>
  <c r="P122" i="67" s="1"/>
  <c r="Q31" i="67"/>
  <c r="Q122" i="67" s="1"/>
  <c r="R31" i="67"/>
  <c r="R122" i="67" s="1"/>
  <c r="S31" i="67"/>
  <c r="S122" i="67" s="1"/>
  <c r="T31" i="67"/>
  <c r="T122" i="67" s="1"/>
  <c r="U31" i="67"/>
  <c r="U122" i="67" s="1"/>
  <c r="V31" i="67"/>
  <c r="V122" i="67" s="1"/>
  <c r="W31" i="67"/>
  <c r="W122" i="67" s="1"/>
  <c r="X31" i="67"/>
  <c r="X122" i="67" s="1"/>
  <c r="Y31" i="67"/>
  <c r="Y122" i="67" s="1"/>
  <c r="Z31" i="67"/>
  <c r="Z122" i="67" s="1"/>
  <c r="AA31" i="67"/>
  <c r="AA122" i="67" s="1"/>
  <c r="AB31" i="67"/>
  <c r="AB122" i="67" s="1"/>
  <c r="AC31" i="67"/>
  <c r="AC122" i="67" s="1"/>
  <c r="AD31" i="67"/>
  <c r="AD122" i="67" s="1"/>
  <c r="AE31" i="67"/>
  <c r="AE122" i="67" s="1"/>
  <c r="AF31" i="67"/>
  <c r="AF122" i="67" s="1"/>
  <c r="AG31" i="67"/>
  <c r="AG122" i="67" s="1"/>
  <c r="AH31" i="67"/>
  <c r="AH122" i="67" s="1"/>
  <c r="AI31" i="67"/>
  <c r="AI122" i="67" s="1"/>
  <c r="L31" i="67"/>
  <c r="L122" i="67" s="1"/>
  <c r="K31" i="67"/>
  <c r="K122" i="67" s="1"/>
  <c r="E32" i="68" l="1"/>
  <c r="C33" i="88"/>
  <c r="C33" i="90" s="1"/>
  <c r="J32" i="37"/>
  <c r="D121" i="62"/>
  <c r="F121" i="62" s="1"/>
  <c r="E121" i="62" s="1"/>
  <c r="B34" i="46"/>
  <c r="B35" i="46" s="1"/>
  <c r="B36" i="46" s="1"/>
  <c r="B37" i="46" s="1"/>
  <c r="B38" i="46" s="1"/>
  <c r="B39" i="46" s="1"/>
  <c r="B40" i="46" s="1"/>
  <c r="B41" i="46" s="1"/>
  <c r="B42" i="46" s="1"/>
  <c r="B43" i="46" s="1"/>
  <c r="B44" i="46" s="1"/>
  <c r="B45" i="46" s="1"/>
  <c r="B46" i="46" s="1"/>
  <c r="B47" i="46" s="1"/>
  <c r="B48" i="46" s="1"/>
  <c r="B49" i="46" s="1"/>
  <c r="B50" i="46" s="1"/>
  <c r="B51" i="46" s="1"/>
  <c r="B52" i="46" s="1"/>
  <c r="B53" i="46" s="1"/>
  <c r="B54" i="46" s="1"/>
  <c r="B55" i="46" s="1"/>
  <c r="B56" i="46" s="1"/>
  <c r="B57" i="46" s="1"/>
  <c r="B58" i="46" s="1"/>
  <c r="B59" i="46" s="1"/>
  <c r="B60" i="46" s="1"/>
  <c r="B32" i="68"/>
  <c r="J31" i="67"/>
  <c r="D122" i="67"/>
  <c r="C122" i="67"/>
  <c r="J93" i="67"/>
  <c r="F93" i="67" s="1"/>
  <c r="J78" i="67"/>
  <c r="J79" i="67"/>
  <c r="F79" i="67" s="1"/>
  <c r="K25" i="87" s="1"/>
  <c r="J67" i="67"/>
  <c r="F67" i="67" s="1"/>
  <c r="K13" i="87" s="1"/>
  <c r="J68" i="67"/>
  <c r="F68" i="67" s="1"/>
  <c r="K14" i="87" s="1"/>
  <c r="L14" i="89" s="1"/>
  <c r="J69" i="67"/>
  <c r="F69" i="67" s="1"/>
  <c r="K15" i="87" s="1"/>
  <c r="L15" i="89" s="1"/>
  <c r="J35" i="67"/>
  <c r="F35" i="67" s="1"/>
  <c r="C36" i="87" s="1"/>
  <c r="J36" i="67"/>
  <c r="F36" i="67" s="1"/>
  <c r="C37" i="87" s="1"/>
  <c r="C37" i="89" s="1"/>
  <c r="J37" i="67"/>
  <c r="F37" i="67" s="1"/>
  <c r="C38" i="87" s="1"/>
  <c r="J21" i="67"/>
  <c r="J22" i="67"/>
  <c r="F22" i="67" s="1"/>
  <c r="C23" i="87" s="1"/>
  <c r="C23" i="89" s="1"/>
  <c r="J14" i="67"/>
  <c r="F14" i="67" s="1"/>
  <c r="C15" i="87" s="1"/>
  <c r="C15" i="89" s="1"/>
  <c r="J15" i="67"/>
  <c r="F15" i="67" s="1"/>
  <c r="C16" i="87" s="1"/>
  <c r="C16" i="89" s="1"/>
  <c r="J11" i="67"/>
  <c r="F11" i="67" s="1"/>
  <c r="C12" i="87" s="1"/>
  <c r="C12" i="89" s="1"/>
  <c r="A93" i="67"/>
  <c r="A78" i="67"/>
  <c r="A79" i="67"/>
  <c r="A70" i="67"/>
  <c r="A69" i="67"/>
  <c r="A67" i="67"/>
  <c r="A37" i="67"/>
  <c r="A35" i="67"/>
  <c r="A21" i="67"/>
  <c r="A22" i="67"/>
  <c r="A14" i="67"/>
  <c r="A15" i="67"/>
  <c r="A10" i="67"/>
  <c r="A11" i="67"/>
  <c r="N114" i="31"/>
  <c r="N2" i="31"/>
  <c r="O2" i="31"/>
  <c r="N3" i="31"/>
  <c r="O3" i="31"/>
  <c r="N4" i="31"/>
  <c r="O4" i="31"/>
  <c r="O1" i="31"/>
  <c r="N1" i="31"/>
  <c r="N203" i="73"/>
  <c r="N203" i="31" s="1"/>
  <c r="N204" i="73"/>
  <c r="N204" i="31" s="1"/>
  <c r="N205" i="73"/>
  <c r="O205" i="73"/>
  <c r="N206" i="73"/>
  <c r="N206" i="31" s="1"/>
  <c r="O206" i="73"/>
  <c r="O206" i="31" s="1"/>
  <c r="N207" i="73"/>
  <c r="N207" i="31" s="1"/>
  <c r="O207" i="73"/>
  <c r="O207" i="31" s="1"/>
  <c r="N208" i="73"/>
  <c r="N208" i="31" s="1"/>
  <c r="O208" i="73"/>
  <c r="O208" i="31" s="1"/>
  <c r="N150" i="73"/>
  <c r="N151" i="73"/>
  <c r="N152" i="73"/>
  <c r="N153" i="73"/>
  <c r="N154" i="73"/>
  <c r="N155" i="73"/>
  <c r="N156" i="73"/>
  <c r="N157" i="73"/>
  <c r="N158" i="73"/>
  <c r="N159" i="73"/>
  <c r="N160" i="73"/>
  <c r="N161" i="73"/>
  <c r="N162" i="73"/>
  <c r="N163" i="73"/>
  <c r="N164" i="73"/>
  <c r="N165" i="73"/>
  <c r="N166" i="73"/>
  <c r="N167" i="73"/>
  <c r="N168" i="73"/>
  <c r="N169" i="73"/>
  <c r="N170" i="73"/>
  <c r="N171" i="73"/>
  <c r="N172" i="73"/>
  <c r="N173" i="73"/>
  <c r="N174" i="73"/>
  <c r="N175" i="73"/>
  <c r="N176" i="73"/>
  <c r="N177" i="73"/>
  <c r="N178" i="73"/>
  <c r="N179" i="73"/>
  <c r="N179" i="31" s="1"/>
  <c r="N180" i="73"/>
  <c r="N181" i="73"/>
  <c r="N181" i="31" s="1"/>
  <c r="N182" i="73"/>
  <c r="N183" i="73"/>
  <c r="N183" i="31" s="1"/>
  <c r="N184" i="73"/>
  <c r="N185" i="73"/>
  <c r="N185" i="31" s="1"/>
  <c r="N186" i="73"/>
  <c r="N187" i="73"/>
  <c r="N188" i="73"/>
  <c r="N188" i="31" s="1"/>
  <c r="N189" i="73"/>
  <c r="N190" i="73"/>
  <c r="N190" i="31" s="1"/>
  <c r="N191" i="73"/>
  <c r="N192" i="73"/>
  <c r="N192" i="31" s="1"/>
  <c r="N193" i="73"/>
  <c r="N194" i="73"/>
  <c r="N195" i="73"/>
  <c r="N195" i="31" s="1"/>
  <c r="N196" i="73"/>
  <c r="N197" i="73"/>
  <c r="N198" i="73"/>
  <c r="N199" i="73"/>
  <c r="N200" i="73"/>
  <c r="N200" i="31" s="1"/>
  <c r="N201" i="73"/>
  <c r="N202" i="73"/>
  <c r="N126" i="73"/>
  <c r="N127" i="73"/>
  <c r="N128" i="73"/>
  <c r="N128" i="31" s="1"/>
  <c r="N136" i="73"/>
  <c r="N137" i="73"/>
  <c r="N138" i="73"/>
  <c r="N139" i="73"/>
  <c r="N140" i="73"/>
  <c r="N141" i="73"/>
  <c r="N142" i="73"/>
  <c r="N143" i="73"/>
  <c r="N144" i="73"/>
  <c r="N145" i="73"/>
  <c r="N146" i="73"/>
  <c r="N147" i="73"/>
  <c r="N147" i="31" s="1"/>
  <c r="N148" i="73"/>
  <c r="N149" i="73"/>
  <c r="N120" i="73"/>
  <c r="O120" i="73"/>
  <c r="N121" i="73"/>
  <c r="N121" i="31" s="1"/>
  <c r="N122" i="73"/>
  <c r="N108" i="73"/>
  <c r="N109" i="73"/>
  <c r="N110" i="73"/>
  <c r="N111" i="73"/>
  <c r="N113" i="73"/>
  <c r="N115" i="73"/>
  <c r="N116" i="73"/>
  <c r="N117" i="73"/>
  <c r="N118" i="73"/>
  <c r="N119" i="73"/>
  <c r="N103" i="73"/>
  <c r="N104" i="73"/>
  <c r="N105" i="73"/>
  <c r="N106" i="73"/>
  <c r="N107" i="73"/>
  <c r="N100" i="73"/>
  <c r="N101" i="73"/>
  <c r="N101" i="31" s="1"/>
  <c r="N102" i="73"/>
  <c r="N95" i="73"/>
  <c r="N95" i="31" s="1"/>
  <c r="N96" i="73"/>
  <c r="N97" i="73"/>
  <c r="N97" i="31" s="1"/>
  <c r="N98" i="73"/>
  <c r="N99" i="73"/>
  <c r="N99" i="31" s="1"/>
  <c r="N88" i="73"/>
  <c r="N89" i="73"/>
  <c r="N89" i="31" s="1"/>
  <c r="N90" i="73"/>
  <c r="N91" i="73"/>
  <c r="N91" i="31" s="1"/>
  <c r="N92" i="73"/>
  <c r="N93" i="73"/>
  <c r="N94" i="73"/>
  <c r="N77" i="73"/>
  <c r="N77" i="31" s="1"/>
  <c r="N78" i="73"/>
  <c r="N79" i="73"/>
  <c r="N84" i="73"/>
  <c r="N85" i="73"/>
  <c r="N85" i="31" s="1"/>
  <c r="N86" i="73"/>
  <c r="N87" i="73"/>
  <c r="N66" i="73"/>
  <c r="N67" i="73"/>
  <c r="N68" i="73"/>
  <c r="N69" i="73"/>
  <c r="N69" i="31" s="1"/>
  <c r="N70" i="73"/>
  <c r="N71" i="73"/>
  <c r="N71" i="31" s="1"/>
  <c r="N74" i="73"/>
  <c r="N75" i="73"/>
  <c r="N76" i="73"/>
  <c r="N61" i="73"/>
  <c r="N62" i="73"/>
  <c r="N62" i="31" s="1"/>
  <c r="N59" i="73"/>
  <c r="O59" i="73"/>
  <c r="N60" i="73"/>
  <c r="O60" i="73"/>
  <c r="N53" i="73"/>
  <c r="N54" i="73"/>
  <c r="N54" i="31" s="1"/>
  <c r="N55" i="73"/>
  <c r="N56" i="73"/>
  <c r="N56" i="31" s="1"/>
  <c r="N57" i="73"/>
  <c r="N58" i="73"/>
  <c r="N58" i="31" s="1"/>
  <c r="N34" i="73"/>
  <c r="N34" i="31" s="1"/>
  <c r="N35" i="73"/>
  <c r="N36" i="73"/>
  <c r="N37" i="73"/>
  <c r="N38" i="73"/>
  <c r="N38" i="31" s="1"/>
  <c r="N39" i="73"/>
  <c r="N40" i="73"/>
  <c r="N41" i="73"/>
  <c r="N42" i="73"/>
  <c r="N42" i="31" s="1"/>
  <c r="N43" i="73"/>
  <c r="N44" i="73"/>
  <c r="N45" i="73"/>
  <c r="N46" i="73"/>
  <c r="N46" i="31" s="1"/>
  <c r="N47" i="73"/>
  <c r="N48" i="73"/>
  <c r="N49" i="73"/>
  <c r="N50" i="73"/>
  <c r="N50" i="31" s="1"/>
  <c r="N51" i="73"/>
  <c r="N52" i="73"/>
  <c r="N30" i="73"/>
  <c r="N31" i="73"/>
  <c r="N33" i="73"/>
  <c r="N27" i="73"/>
  <c r="N28" i="73"/>
  <c r="N29" i="73"/>
  <c r="N9" i="73"/>
  <c r="N10" i="73"/>
  <c r="N11" i="73"/>
  <c r="N11" i="31" s="1"/>
  <c r="N12" i="73"/>
  <c r="N13" i="73"/>
  <c r="N14" i="73"/>
  <c r="N15" i="73"/>
  <c r="N15" i="31" s="1"/>
  <c r="N19" i="73"/>
  <c r="N20" i="73"/>
  <c r="N21" i="73"/>
  <c r="N24" i="73"/>
  <c r="N25" i="73"/>
  <c r="N26" i="73"/>
  <c r="N6" i="73"/>
  <c r="AA144" i="3"/>
  <c r="O144" i="73" s="1"/>
  <c r="AA145" i="3"/>
  <c r="O145" i="73" s="1"/>
  <c r="AA146" i="3"/>
  <c r="O146" i="73" s="1"/>
  <c r="AA147" i="3"/>
  <c r="O147" i="73" s="1"/>
  <c r="AA148" i="3"/>
  <c r="O148" i="73" s="1"/>
  <c r="AA149" i="3"/>
  <c r="O149" i="73" s="1"/>
  <c r="AA150" i="3"/>
  <c r="AA151" i="3"/>
  <c r="O151" i="73" s="1"/>
  <c r="AA152" i="3"/>
  <c r="O152" i="73" s="1"/>
  <c r="AA153" i="3"/>
  <c r="O153" i="73" s="1"/>
  <c r="AA154" i="3"/>
  <c r="O154" i="73" s="1"/>
  <c r="AA155" i="3"/>
  <c r="O155" i="73" s="1"/>
  <c r="AA156" i="3"/>
  <c r="O156" i="73" s="1"/>
  <c r="AA157" i="3"/>
  <c r="O157" i="73" s="1"/>
  <c r="AA158" i="3"/>
  <c r="O158" i="73" s="1"/>
  <c r="AA159" i="3"/>
  <c r="O159" i="73" s="1"/>
  <c r="AA160" i="3"/>
  <c r="O160" i="73" s="1"/>
  <c r="AA161" i="3"/>
  <c r="O161" i="73" s="1"/>
  <c r="AA162" i="3"/>
  <c r="O162" i="73" s="1"/>
  <c r="AA163" i="3"/>
  <c r="O163" i="73" s="1"/>
  <c r="AA164" i="3"/>
  <c r="O164" i="73" s="1"/>
  <c r="AA165" i="3"/>
  <c r="O165" i="73" s="1"/>
  <c r="AA166" i="3"/>
  <c r="O166" i="73" s="1"/>
  <c r="AA167" i="3"/>
  <c r="O167" i="73" s="1"/>
  <c r="AA168" i="3"/>
  <c r="O168" i="73" s="1"/>
  <c r="AA169" i="3"/>
  <c r="O169" i="73" s="1"/>
  <c r="AA170" i="3"/>
  <c r="O170" i="73" s="1"/>
  <c r="AA171" i="3"/>
  <c r="O171" i="73" s="1"/>
  <c r="AA172" i="3"/>
  <c r="O172" i="73" s="1"/>
  <c r="AA173" i="3"/>
  <c r="O173" i="73" s="1"/>
  <c r="AA174" i="3"/>
  <c r="O174" i="73" s="1"/>
  <c r="AA175" i="3"/>
  <c r="O175" i="73" s="1"/>
  <c r="AA176" i="3"/>
  <c r="O176" i="73" s="1"/>
  <c r="AA177" i="3"/>
  <c r="O177" i="73" s="1"/>
  <c r="AA178" i="3"/>
  <c r="O178" i="73" s="1"/>
  <c r="AA179" i="3"/>
  <c r="O179" i="73" s="1"/>
  <c r="AA180" i="3"/>
  <c r="O180" i="73" s="1"/>
  <c r="AA181" i="3"/>
  <c r="O181" i="73" s="1"/>
  <c r="AA182" i="3"/>
  <c r="O182" i="73" s="1"/>
  <c r="AA183" i="3"/>
  <c r="O183" i="73" s="1"/>
  <c r="AA184" i="3"/>
  <c r="O184" i="73" s="1"/>
  <c r="AA185" i="3"/>
  <c r="O185" i="73" s="1"/>
  <c r="AA186" i="3"/>
  <c r="O186" i="73" s="1"/>
  <c r="O186" i="31" s="1"/>
  <c r="AA187" i="3"/>
  <c r="O187" i="73" s="1"/>
  <c r="AA188" i="3"/>
  <c r="O188" i="73" s="1"/>
  <c r="AA189" i="3"/>
  <c r="O189" i="73" s="1"/>
  <c r="AA190" i="3"/>
  <c r="O190" i="73" s="1"/>
  <c r="AA191" i="3"/>
  <c r="O191" i="73" s="1"/>
  <c r="AA192" i="3"/>
  <c r="O192" i="73" s="1"/>
  <c r="AA193" i="3"/>
  <c r="O193" i="73" s="1"/>
  <c r="AA194" i="3"/>
  <c r="O194" i="73" s="1"/>
  <c r="AA195" i="3"/>
  <c r="O195" i="73" s="1"/>
  <c r="O195" i="31" s="1"/>
  <c r="AA196" i="3"/>
  <c r="AA197" i="3"/>
  <c r="O197" i="73" s="1"/>
  <c r="AA198" i="3"/>
  <c r="O198" i="73" s="1"/>
  <c r="AA199" i="3"/>
  <c r="O199" i="73" s="1"/>
  <c r="AA200" i="3"/>
  <c r="O200" i="73" s="1"/>
  <c r="AA201" i="3"/>
  <c r="O201" i="73" s="1"/>
  <c r="O201" i="31" s="1"/>
  <c r="AA202" i="3"/>
  <c r="O202" i="73" s="1"/>
  <c r="AA203" i="3"/>
  <c r="O203" i="73" s="1"/>
  <c r="AA204" i="3"/>
  <c r="O204" i="73" s="1"/>
  <c r="O151" i="78" l="1"/>
  <c r="O151" i="77"/>
  <c r="O151" i="76"/>
  <c r="O151" i="32"/>
  <c r="O150" i="73"/>
  <c r="C33" i="53"/>
  <c r="C33" i="55" s="1"/>
  <c r="E32" i="37"/>
  <c r="D32" i="62"/>
  <c r="F32" i="62" s="1"/>
  <c r="E32" i="62" s="1"/>
  <c r="L25" i="89"/>
  <c r="M25" i="87"/>
  <c r="N25" i="87" s="1"/>
  <c r="L13" i="89"/>
  <c r="M13" i="87"/>
  <c r="N13" i="87"/>
  <c r="O13" i="87" s="1"/>
  <c r="C36" i="89"/>
  <c r="E36" i="87"/>
  <c r="F36" i="87"/>
  <c r="G36" i="87" s="1"/>
  <c r="C38" i="89"/>
  <c r="F38" i="87"/>
  <c r="G38" i="87" s="1"/>
  <c r="E38" i="87"/>
  <c r="N105" i="31"/>
  <c r="N157" i="31"/>
  <c r="O202" i="31"/>
  <c r="O179" i="31"/>
  <c r="N153" i="31"/>
  <c r="N30" i="31"/>
  <c r="O172" i="31"/>
  <c r="N149" i="31"/>
  <c r="N166" i="31"/>
  <c r="N109" i="31"/>
  <c r="E15" i="67"/>
  <c r="B15" i="67" s="1"/>
  <c r="J15" i="36"/>
  <c r="H16" i="46"/>
  <c r="J16" i="46" s="1"/>
  <c r="I16" i="46" s="1"/>
  <c r="E37" i="67"/>
  <c r="B37" i="67" s="1"/>
  <c r="J37" i="36"/>
  <c r="H38" i="46"/>
  <c r="J38" i="46" s="1"/>
  <c r="I38" i="46" s="1"/>
  <c r="E68" i="67"/>
  <c r="B68" i="67" s="1"/>
  <c r="J73" i="36"/>
  <c r="H70" i="46"/>
  <c r="J70" i="46" s="1"/>
  <c r="I70" i="46" s="1"/>
  <c r="E14" i="67"/>
  <c r="B14" i="67" s="1"/>
  <c r="J14" i="36"/>
  <c r="H15" i="46"/>
  <c r="J15" i="46" s="1"/>
  <c r="I15" i="46" s="1"/>
  <c r="E36" i="67"/>
  <c r="B36" i="67" s="1"/>
  <c r="J36" i="36"/>
  <c r="E67" i="67"/>
  <c r="B67" i="67" s="1"/>
  <c r="J72" i="36"/>
  <c r="H69" i="46"/>
  <c r="J69" i="46" s="1"/>
  <c r="I69" i="46" s="1"/>
  <c r="E22" i="67"/>
  <c r="B22" i="67" s="1"/>
  <c r="J22" i="36"/>
  <c r="H23" i="46"/>
  <c r="J23" i="46" s="1"/>
  <c r="I23" i="46" s="1"/>
  <c r="E35" i="67"/>
  <c r="B35" i="67" s="1"/>
  <c r="J35" i="36"/>
  <c r="H36" i="46"/>
  <c r="J36" i="46" s="1"/>
  <c r="I36" i="46" s="1"/>
  <c r="E79" i="67"/>
  <c r="B79" i="67" s="1"/>
  <c r="J84" i="36"/>
  <c r="H81" i="46"/>
  <c r="J81" i="46" s="1"/>
  <c r="I81" i="46" s="1"/>
  <c r="E11" i="67"/>
  <c r="B11" i="67" s="1"/>
  <c r="J11" i="36"/>
  <c r="H12" i="46"/>
  <c r="J12" i="46" s="1"/>
  <c r="I12" i="46" s="1"/>
  <c r="E69" i="67"/>
  <c r="B69" i="67" s="1"/>
  <c r="J74" i="36"/>
  <c r="H71" i="46"/>
  <c r="J71" i="46" s="1"/>
  <c r="I71" i="46" s="1"/>
  <c r="E93" i="67"/>
  <c r="B93" i="67" s="1"/>
  <c r="J98" i="36"/>
  <c r="H95" i="46"/>
  <c r="J95" i="46" s="1"/>
  <c r="I95" i="46" s="1"/>
  <c r="O174" i="31"/>
  <c r="O154" i="31"/>
  <c r="O193" i="31"/>
  <c r="O165" i="31"/>
  <c r="O153" i="31"/>
  <c r="O145" i="31"/>
  <c r="O204" i="31"/>
  <c r="O168" i="31"/>
  <c r="O160" i="31"/>
  <c r="O152" i="31"/>
  <c r="O148" i="31"/>
  <c r="O144" i="31"/>
  <c r="O198" i="31"/>
  <c r="O162" i="31"/>
  <c r="O189" i="31"/>
  <c r="O161" i="31"/>
  <c r="O157" i="31"/>
  <c r="O149" i="31"/>
  <c r="O188" i="31"/>
  <c r="O191" i="31"/>
  <c r="O187" i="31"/>
  <c r="O167" i="31"/>
  <c r="O151" i="31"/>
  <c r="O181" i="31"/>
  <c r="N19" i="31"/>
  <c r="N12" i="31"/>
  <c r="N120" i="31"/>
  <c r="N146" i="31"/>
  <c r="N198" i="31"/>
  <c r="N156" i="31"/>
  <c r="N154" i="31"/>
  <c r="N205" i="31"/>
  <c r="O156" i="31"/>
  <c r="O196" i="73"/>
  <c r="N27" i="31"/>
  <c r="N98" i="31"/>
  <c r="N102" i="31"/>
  <c r="N106" i="31"/>
  <c r="O176" i="31"/>
  <c r="O159" i="31"/>
  <c r="O171" i="31"/>
  <c r="N24" i="31"/>
  <c r="N118" i="31"/>
  <c r="N116" i="31"/>
  <c r="N148" i="31"/>
  <c r="N142" i="31"/>
  <c r="N140" i="31"/>
  <c r="N138" i="31"/>
  <c r="N136" i="31"/>
  <c r="N186" i="31"/>
  <c r="N168" i="31"/>
  <c r="N160" i="31"/>
  <c r="N152" i="31"/>
  <c r="O59" i="31"/>
  <c r="N20" i="31"/>
  <c r="N13" i="31"/>
  <c r="O205" i="31"/>
  <c r="O183" i="31"/>
  <c r="O175" i="31"/>
  <c r="N163" i="31"/>
  <c r="N159" i="31"/>
  <c r="N155" i="31"/>
  <c r="N151" i="31"/>
  <c r="O146" i="31"/>
  <c r="O120" i="31"/>
  <c r="N111" i="31"/>
  <c r="N107" i="31"/>
  <c r="N103" i="31"/>
  <c r="O185" i="31"/>
  <c r="O177" i="31"/>
  <c r="N14" i="31"/>
  <c r="N10" i="31"/>
  <c r="N29" i="31"/>
  <c r="N104" i="31"/>
  <c r="N122" i="31"/>
  <c r="O158" i="31"/>
  <c r="N150" i="31"/>
  <c r="O150" i="31"/>
  <c r="O164" i="31"/>
  <c r="O60" i="31"/>
  <c r="O192" i="31"/>
  <c r="N161" i="31"/>
  <c r="N21" i="31"/>
  <c r="N31" i="31"/>
  <c r="N96" i="31"/>
  <c r="N100" i="31"/>
  <c r="N127" i="31"/>
  <c r="O190" i="31"/>
  <c r="N158" i="31"/>
  <c r="N93" i="31"/>
  <c r="N87" i="31"/>
  <c r="N79" i="31"/>
  <c r="N75" i="31"/>
  <c r="N67" i="31"/>
  <c r="N60" i="31"/>
  <c r="N52" i="31"/>
  <c r="N48" i="31"/>
  <c r="N44" i="31"/>
  <c r="N40" i="31"/>
  <c r="N36" i="31"/>
  <c r="N23" i="31"/>
  <c r="O184" i="31"/>
  <c r="O169" i="31"/>
  <c r="O163" i="31"/>
  <c r="O155" i="31"/>
  <c r="N143" i="31"/>
  <c r="N139" i="31"/>
  <c r="N117" i="31"/>
  <c r="O194" i="31"/>
  <c r="O182" i="31"/>
  <c r="O178" i="31"/>
  <c r="O170" i="31"/>
  <c r="N6" i="31"/>
  <c r="N113" i="31"/>
  <c r="N110" i="31"/>
  <c r="N108" i="31"/>
  <c r="N144" i="31"/>
  <c r="N177" i="31"/>
  <c r="N174" i="31"/>
  <c r="N162" i="31"/>
  <c r="N94" i="31"/>
  <c r="N92" i="31"/>
  <c r="N90" i="31"/>
  <c r="N88" i="31"/>
  <c r="N86" i="31"/>
  <c r="N84" i="31"/>
  <c r="N78" i="31"/>
  <c r="N76" i="31"/>
  <c r="N74" i="31"/>
  <c r="N70" i="31"/>
  <c r="N68" i="31"/>
  <c r="N66" i="31"/>
  <c r="N61" i="31"/>
  <c r="N59" i="31"/>
  <c r="N57" i="31"/>
  <c r="N55" i="31"/>
  <c r="N53" i="31"/>
  <c r="N51" i="31"/>
  <c r="N49" i="31"/>
  <c r="N47" i="31"/>
  <c r="N45" i="31"/>
  <c r="N43" i="31"/>
  <c r="N41" i="31"/>
  <c r="N39" i="31"/>
  <c r="N37" i="31"/>
  <c r="N35" i="31"/>
  <c r="N33" i="31"/>
  <c r="N193" i="31"/>
  <c r="N187" i="31"/>
  <c r="O180" i="31"/>
  <c r="O173" i="31"/>
  <c r="O166" i="31"/>
  <c r="N145" i="31"/>
  <c r="N141" i="31"/>
  <c r="N137" i="31"/>
  <c r="N126" i="31"/>
  <c r="N119" i="31"/>
  <c r="N167" i="31"/>
  <c r="N199" i="31"/>
  <c r="N182" i="31"/>
  <c r="N178" i="31"/>
  <c r="N175" i="31"/>
  <c r="N173" i="31"/>
  <c r="N172" i="31"/>
  <c r="N170" i="31"/>
  <c r="N165" i="31"/>
  <c r="N202" i="31"/>
  <c r="N201" i="31"/>
  <c r="N197" i="31"/>
  <c r="N196" i="31"/>
  <c r="N194" i="31"/>
  <c r="N191" i="31"/>
  <c r="N189" i="31"/>
  <c r="N184" i="31"/>
  <c r="N180" i="31"/>
  <c r="N176" i="31"/>
  <c r="H8" i="31" s="1"/>
  <c r="N171" i="31"/>
  <c r="N169" i="31"/>
  <c r="N164" i="31"/>
  <c r="O147" i="31"/>
  <c r="O203" i="31"/>
  <c r="O200" i="31"/>
  <c r="O197" i="31"/>
  <c r="O199" i="31"/>
  <c r="N28" i="31"/>
  <c r="N26" i="31"/>
  <c r="N25" i="31"/>
  <c r="H15" i="31" s="1"/>
  <c r="N115" i="31"/>
  <c r="F21" i="67"/>
  <c r="C22" i="87" s="1"/>
  <c r="C22" i="89" s="1"/>
  <c r="F78" i="67"/>
  <c r="K24" i="87" s="1"/>
  <c r="F31" i="67"/>
  <c r="E31" i="67" s="1"/>
  <c r="AA122" i="3"/>
  <c r="O122" i="73" s="1"/>
  <c r="AA126" i="3"/>
  <c r="O126" i="73" s="1"/>
  <c r="AA127" i="3"/>
  <c r="O127" i="73" s="1"/>
  <c r="AA128" i="3"/>
  <c r="O128" i="73" s="1"/>
  <c r="AA136" i="3"/>
  <c r="O136" i="73" s="1"/>
  <c r="AA137" i="3"/>
  <c r="O137" i="73" s="1"/>
  <c r="AA138" i="3"/>
  <c r="O138" i="73" s="1"/>
  <c r="AA139" i="3"/>
  <c r="O139" i="73" s="1"/>
  <c r="AA140" i="3"/>
  <c r="O140" i="73" s="1"/>
  <c r="AA141" i="3"/>
  <c r="O141" i="73" s="1"/>
  <c r="AA142" i="3"/>
  <c r="O142" i="73" s="1"/>
  <c r="AA143" i="3"/>
  <c r="O143" i="73" s="1"/>
  <c r="AA118" i="3"/>
  <c r="O118" i="73" s="1"/>
  <c r="AA119" i="3"/>
  <c r="O119" i="73" s="1"/>
  <c r="AA96" i="3"/>
  <c r="O96" i="73" s="1"/>
  <c r="AA97" i="3"/>
  <c r="O97" i="73" s="1"/>
  <c r="AA98" i="3"/>
  <c r="O98" i="73" s="1"/>
  <c r="AA99" i="3"/>
  <c r="O99" i="73" s="1"/>
  <c r="AA100" i="3"/>
  <c r="O100" i="73" s="1"/>
  <c r="AA101" i="3"/>
  <c r="O101" i="73" s="1"/>
  <c r="AA104" i="3"/>
  <c r="O104" i="73" s="1"/>
  <c r="AA105" i="3"/>
  <c r="O105" i="73" s="1"/>
  <c r="AA106" i="3"/>
  <c r="O106" i="73" s="1"/>
  <c r="AA107" i="3"/>
  <c r="O107" i="73" s="1"/>
  <c r="AA108" i="3"/>
  <c r="O108" i="73" s="1"/>
  <c r="AA109" i="3"/>
  <c r="O109" i="73" s="1"/>
  <c r="AA110" i="3"/>
  <c r="O110" i="73" s="1"/>
  <c r="AA111" i="3"/>
  <c r="O111" i="73" s="1"/>
  <c r="AA113" i="3"/>
  <c r="O113" i="73" s="1"/>
  <c r="AA114" i="3"/>
  <c r="O114" i="73" s="1"/>
  <c r="AA115" i="3"/>
  <c r="O115" i="73" s="1"/>
  <c r="AA90" i="3"/>
  <c r="O90" i="73" s="1"/>
  <c r="AA91" i="3"/>
  <c r="O91" i="73" s="1"/>
  <c r="AA92" i="3"/>
  <c r="O92" i="73" s="1"/>
  <c r="AA93" i="3"/>
  <c r="O93" i="73" s="1"/>
  <c r="AA94" i="3"/>
  <c r="O94" i="73" s="1"/>
  <c r="AA95" i="3"/>
  <c r="O95" i="73" s="1"/>
  <c r="AA79" i="3"/>
  <c r="O79" i="73" s="1"/>
  <c r="AA84" i="3"/>
  <c r="O84" i="73" s="1"/>
  <c r="AA85" i="3"/>
  <c r="O85" i="73" s="1"/>
  <c r="AA86" i="3"/>
  <c r="O86" i="73" s="1"/>
  <c r="AA87" i="3"/>
  <c r="O87" i="73" s="1"/>
  <c r="AA88" i="3"/>
  <c r="O88" i="73" s="1"/>
  <c r="AA89" i="3"/>
  <c r="O89" i="73" s="1"/>
  <c r="AA66" i="3"/>
  <c r="O66" i="73" s="1"/>
  <c r="AA67" i="3"/>
  <c r="O67" i="73" s="1"/>
  <c r="AA68" i="3"/>
  <c r="O68" i="73" s="1"/>
  <c r="AA69" i="3"/>
  <c r="O69" i="73" s="1"/>
  <c r="AA70" i="3"/>
  <c r="O70" i="73" s="1"/>
  <c r="AA71" i="3"/>
  <c r="O71" i="73" s="1"/>
  <c r="AA74" i="3"/>
  <c r="O74" i="73" s="1"/>
  <c r="AA75" i="3"/>
  <c r="O75" i="73" s="1"/>
  <c r="AA76" i="3"/>
  <c r="O76" i="73" s="1"/>
  <c r="AA77" i="3"/>
  <c r="O77" i="73" s="1"/>
  <c r="AA78" i="3"/>
  <c r="O78" i="73" s="1"/>
  <c r="AA58" i="3"/>
  <c r="O58" i="73" s="1"/>
  <c r="AA57" i="3"/>
  <c r="O57" i="73" s="1"/>
  <c r="AA52" i="3"/>
  <c r="O52" i="73" s="1"/>
  <c r="AA53" i="3"/>
  <c r="O53" i="73" s="1"/>
  <c r="AA54" i="3"/>
  <c r="O54" i="73" s="1"/>
  <c r="AA55" i="3"/>
  <c r="O55" i="73" s="1"/>
  <c r="AA56" i="3"/>
  <c r="O56" i="73" s="1"/>
  <c r="AA34" i="3"/>
  <c r="O34" i="73" s="1"/>
  <c r="AA35" i="3"/>
  <c r="O35" i="73" s="1"/>
  <c r="AA36" i="3"/>
  <c r="O36" i="73" s="1"/>
  <c r="AA37" i="3"/>
  <c r="O37" i="73" s="1"/>
  <c r="AA38" i="3"/>
  <c r="O38" i="73" s="1"/>
  <c r="AA39" i="3"/>
  <c r="O39" i="73" s="1"/>
  <c r="AA40" i="3"/>
  <c r="O40" i="73" s="1"/>
  <c r="AA41" i="3"/>
  <c r="O41" i="73" s="1"/>
  <c r="AA42" i="3"/>
  <c r="O42" i="73" s="1"/>
  <c r="AA43" i="3"/>
  <c r="O43" i="73" s="1"/>
  <c r="AA44" i="3"/>
  <c r="O44" i="73" s="1"/>
  <c r="AA45" i="3"/>
  <c r="O45" i="73" s="1"/>
  <c r="AA46" i="3"/>
  <c r="O46" i="73" s="1"/>
  <c r="AA47" i="3"/>
  <c r="O47" i="73" s="1"/>
  <c r="AA48" i="3"/>
  <c r="O48" i="73" s="1"/>
  <c r="AA49" i="3"/>
  <c r="O49" i="73" s="1"/>
  <c r="AA50" i="3"/>
  <c r="O50" i="73" s="1"/>
  <c r="AA51" i="3"/>
  <c r="O51" i="73" s="1"/>
  <c r="AA61" i="3"/>
  <c r="O61" i="73" s="1"/>
  <c r="AA62" i="3"/>
  <c r="O62" i="73" s="1"/>
  <c r="AA27" i="3"/>
  <c r="O27" i="73" s="1"/>
  <c r="AA28" i="3"/>
  <c r="O28" i="73" s="1"/>
  <c r="AA29" i="3"/>
  <c r="O29" i="73" s="1"/>
  <c r="AA30" i="3"/>
  <c r="O30" i="73" s="1"/>
  <c r="AA31" i="3"/>
  <c r="O31" i="73" s="1"/>
  <c r="AA33" i="3"/>
  <c r="O33" i="73" s="1"/>
  <c r="AA9" i="3"/>
  <c r="O9" i="73" s="1"/>
  <c r="AA10" i="3"/>
  <c r="O10" i="73" s="1"/>
  <c r="AA11" i="3"/>
  <c r="O11" i="73" s="1"/>
  <c r="AA12" i="3"/>
  <c r="O12" i="73" s="1"/>
  <c r="AA13" i="3"/>
  <c r="O13" i="73" s="1"/>
  <c r="AA14" i="3"/>
  <c r="O14" i="73" s="1"/>
  <c r="AA15" i="3"/>
  <c r="O15" i="73" s="1"/>
  <c r="AA19" i="3"/>
  <c r="O19" i="73" s="1"/>
  <c r="AA20" i="3"/>
  <c r="O20" i="73" s="1"/>
  <c r="AA21" i="3"/>
  <c r="O21" i="73" s="1"/>
  <c r="AA23" i="3"/>
  <c r="AA24" i="3"/>
  <c r="O24" i="73" s="1"/>
  <c r="AA25" i="3"/>
  <c r="O25" i="73" s="1"/>
  <c r="AA26" i="3"/>
  <c r="O26" i="73" s="1"/>
  <c r="O150" i="32" l="1"/>
  <c r="O150" i="78"/>
  <c r="O150" i="76"/>
  <c r="O150" i="77"/>
  <c r="L24" i="89"/>
  <c r="M24" i="87"/>
  <c r="N24" i="87" s="1"/>
  <c r="O196" i="31"/>
  <c r="J83" i="36"/>
  <c r="H80" i="46"/>
  <c r="J80" i="46" s="1"/>
  <c r="I80" i="46" s="1"/>
  <c r="K25" i="52"/>
  <c r="L25" i="54" s="1"/>
  <c r="E84" i="36"/>
  <c r="D81" i="46"/>
  <c r="F81" i="46" s="1"/>
  <c r="E81" i="46" s="1"/>
  <c r="C38" i="52"/>
  <c r="C38" i="54" s="1"/>
  <c r="E37" i="36"/>
  <c r="D38" i="46"/>
  <c r="F38" i="46" s="1"/>
  <c r="E38" i="46" s="1"/>
  <c r="J21" i="36"/>
  <c r="H22" i="46"/>
  <c r="J22" i="46" s="1"/>
  <c r="I22" i="46" s="1"/>
  <c r="C12" i="52"/>
  <c r="C12" i="54" s="1"/>
  <c r="E11" i="36"/>
  <c r="D12" i="46"/>
  <c r="F12" i="46" s="1"/>
  <c r="E12" i="46" s="1"/>
  <c r="K13" i="52"/>
  <c r="L13" i="54" s="1"/>
  <c r="E72" i="36"/>
  <c r="D69" i="46"/>
  <c r="F69" i="46" s="1"/>
  <c r="E69" i="46" s="1"/>
  <c r="K14" i="52"/>
  <c r="L14" i="54" s="1"/>
  <c r="E73" i="36"/>
  <c r="D70" i="46"/>
  <c r="F70" i="46" s="1"/>
  <c r="E70" i="46" s="1"/>
  <c r="E74" i="36"/>
  <c r="D71" i="46"/>
  <c r="F71" i="46" s="1"/>
  <c r="E71" i="46" s="1"/>
  <c r="C23" i="52"/>
  <c r="C23" i="54" s="1"/>
  <c r="E22" i="36"/>
  <c r="D23" i="46"/>
  <c r="F23" i="46" s="1"/>
  <c r="E23" i="46" s="1"/>
  <c r="C15" i="52"/>
  <c r="C15" i="54" s="1"/>
  <c r="E14" i="36"/>
  <c r="D15" i="46"/>
  <c r="F15" i="46" s="1"/>
  <c r="E15" i="46" s="1"/>
  <c r="E98" i="36"/>
  <c r="D95" i="46"/>
  <c r="F95" i="46" s="1"/>
  <c r="E95" i="46" s="1"/>
  <c r="C36" i="52"/>
  <c r="C36" i="54" s="1"/>
  <c r="E35" i="36"/>
  <c r="D36" i="46"/>
  <c r="F36" i="46" s="1"/>
  <c r="E36" i="46" s="1"/>
  <c r="C37" i="52"/>
  <c r="C37" i="54" s="1"/>
  <c r="E36" i="36"/>
  <c r="C16" i="52"/>
  <c r="C16" i="54" s="1"/>
  <c r="E15" i="36"/>
  <c r="D16" i="46"/>
  <c r="F16" i="46" s="1"/>
  <c r="E16" i="46" s="1"/>
  <c r="O14" i="31"/>
  <c r="O51" i="31"/>
  <c r="O35" i="31"/>
  <c r="O69" i="31"/>
  <c r="O90" i="31"/>
  <c r="O97" i="31"/>
  <c r="O10" i="31"/>
  <c r="O47" i="31"/>
  <c r="O58" i="31"/>
  <c r="O85" i="31"/>
  <c r="O101" i="31"/>
  <c r="O139" i="31"/>
  <c r="O30" i="31"/>
  <c r="O43" i="31"/>
  <c r="O54" i="31"/>
  <c r="O89" i="31"/>
  <c r="O111" i="31"/>
  <c r="O128" i="31"/>
  <c r="O13" i="31"/>
  <c r="O29" i="31"/>
  <c r="O46" i="31"/>
  <c r="O42" i="31"/>
  <c r="O34" i="31"/>
  <c r="O53" i="31"/>
  <c r="O78" i="31"/>
  <c r="O74" i="31"/>
  <c r="O68" i="31"/>
  <c r="O88" i="31"/>
  <c r="O106" i="31"/>
  <c r="O96" i="31"/>
  <c r="O127" i="31"/>
  <c r="O19" i="31"/>
  <c r="O33" i="31"/>
  <c r="O49" i="31"/>
  <c r="O41" i="31"/>
  <c r="O56" i="31"/>
  <c r="O71" i="31"/>
  <c r="O87" i="31"/>
  <c r="O92" i="31"/>
  <c r="O105" i="31"/>
  <c r="O119" i="31"/>
  <c r="O141" i="31"/>
  <c r="O137" i="31"/>
  <c r="O126" i="31"/>
  <c r="O39" i="31"/>
  <c r="O75" i="31"/>
  <c r="O94" i="31"/>
  <c r="O107" i="31"/>
  <c r="O143" i="31"/>
  <c r="O20" i="31"/>
  <c r="O50" i="31"/>
  <c r="O38" i="31"/>
  <c r="O84" i="31"/>
  <c r="O93" i="31"/>
  <c r="O115" i="31"/>
  <c r="O110" i="31"/>
  <c r="O100" i="31"/>
  <c r="O142" i="31"/>
  <c r="O138" i="31"/>
  <c r="O12" i="31"/>
  <c r="O28" i="31"/>
  <c r="O62" i="31"/>
  <c r="O45" i="31"/>
  <c r="O37" i="31"/>
  <c r="O52" i="31"/>
  <c r="O77" i="31"/>
  <c r="O67" i="31"/>
  <c r="O79" i="31"/>
  <c r="O114" i="31"/>
  <c r="O109" i="31"/>
  <c r="O99" i="31"/>
  <c r="O23" i="31"/>
  <c r="O15" i="31"/>
  <c r="O11" i="31"/>
  <c r="O31" i="31"/>
  <c r="O61" i="31"/>
  <c r="O48" i="31"/>
  <c r="O44" i="31"/>
  <c r="O40" i="31"/>
  <c r="O36" i="31"/>
  <c r="O55" i="31"/>
  <c r="O57" i="31"/>
  <c r="O76" i="31"/>
  <c r="O70" i="31"/>
  <c r="O66" i="31"/>
  <c r="O86" i="31"/>
  <c r="O95" i="31"/>
  <c r="O91" i="31"/>
  <c r="O113" i="31"/>
  <c r="O108" i="31"/>
  <c r="O104" i="31"/>
  <c r="O98" i="31"/>
  <c r="O118" i="31"/>
  <c r="O140" i="31"/>
  <c r="O136" i="31"/>
  <c r="O122" i="31"/>
  <c r="E7" i="31"/>
  <c r="E12" i="31"/>
  <c r="H13" i="31"/>
  <c r="E9" i="76"/>
  <c r="H8" i="77"/>
  <c r="E9" i="31"/>
  <c r="H13" i="77"/>
  <c r="H6" i="31"/>
  <c r="E5" i="31"/>
  <c r="E14" i="31"/>
  <c r="E21" i="67"/>
  <c r="E78" i="67"/>
  <c r="O25" i="31"/>
  <c r="O27" i="31"/>
  <c r="O24" i="31"/>
  <c r="O26" i="31"/>
  <c r="O21" i="31"/>
  <c r="H5" i="73"/>
  <c r="H6" i="73"/>
  <c r="H9" i="73"/>
  <c r="H8" i="73"/>
  <c r="M25" i="52" l="1"/>
  <c r="N25" i="52" s="1"/>
  <c r="H10" i="77"/>
  <c r="E12" i="77"/>
  <c r="J18" i="77" s="1"/>
  <c r="E9" i="77"/>
  <c r="E7" i="77"/>
  <c r="B21" i="67"/>
  <c r="B78" i="67"/>
  <c r="B8" i="90"/>
  <c r="A57" i="90"/>
  <c r="A58" i="90"/>
  <c r="D46" i="88"/>
  <c r="A57" i="88"/>
  <c r="A58" i="88"/>
  <c r="B8" i="88"/>
  <c r="A40" i="89"/>
  <c r="A41" i="89"/>
  <c r="A42" i="89"/>
  <c r="A43" i="89"/>
  <c r="A44" i="89"/>
  <c r="A45" i="89"/>
  <c r="A46" i="89"/>
  <c r="A47" i="89"/>
  <c r="A48" i="89"/>
  <c r="A49" i="89"/>
  <c r="A50" i="89"/>
  <c r="A51" i="89"/>
  <c r="A52" i="89"/>
  <c r="A53" i="89"/>
  <c r="A54" i="89"/>
  <c r="A55" i="89"/>
  <c r="A56" i="89"/>
  <c r="A57" i="89"/>
  <c r="A58" i="89"/>
  <c r="B8" i="89"/>
  <c r="B9" i="89" s="1"/>
  <c r="B10" i="89" s="1"/>
  <c r="B11" i="89" s="1"/>
  <c r="A28" i="89"/>
  <c r="B8" i="87"/>
  <c r="B9" i="87" s="1"/>
  <c r="B10" i="87" s="1"/>
  <c r="B11" i="87" s="1"/>
  <c r="A40" i="87"/>
  <c r="A41" i="87"/>
  <c r="A42" i="87"/>
  <c r="A43" i="87"/>
  <c r="A44" i="87"/>
  <c r="A45" i="87"/>
  <c r="A46" i="87"/>
  <c r="A47" i="87"/>
  <c r="A48" i="87"/>
  <c r="A49" i="87"/>
  <c r="A50" i="87"/>
  <c r="A51" i="87"/>
  <c r="A52" i="87"/>
  <c r="A53" i="87"/>
  <c r="A54" i="87"/>
  <c r="A55" i="87"/>
  <c r="A56" i="87"/>
  <c r="A57" i="87"/>
  <c r="A58" i="87"/>
  <c r="A28" i="87"/>
  <c r="B9" i="90" l="1"/>
  <c r="B10" i="90" s="1"/>
  <c r="B11" i="90" s="1"/>
  <c r="B12" i="90" s="1"/>
  <c r="B13" i="90" s="1"/>
  <c r="B14" i="90" s="1"/>
  <c r="B15" i="90" s="1"/>
  <c r="B16" i="90" s="1"/>
  <c r="B17" i="90" s="1"/>
  <c r="B18" i="90" s="1"/>
  <c r="B19" i="90" s="1"/>
  <c r="B20" i="90" s="1"/>
  <c r="B21" i="90" s="1"/>
  <c r="B22" i="90" s="1"/>
  <c r="B23" i="90" s="1"/>
  <c r="B24" i="90" s="1"/>
  <c r="B25" i="90" s="1"/>
  <c r="B26" i="90" s="1"/>
  <c r="B27" i="90" s="1"/>
  <c r="B28" i="90" s="1"/>
  <c r="B29" i="90" s="1"/>
  <c r="B30" i="90" s="1"/>
  <c r="B31" i="90" s="1"/>
  <c r="B32" i="90" s="1"/>
  <c r="B33" i="90" s="1"/>
  <c r="B34" i="90" s="1"/>
  <c r="B35" i="90" s="1"/>
  <c r="B36" i="90" s="1"/>
  <c r="B37" i="90" s="1"/>
  <c r="B38" i="90" s="1"/>
  <c r="B39" i="90" s="1"/>
  <c r="B40" i="90" s="1"/>
  <c r="B41" i="90" s="1"/>
  <c r="B42" i="90" s="1"/>
  <c r="B43" i="90" s="1"/>
  <c r="B44" i="90" s="1"/>
  <c r="B45" i="90" s="1"/>
  <c r="B46" i="90" s="1"/>
  <c r="B47" i="90" s="1"/>
  <c r="B48" i="90" s="1"/>
  <c r="B49" i="90" s="1"/>
  <c r="B50" i="90" s="1"/>
  <c r="B51" i="90" s="1"/>
  <c r="B52" i="90" s="1"/>
  <c r="B53" i="90" s="1"/>
  <c r="B54" i="90" s="1"/>
  <c r="B55" i="90" s="1"/>
  <c r="B56" i="90" s="1"/>
  <c r="B57" i="90" s="1"/>
  <c r="B58" i="90" s="1"/>
  <c r="B59" i="90" s="1"/>
  <c r="B60" i="90" s="1"/>
  <c r="B61" i="90" s="1"/>
  <c r="B9" i="88"/>
  <c r="B10" i="88" s="1"/>
  <c r="B11" i="88" s="1"/>
  <c r="B12" i="88" s="1"/>
  <c r="B13" i="88" s="1"/>
  <c r="B14" i="88" s="1"/>
  <c r="B12" i="89"/>
  <c r="B13" i="89" s="1"/>
  <c r="B14" i="89" s="1"/>
  <c r="B15" i="89" s="1"/>
  <c r="B16" i="89" s="1"/>
  <c r="B17" i="89" s="1"/>
  <c r="B12" i="87"/>
  <c r="B13" i="87" s="1"/>
  <c r="B14" i="87" s="1"/>
  <c r="B15" i="87" s="1"/>
  <c r="B16" i="87" s="1"/>
  <c r="B17" i="87" s="1"/>
  <c r="K24" i="52"/>
  <c r="L24" i="54" s="1"/>
  <c r="E83" i="36"/>
  <c r="D80" i="46"/>
  <c r="F80" i="46" s="1"/>
  <c r="E80" i="46" s="1"/>
  <c r="C22" i="52"/>
  <c r="C22" i="54" s="1"/>
  <c r="E21" i="36"/>
  <c r="D22" i="46"/>
  <c r="F22" i="46" s="1"/>
  <c r="E22" i="46" s="1"/>
  <c r="J11" i="77"/>
  <c r="A66" i="55"/>
  <c r="A57" i="55"/>
  <c r="A58" i="55"/>
  <c r="B8" i="55"/>
  <c r="B15" i="88" l="1"/>
  <c r="B16" i="88" s="1"/>
  <c r="B17" i="88" s="1"/>
  <c r="B18" i="88" s="1"/>
  <c r="B19" i="88" s="1"/>
  <c r="B20" i="88" s="1"/>
  <c r="B21" i="88" s="1"/>
  <c r="B22" i="88" s="1"/>
  <c r="B23" i="88" s="1"/>
  <c r="B24" i="88" s="1"/>
  <c r="B25" i="88" s="1"/>
  <c r="B26" i="88" s="1"/>
  <c r="B27" i="88" s="1"/>
  <c r="B28" i="88" s="1"/>
  <c r="B29" i="88" s="1"/>
  <c r="B30" i="88" s="1"/>
  <c r="B31" i="88" s="1"/>
  <c r="B32" i="88" s="1"/>
  <c r="B33" i="88" s="1"/>
  <c r="B34" i="88" s="1"/>
  <c r="B35" i="88" s="1"/>
  <c r="B36" i="88" s="1"/>
  <c r="B37" i="88" s="1"/>
  <c r="B38" i="88" s="1"/>
  <c r="B39" i="88" s="1"/>
  <c r="B40" i="88" s="1"/>
  <c r="B41" i="88" s="1"/>
  <c r="B42" i="88" s="1"/>
  <c r="B43" i="88" s="1"/>
  <c r="B44" i="88" s="1"/>
  <c r="B45" i="88" s="1"/>
  <c r="B46" i="88" s="1"/>
  <c r="B47" i="88" s="1"/>
  <c r="B48" i="88" s="1"/>
  <c r="B49" i="88" s="1"/>
  <c r="B50" i="88" s="1"/>
  <c r="B51" i="88" s="1"/>
  <c r="B52" i="88" s="1"/>
  <c r="B53" i="88" s="1"/>
  <c r="B54" i="88" s="1"/>
  <c r="B55" i="88" s="1"/>
  <c r="B56" i="88" s="1"/>
  <c r="B57" i="88" s="1"/>
  <c r="B58" i="88" s="1"/>
  <c r="B59" i="88" s="1"/>
  <c r="B60" i="88" s="1"/>
  <c r="B61" i="88" s="1"/>
  <c r="B62" i="88" s="1"/>
  <c r="B63" i="88" s="1"/>
  <c r="B64" i="88" s="1"/>
  <c r="B65" i="88" s="1"/>
  <c r="B66" i="88" s="1"/>
  <c r="B67" i="88" s="1"/>
  <c r="B68" i="88" s="1"/>
  <c r="B69" i="88" s="1"/>
  <c r="B70" i="88" s="1"/>
  <c r="B71" i="88" s="1"/>
  <c r="B72" i="88" s="1"/>
  <c r="B73" i="88" s="1"/>
  <c r="B74" i="88" s="1"/>
  <c r="B75" i="88" s="1"/>
  <c r="B76" i="88" s="1"/>
  <c r="B77" i="88" s="1"/>
  <c r="B78" i="88" s="1"/>
  <c r="B9" i="55"/>
  <c r="B10" i="55" s="1"/>
  <c r="B11" i="55" s="1"/>
  <c r="B12" i="55" s="1"/>
  <c r="B13" i="55" s="1"/>
  <c r="B14" i="55" s="1"/>
  <c r="B18" i="89"/>
  <c r="B19" i="89" s="1"/>
  <c r="B20" i="89" s="1"/>
  <c r="B21" i="89" s="1"/>
  <c r="B22" i="89" s="1"/>
  <c r="B18" i="87"/>
  <c r="B19" i="87" s="1"/>
  <c r="B20" i="87" s="1"/>
  <c r="B21" i="87" s="1"/>
  <c r="B22" i="87" s="1"/>
  <c r="B23" i="87" s="1"/>
  <c r="B24" i="87" s="1"/>
  <c r="B25" i="87" s="1"/>
  <c r="B62" i="90"/>
  <c r="B63" i="90" s="1"/>
  <c r="B64" i="90" s="1"/>
  <c r="B65" i="90" s="1"/>
  <c r="B66" i="90" s="1"/>
  <c r="B67" i="90" s="1"/>
  <c r="B68" i="90" s="1"/>
  <c r="B69" i="90" s="1"/>
  <c r="B70" i="90" s="1"/>
  <c r="B71" i="90" s="1"/>
  <c r="B72" i="90" s="1"/>
  <c r="B73" i="90" s="1"/>
  <c r="B74" i="90" s="1"/>
  <c r="B75" i="90" s="1"/>
  <c r="B76" i="90" s="1"/>
  <c r="B77" i="90" s="1"/>
  <c r="B78" i="90" s="1"/>
  <c r="M24" i="52"/>
  <c r="N24" i="52" s="1"/>
  <c r="A57" i="53"/>
  <c r="A58" i="53"/>
  <c r="B8" i="53"/>
  <c r="B9" i="53" s="1"/>
  <c r="B10" i="53" s="1"/>
  <c r="B11" i="53" s="1"/>
  <c r="B12" i="53" s="1"/>
  <c r="B13" i="53" s="1"/>
  <c r="B14" i="53" s="1"/>
  <c r="B15" i="53" s="1"/>
  <c r="B16" i="53" s="1"/>
  <c r="B17" i="53" s="1"/>
  <c r="B18" i="53" s="1"/>
  <c r="B19" i="53" s="1"/>
  <c r="B20" i="53" s="1"/>
  <c r="B21" i="53" s="1"/>
  <c r="B22" i="53" s="1"/>
  <c r="B23" i="53" s="1"/>
  <c r="B24" i="53" s="1"/>
  <c r="B25" i="53" s="1"/>
  <c r="B26" i="53" s="1"/>
  <c r="B27" i="53" s="1"/>
  <c r="B28" i="53" s="1"/>
  <c r="B29" i="53" s="1"/>
  <c r="B30" i="53" s="1"/>
  <c r="B31" i="53" s="1"/>
  <c r="B32" i="53" s="1"/>
  <c r="B33" i="53" s="1"/>
  <c r="B34" i="53" s="1"/>
  <c r="B35" i="53" s="1"/>
  <c r="B36" i="53" s="1"/>
  <c r="B37" i="53" s="1"/>
  <c r="B38" i="53" s="1"/>
  <c r="B39" i="53" s="1"/>
  <c r="B40" i="53" s="1"/>
  <c r="B41" i="53" s="1"/>
  <c r="B42" i="53" s="1"/>
  <c r="B43" i="53" s="1"/>
  <c r="B44" i="53" s="1"/>
  <c r="B45" i="53" s="1"/>
  <c r="B46" i="53" s="1"/>
  <c r="B47" i="53" s="1"/>
  <c r="B48" i="53" s="1"/>
  <c r="B49" i="53" s="1"/>
  <c r="B50" i="53" s="1"/>
  <c r="B51" i="53" s="1"/>
  <c r="B52" i="53" s="1"/>
  <c r="B53" i="53" s="1"/>
  <c r="B54" i="53" s="1"/>
  <c r="B55" i="53" s="1"/>
  <c r="B56" i="53" s="1"/>
  <c r="B57" i="53" s="1"/>
  <c r="B58" i="53" s="1"/>
  <c r="B59" i="53" s="1"/>
  <c r="B60" i="53" s="1"/>
  <c r="B61" i="53" s="1"/>
  <c r="B62" i="53" s="1"/>
  <c r="B63" i="53" s="1"/>
  <c r="B64" i="53" s="1"/>
  <c r="B65" i="53" s="1"/>
  <c r="B66" i="53" s="1"/>
  <c r="B67" i="53" s="1"/>
  <c r="B68" i="53" s="1"/>
  <c r="B69" i="53" s="1"/>
  <c r="B70" i="53" s="1"/>
  <c r="B71" i="53" s="1"/>
  <c r="B72" i="53" s="1"/>
  <c r="B73" i="53" s="1"/>
  <c r="B74" i="53" s="1"/>
  <c r="B75" i="53" s="1"/>
  <c r="B76" i="53" s="1"/>
  <c r="B77" i="53" s="1"/>
  <c r="A49" i="54"/>
  <c r="A50" i="54"/>
  <c r="A51" i="54"/>
  <c r="A52" i="54"/>
  <c r="A53" i="54"/>
  <c r="A54" i="54"/>
  <c r="A55" i="54"/>
  <c r="A56" i="54"/>
  <c r="A57" i="54"/>
  <c r="A58" i="54"/>
  <c r="A40" i="54"/>
  <c r="A41" i="54"/>
  <c r="A42" i="54"/>
  <c r="A43" i="54"/>
  <c r="A44" i="54"/>
  <c r="A45" i="54"/>
  <c r="A46" i="54"/>
  <c r="A47" i="54"/>
  <c r="A48" i="54"/>
  <c r="B8" i="54"/>
  <c r="B9" i="54" s="1"/>
  <c r="B10" i="54" s="1"/>
  <c r="B11" i="54" s="1"/>
  <c r="A28" i="54"/>
  <c r="K34" i="52"/>
  <c r="B8" i="52"/>
  <c r="B9" i="52" s="1"/>
  <c r="B10" i="52" s="1"/>
  <c r="B11" i="52" s="1"/>
  <c r="C33" i="52"/>
  <c r="A40" i="52"/>
  <c r="A41" i="52"/>
  <c r="A42" i="52"/>
  <c r="A43" i="52"/>
  <c r="A44" i="52"/>
  <c r="A45" i="52"/>
  <c r="A46" i="52"/>
  <c r="A47" i="52"/>
  <c r="A48" i="52"/>
  <c r="A49" i="52"/>
  <c r="A50" i="52"/>
  <c r="A51" i="52"/>
  <c r="A52" i="52"/>
  <c r="A53" i="52"/>
  <c r="A54" i="52"/>
  <c r="A55" i="52"/>
  <c r="A56" i="52"/>
  <c r="A57" i="52"/>
  <c r="A58" i="52"/>
  <c r="A28" i="52"/>
  <c r="A97" i="38"/>
  <c r="J58" i="38"/>
  <c r="E58" i="38"/>
  <c r="B15" i="55" l="1"/>
  <c r="B16" i="55" s="1"/>
  <c r="B17" i="55" s="1"/>
  <c r="B18" i="55" s="1"/>
  <c r="B19" i="55" s="1"/>
  <c r="B20" i="55" s="1"/>
  <c r="B21" i="55" s="1"/>
  <c r="B22" i="55" s="1"/>
  <c r="B23" i="55" s="1"/>
  <c r="B24" i="55" s="1"/>
  <c r="B25" i="55" s="1"/>
  <c r="B26" i="55" s="1"/>
  <c r="B27" i="55" s="1"/>
  <c r="B28" i="55" s="1"/>
  <c r="B29" i="55" s="1"/>
  <c r="B30" i="55" s="1"/>
  <c r="B31" i="55" s="1"/>
  <c r="B32" i="55" s="1"/>
  <c r="B33" i="55" s="1"/>
  <c r="B34" i="55" s="1"/>
  <c r="B35" i="55" s="1"/>
  <c r="B36" i="55" s="1"/>
  <c r="B37" i="55" s="1"/>
  <c r="B38" i="55" s="1"/>
  <c r="B39" i="55" s="1"/>
  <c r="B40" i="55" s="1"/>
  <c r="B41" i="55" s="1"/>
  <c r="B42" i="55" s="1"/>
  <c r="B43" i="55" s="1"/>
  <c r="B44" i="55" s="1"/>
  <c r="B45" i="55" s="1"/>
  <c r="B46" i="55" s="1"/>
  <c r="B47" i="55" s="1"/>
  <c r="B48" i="55" s="1"/>
  <c r="B49" i="55" s="1"/>
  <c r="B50" i="55" s="1"/>
  <c r="B51" i="55" s="1"/>
  <c r="B52" i="55" s="1"/>
  <c r="B53" i="55" s="1"/>
  <c r="B54" i="55" s="1"/>
  <c r="B55" i="55" s="1"/>
  <c r="B56" i="55" s="1"/>
  <c r="B57" i="55" s="1"/>
  <c r="B58" i="55" s="1"/>
  <c r="B59" i="55" s="1"/>
  <c r="B60" i="55" s="1"/>
  <c r="B61" i="55" s="1"/>
  <c r="B62" i="55" s="1"/>
  <c r="B63" i="55" s="1"/>
  <c r="B64" i="55" s="1"/>
  <c r="B65" i="55" s="1"/>
  <c r="B66" i="55" s="1"/>
  <c r="B67" i="55" s="1"/>
  <c r="B68" i="55" s="1"/>
  <c r="B69" i="55" s="1"/>
  <c r="B70" i="55" s="1"/>
  <c r="B71" i="55" s="1"/>
  <c r="B72" i="55" s="1"/>
  <c r="B73" i="55" s="1"/>
  <c r="B74" i="55" s="1"/>
  <c r="B75" i="55" s="1"/>
  <c r="B76" i="55" s="1"/>
  <c r="B77" i="55" s="1"/>
  <c r="B78" i="55" s="1"/>
  <c r="B23" i="89"/>
  <c r="B24" i="89" s="1"/>
  <c r="B25" i="89" s="1"/>
  <c r="B26" i="89" s="1"/>
  <c r="B27" i="89" s="1"/>
  <c r="B28" i="89" s="1"/>
  <c r="B29" i="89" s="1"/>
  <c r="B30" i="89" s="1"/>
  <c r="B31" i="89" s="1"/>
  <c r="B32" i="89" s="1"/>
  <c r="B33" i="89" s="1"/>
  <c r="B26" i="87"/>
  <c r="B27" i="87" s="1"/>
  <c r="B28" i="87" s="1"/>
  <c r="B29" i="87" s="1"/>
  <c r="B30" i="87" s="1"/>
  <c r="B31" i="87" s="1"/>
  <c r="B32" i="87" s="1"/>
  <c r="B33" i="87" s="1"/>
  <c r="B34" i="87" s="1"/>
  <c r="B35" i="87" s="1"/>
  <c r="B36" i="87" s="1"/>
  <c r="B37" i="87" s="1"/>
  <c r="B38" i="87" s="1"/>
  <c r="B39" i="87" s="1"/>
  <c r="B40" i="87" s="1"/>
  <c r="B41" i="87" s="1"/>
  <c r="B42" i="87" s="1"/>
  <c r="B43" i="87" s="1"/>
  <c r="B44" i="87" s="1"/>
  <c r="B45" i="87" s="1"/>
  <c r="B46" i="87" s="1"/>
  <c r="B47" i="87" s="1"/>
  <c r="B48" i="87" s="1"/>
  <c r="B49" i="87" s="1"/>
  <c r="B50" i="87" s="1"/>
  <c r="B51" i="87" s="1"/>
  <c r="B52" i="87" s="1"/>
  <c r="B53" i="87" s="1"/>
  <c r="B54" i="87" s="1"/>
  <c r="B55" i="87" s="1"/>
  <c r="B56" i="87" s="1"/>
  <c r="B57" i="87" s="1"/>
  <c r="B58" i="87" s="1"/>
  <c r="B59" i="87" s="1"/>
  <c r="B60" i="87" s="1"/>
  <c r="B12" i="54"/>
  <c r="B13" i="54" s="1"/>
  <c r="B14" i="54" s="1"/>
  <c r="B15" i="54" s="1"/>
  <c r="B16" i="54" s="1"/>
  <c r="B17" i="54" s="1"/>
  <c r="B12" i="52"/>
  <c r="B13" i="52" s="1"/>
  <c r="B14" i="52" s="1"/>
  <c r="B15" i="52" s="1"/>
  <c r="B16" i="52" s="1"/>
  <c r="B17" i="52" s="1"/>
  <c r="B34" i="89" l="1"/>
  <c r="B35" i="89" s="1"/>
  <c r="B36" i="89" s="1"/>
  <c r="B37" i="89" s="1"/>
  <c r="B38" i="89" s="1"/>
  <c r="B39" i="89" s="1"/>
  <c r="B40" i="89" s="1"/>
  <c r="B41" i="89" s="1"/>
  <c r="B42" i="89" s="1"/>
  <c r="B43" i="89" s="1"/>
  <c r="B44" i="89" s="1"/>
  <c r="B45" i="89" s="1"/>
  <c r="B46" i="89" s="1"/>
  <c r="B47" i="89" s="1"/>
  <c r="B48" i="89" s="1"/>
  <c r="B49" i="89" s="1"/>
  <c r="B50" i="89" s="1"/>
  <c r="B51" i="89" s="1"/>
  <c r="B52" i="89" s="1"/>
  <c r="B53" i="89" s="1"/>
  <c r="B54" i="89" s="1"/>
  <c r="B55" i="89" s="1"/>
  <c r="B56" i="89" s="1"/>
  <c r="B57" i="89" s="1"/>
  <c r="B58" i="89" s="1"/>
  <c r="B59" i="89" s="1"/>
  <c r="B60" i="89" s="1"/>
  <c r="B18" i="54"/>
  <c r="B19" i="54" s="1"/>
  <c r="B20" i="54" s="1"/>
  <c r="B21" i="54" s="1"/>
  <c r="B22" i="54" s="1"/>
  <c r="B23" i="54" s="1"/>
  <c r="B18" i="52"/>
  <c r="B19" i="52" s="1"/>
  <c r="B20" i="52" s="1"/>
  <c r="B21" i="52" s="1"/>
  <c r="B22" i="52" s="1"/>
  <c r="B78" i="53"/>
  <c r="A65" i="35"/>
  <c r="A56" i="37"/>
  <c r="A57" i="37"/>
  <c r="A79" i="36"/>
  <c r="A38" i="36"/>
  <c r="A39" i="36"/>
  <c r="A40" i="36"/>
  <c r="A41" i="36"/>
  <c r="A42" i="36"/>
  <c r="A43" i="36"/>
  <c r="A44" i="36"/>
  <c r="A45" i="36"/>
  <c r="A46" i="36"/>
  <c r="A47" i="36"/>
  <c r="A48" i="36"/>
  <c r="A49" i="36"/>
  <c r="A50" i="36"/>
  <c r="A51" i="36"/>
  <c r="A52" i="36"/>
  <c r="A53" i="36"/>
  <c r="A54" i="36"/>
  <c r="A55" i="36"/>
  <c r="A56" i="36"/>
  <c r="A57" i="36"/>
  <c r="A27" i="36"/>
  <c r="A65" i="81"/>
  <c r="A56" i="81"/>
  <c r="A57" i="81"/>
  <c r="A19" i="80"/>
  <c r="A38" i="79"/>
  <c r="A39" i="79"/>
  <c r="A40" i="79"/>
  <c r="A41" i="79"/>
  <c r="A42" i="79"/>
  <c r="A43" i="79"/>
  <c r="A44" i="79"/>
  <c r="A45" i="79"/>
  <c r="A46" i="79"/>
  <c r="A47" i="79"/>
  <c r="A48" i="79"/>
  <c r="A49" i="79"/>
  <c r="A50" i="79"/>
  <c r="A51" i="79"/>
  <c r="A52" i="79"/>
  <c r="A53" i="79"/>
  <c r="A54" i="79"/>
  <c r="A55" i="79"/>
  <c r="A56" i="79"/>
  <c r="A57" i="79"/>
  <c r="A27" i="79"/>
  <c r="D124" i="84"/>
  <c r="E124" i="84"/>
  <c r="F124" i="84"/>
  <c r="H124" i="84"/>
  <c r="I124" i="84"/>
  <c r="J124" i="84"/>
  <c r="K124" i="84"/>
  <c r="L124" i="84"/>
  <c r="M124" i="84"/>
  <c r="N124" i="84"/>
  <c r="O124" i="84"/>
  <c r="J29" i="67"/>
  <c r="F29" i="67" s="1"/>
  <c r="A29" i="67"/>
  <c r="A30" i="67"/>
  <c r="D121" i="84"/>
  <c r="E121" i="84"/>
  <c r="F121" i="84"/>
  <c r="H121" i="84"/>
  <c r="I121" i="84"/>
  <c r="J121" i="84"/>
  <c r="K121" i="84"/>
  <c r="L121" i="84"/>
  <c r="M121" i="84"/>
  <c r="N121" i="84"/>
  <c r="O121" i="84"/>
  <c r="D116" i="84"/>
  <c r="E116" i="84"/>
  <c r="F116" i="84"/>
  <c r="H116" i="84"/>
  <c r="I116" i="84"/>
  <c r="J116" i="84"/>
  <c r="K116" i="84"/>
  <c r="L116" i="84"/>
  <c r="M116" i="84"/>
  <c r="N116" i="84"/>
  <c r="O116" i="84"/>
  <c r="D113" i="84"/>
  <c r="E113" i="84"/>
  <c r="F113" i="84"/>
  <c r="G113" i="84"/>
  <c r="H113" i="84"/>
  <c r="I113" i="84"/>
  <c r="J113" i="84"/>
  <c r="K113" i="84"/>
  <c r="L113" i="84"/>
  <c r="M113" i="84"/>
  <c r="N113" i="84"/>
  <c r="O113" i="84"/>
  <c r="B24" i="54" l="1"/>
  <c r="B25" i="54" s="1"/>
  <c r="B26" i="54" s="1"/>
  <c r="B27" i="54" s="1"/>
  <c r="B28" i="54" s="1"/>
  <c r="B29" i="54" s="1"/>
  <c r="B30" i="54" s="1"/>
  <c r="B31" i="54" s="1"/>
  <c r="B32" i="54" s="1"/>
  <c r="B33" i="54" s="1"/>
  <c r="B23" i="52"/>
  <c r="B24" i="52" s="1"/>
  <c r="B25" i="52" s="1"/>
  <c r="B26" i="52" s="1"/>
  <c r="B27" i="52" s="1"/>
  <c r="B28" i="52" s="1"/>
  <c r="B29" i="52" s="1"/>
  <c r="B30" i="52" s="1"/>
  <c r="B31" i="52" s="1"/>
  <c r="B32" i="52" s="1"/>
  <c r="B33" i="52" s="1"/>
  <c r="J29" i="36"/>
  <c r="H30" i="46"/>
  <c r="J30" i="46" s="1"/>
  <c r="I30" i="46" s="1"/>
  <c r="E29" i="67"/>
  <c r="B29" i="67" s="1"/>
  <c r="C30" i="87"/>
  <c r="B34" i="54" l="1"/>
  <c r="B35" i="54" s="1"/>
  <c r="B36" i="54" s="1"/>
  <c r="B37" i="54" s="1"/>
  <c r="B38" i="54" s="1"/>
  <c r="B39" i="54" s="1"/>
  <c r="B40" i="54" s="1"/>
  <c r="B41" i="54" s="1"/>
  <c r="B42" i="54" s="1"/>
  <c r="B43" i="54" s="1"/>
  <c r="B44" i="54" s="1"/>
  <c r="B45" i="54" s="1"/>
  <c r="B46" i="54" s="1"/>
  <c r="B47" i="54" s="1"/>
  <c r="B48" i="54" s="1"/>
  <c r="B49" i="54" s="1"/>
  <c r="B50" i="54" s="1"/>
  <c r="B51" i="54" s="1"/>
  <c r="B52" i="54" s="1"/>
  <c r="B53" i="54" s="1"/>
  <c r="B54" i="54" s="1"/>
  <c r="B55" i="54" s="1"/>
  <c r="B56" i="54" s="1"/>
  <c r="B57" i="54" s="1"/>
  <c r="B58" i="54" s="1"/>
  <c r="B59" i="54" s="1"/>
  <c r="B60" i="54" s="1"/>
  <c r="B34" i="52"/>
  <c r="B35" i="52" s="1"/>
  <c r="B36" i="52" s="1"/>
  <c r="B37" i="52" s="1"/>
  <c r="B38" i="52" s="1"/>
  <c r="B39" i="52" s="1"/>
  <c r="B40" i="52" s="1"/>
  <c r="B41" i="52" s="1"/>
  <c r="B42" i="52" s="1"/>
  <c r="B43" i="52" s="1"/>
  <c r="B44" i="52" s="1"/>
  <c r="B45" i="52" s="1"/>
  <c r="B46" i="52" s="1"/>
  <c r="B47" i="52" s="1"/>
  <c r="B48" i="52" s="1"/>
  <c r="B49" i="52" s="1"/>
  <c r="B50" i="52" s="1"/>
  <c r="B51" i="52" s="1"/>
  <c r="B52" i="52" s="1"/>
  <c r="B53" i="52" s="1"/>
  <c r="B54" i="52" s="1"/>
  <c r="B55" i="52" s="1"/>
  <c r="B56" i="52" s="1"/>
  <c r="B57" i="52" s="1"/>
  <c r="B58" i="52" s="1"/>
  <c r="B59" i="52" s="1"/>
  <c r="B60" i="52" s="1"/>
  <c r="C30" i="52"/>
  <c r="E29" i="36"/>
  <c r="D30" i="46"/>
  <c r="F30" i="46" s="1"/>
  <c r="E30" i="46" s="1"/>
  <c r="A65" i="75"/>
  <c r="A56" i="75"/>
  <c r="A57" i="75"/>
  <c r="A74" i="74" l="1"/>
  <c r="A38" i="74"/>
  <c r="A39" i="74"/>
  <c r="A40" i="74"/>
  <c r="A41" i="74"/>
  <c r="A42" i="74"/>
  <c r="A43" i="74"/>
  <c r="A44" i="74"/>
  <c r="A45" i="74"/>
  <c r="A46" i="74"/>
  <c r="A47" i="74"/>
  <c r="A48" i="74"/>
  <c r="A49" i="74"/>
  <c r="A50" i="74"/>
  <c r="A51" i="74"/>
  <c r="A52" i="74"/>
  <c r="A53" i="74"/>
  <c r="A54" i="74"/>
  <c r="A55" i="74"/>
  <c r="A56" i="74"/>
  <c r="A57" i="74"/>
  <c r="A27" i="74"/>
  <c r="A56" i="35"/>
  <c r="A57" i="35"/>
  <c r="A19" i="34"/>
  <c r="A54" i="33"/>
  <c r="A55" i="33"/>
  <c r="A56" i="33"/>
  <c r="A57" i="33"/>
  <c r="A41" i="33"/>
  <c r="A42" i="33"/>
  <c r="A43" i="33"/>
  <c r="A44" i="33"/>
  <c r="A45" i="33"/>
  <c r="A46" i="33"/>
  <c r="A47" i="33"/>
  <c r="A48" i="33"/>
  <c r="A49" i="33"/>
  <c r="A50" i="33"/>
  <c r="A51" i="33"/>
  <c r="A52" i="33"/>
  <c r="A53" i="33"/>
  <c r="A27" i="33"/>
  <c r="C113" i="82"/>
  <c r="D113" i="82"/>
  <c r="E113" i="82"/>
  <c r="F113" i="82"/>
  <c r="G113" i="82"/>
  <c r="H113" i="82"/>
  <c r="I113" i="82"/>
  <c r="J113" i="82"/>
  <c r="K113" i="82"/>
  <c r="L113" i="82"/>
  <c r="M113" i="82"/>
  <c r="N113" i="82"/>
  <c r="O113" i="82"/>
  <c r="C98" i="82"/>
  <c r="C20" i="82"/>
  <c r="B63" i="82"/>
  <c r="B65" i="35"/>
  <c r="B56" i="69"/>
  <c r="B56" i="35" s="1"/>
  <c r="B57" i="69"/>
  <c r="B57" i="35" s="1"/>
  <c r="A56" i="69"/>
  <c r="A57" i="69"/>
  <c r="B35" i="69"/>
  <c r="B35" i="35" s="1"/>
  <c r="B36" i="70" l="1"/>
  <c r="B38" i="70"/>
  <c r="B39" i="70"/>
  <c r="B40" i="70"/>
  <c r="B41" i="70"/>
  <c r="B42" i="70"/>
  <c r="B43" i="70"/>
  <c r="B44" i="70"/>
  <c r="B45" i="70"/>
  <c r="B46" i="70"/>
  <c r="B47" i="70"/>
  <c r="B48" i="70"/>
  <c r="B49" i="70"/>
  <c r="B50" i="70"/>
  <c r="B51" i="70"/>
  <c r="B52" i="70"/>
  <c r="B53" i="70"/>
  <c r="B54" i="70"/>
  <c r="B55" i="70"/>
  <c r="B56" i="70"/>
  <c r="B57" i="70"/>
  <c r="A53" i="70"/>
  <c r="A54" i="70"/>
  <c r="A55" i="70"/>
  <c r="A56" i="70"/>
  <c r="A57" i="70"/>
  <c r="A41" i="70"/>
  <c r="A42" i="70"/>
  <c r="A43" i="70"/>
  <c r="A44" i="70"/>
  <c r="A45" i="70"/>
  <c r="A46" i="70"/>
  <c r="A47" i="70"/>
  <c r="A48" i="70"/>
  <c r="A49" i="70"/>
  <c r="A50" i="70"/>
  <c r="A51" i="70"/>
  <c r="A52" i="70"/>
  <c r="B74" i="70"/>
  <c r="B19" i="34" s="1"/>
  <c r="A74" i="70"/>
  <c r="B27" i="70" l="1"/>
  <c r="B27" i="33" s="1"/>
  <c r="A27" i="70"/>
  <c r="C127" i="62"/>
  <c r="A154" i="62"/>
  <c r="A145" i="62"/>
  <c r="A146" i="62"/>
  <c r="A65" i="62"/>
  <c r="A66" i="62"/>
  <c r="A56" i="62"/>
  <c r="A57" i="62"/>
  <c r="H5" i="3"/>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52" i="3" s="1"/>
  <c r="H53" i="3" s="1"/>
  <c r="H54" i="3" s="1"/>
  <c r="H55" i="3" s="1"/>
  <c r="H56" i="3" s="1"/>
  <c r="H57" i="3" s="1"/>
  <c r="H58" i="3" s="1"/>
  <c r="H59" i="3" s="1"/>
  <c r="H60" i="3" s="1"/>
  <c r="H61" i="3" s="1"/>
  <c r="A59" i="46"/>
  <c r="A54" i="46"/>
  <c r="A55" i="46"/>
  <c r="A56" i="46"/>
  <c r="A57" i="46"/>
  <c r="A58" i="46"/>
  <c r="A37" i="46"/>
  <c r="A39" i="46"/>
  <c r="A40" i="46"/>
  <c r="A41" i="46"/>
  <c r="A42" i="46"/>
  <c r="A43" i="46"/>
  <c r="A44" i="46"/>
  <c r="A45" i="46"/>
  <c r="A46" i="46"/>
  <c r="A47" i="46"/>
  <c r="A48" i="46"/>
  <c r="A49" i="46"/>
  <c r="A50" i="46"/>
  <c r="A51" i="46"/>
  <c r="A52" i="46"/>
  <c r="A53" i="46"/>
  <c r="A28" i="46"/>
  <c r="J65" i="68"/>
  <c r="F65" i="68" s="1"/>
  <c r="A65" i="68"/>
  <c r="J56" i="68"/>
  <c r="F56" i="68" s="1"/>
  <c r="J57" i="68"/>
  <c r="F57" i="68" s="1"/>
  <c r="E57" i="68" s="1"/>
  <c r="J58" i="68"/>
  <c r="F58" i="68" s="1"/>
  <c r="E58" i="68" s="1"/>
  <c r="A56" i="68"/>
  <c r="A57" i="68"/>
  <c r="J33" i="68"/>
  <c r="F33" i="68" s="1"/>
  <c r="A33" i="68"/>
  <c r="G114" i="67"/>
  <c r="G128" i="67" s="1"/>
  <c r="H114" i="67"/>
  <c r="H128" i="67" s="1"/>
  <c r="I114" i="67"/>
  <c r="I128" i="67" s="1"/>
  <c r="K114" i="67"/>
  <c r="K128" i="67" s="1"/>
  <c r="L114" i="67"/>
  <c r="L128" i="67" s="1"/>
  <c r="M114" i="67"/>
  <c r="M128" i="67" s="1"/>
  <c r="N114" i="67"/>
  <c r="N128" i="67" s="1"/>
  <c r="O114" i="67"/>
  <c r="O128" i="67" s="1"/>
  <c r="P114" i="67"/>
  <c r="P128" i="67" s="1"/>
  <c r="Q114" i="67"/>
  <c r="Q128" i="67" s="1"/>
  <c r="R114" i="67"/>
  <c r="R128" i="67" s="1"/>
  <c r="S114" i="67"/>
  <c r="S128" i="67" s="1"/>
  <c r="T114" i="67"/>
  <c r="T128" i="67" s="1"/>
  <c r="U114" i="67"/>
  <c r="U128" i="67" s="1"/>
  <c r="V114" i="67"/>
  <c r="V128" i="67" s="1"/>
  <c r="W114" i="67"/>
  <c r="W128" i="67" s="1"/>
  <c r="X114" i="67"/>
  <c r="X128" i="67" s="1"/>
  <c r="Y114" i="67"/>
  <c r="Y128" i="67" s="1"/>
  <c r="Z114" i="67"/>
  <c r="Z128" i="67" s="1"/>
  <c r="AA114" i="67"/>
  <c r="AA128" i="67" s="1"/>
  <c r="AB114" i="67"/>
  <c r="AB128" i="67" s="1"/>
  <c r="AC114" i="67"/>
  <c r="AC128" i="67" s="1"/>
  <c r="AD114" i="67"/>
  <c r="AD128" i="67" s="1"/>
  <c r="AE114" i="67"/>
  <c r="AE128" i="67" s="1"/>
  <c r="AF114" i="67"/>
  <c r="AF128" i="67" s="1"/>
  <c r="AG114" i="67"/>
  <c r="AG128" i="67" s="1"/>
  <c r="AH114" i="67"/>
  <c r="AH128" i="67" s="1"/>
  <c r="AI114" i="67"/>
  <c r="AI128" i="67" s="1"/>
  <c r="J86" i="67"/>
  <c r="F86" i="67" s="1"/>
  <c r="A87" i="67"/>
  <c r="A86" i="67"/>
  <c r="A66" i="67"/>
  <c r="A68" i="67"/>
  <c r="A71" i="67"/>
  <c r="A74" i="67"/>
  <c r="A75" i="67"/>
  <c r="A76" i="67"/>
  <c r="A77" i="67"/>
  <c r="A84" i="67"/>
  <c r="A85" i="67"/>
  <c r="A58" i="67"/>
  <c r="A54" i="67"/>
  <c r="A56" i="67"/>
  <c r="A57" i="67"/>
  <c r="A52" i="67"/>
  <c r="A53" i="67"/>
  <c r="A36" i="67"/>
  <c r="A38" i="67"/>
  <c r="A39" i="67"/>
  <c r="A40" i="67"/>
  <c r="A41" i="67"/>
  <c r="A42" i="67"/>
  <c r="A43" i="67"/>
  <c r="A44" i="67"/>
  <c r="A45" i="67"/>
  <c r="A46" i="67"/>
  <c r="A47" i="67"/>
  <c r="A48" i="67"/>
  <c r="A49" i="67"/>
  <c r="A50" i="67"/>
  <c r="A51" i="67"/>
  <c r="A31" i="67"/>
  <c r="A12" i="67"/>
  <c r="A13" i="67"/>
  <c r="A16" i="67"/>
  <c r="A20" i="67"/>
  <c r="A24" i="67"/>
  <c r="A25" i="67"/>
  <c r="A26" i="67"/>
  <c r="A27" i="67"/>
  <c r="A28" i="67"/>
  <c r="A7" i="67"/>
  <c r="A32" i="67"/>
  <c r="A34" i="67"/>
  <c r="E33" i="68" l="1"/>
  <c r="C34" i="88"/>
  <c r="C34" i="90" s="1"/>
  <c r="J33" i="37"/>
  <c r="D122" i="62"/>
  <c r="F122" i="62" s="1"/>
  <c r="E122" i="62" s="1"/>
  <c r="J91" i="36"/>
  <c r="H88" i="46"/>
  <c r="J88" i="46" s="1"/>
  <c r="I88" i="46" s="1"/>
  <c r="D145" i="62"/>
  <c r="F145" i="62" s="1"/>
  <c r="E145" i="62" s="1"/>
  <c r="E56" i="68"/>
  <c r="B56" i="68" s="1"/>
  <c r="E56" i="37" s="1"/>
  <c r="B58" i="68"/>
  <c r="E58" i="37" s="1"/>
  <c r="C59" i="88"/>
  <c r="C59" i="90" s="1"/>
  <c r="E65" i="68"/>
  <c r="B65" i="68" s="1"/>
  <c r="E86" i="67"/>
  <c r="B86" i="67" s="1"/>
  <c r="K32" i="87"/>
  <c r="B33" i="68"/>
  <c r="B57" i="68"/>
  <c r="E57" i="37" s="1"/>
  <c r="C58" i="88"/>
  <c r="C58" i="90" s="1"/>
  <c r="C57" i="88"/>
  <c r="C57" i="90" s="1"/>
  <c r="D146" i="62"/>
  <c r="F146" i="62" s="1"/>
  <c r="E146" i="62" s="1"/>
  <c r="D154" i="62"/>
  <c r="F154" i="62" s="1"/>
  <c r="E154" i="62" s="1"/>
  <c r="C34" i="53" l="1"/>
  <c r="C34" i="55" s="1"/>
  <c r="E33" i="37"/>
  <c r="D33" i="62"/>
  <c r="F33" i="62" s="1"/>
  <c r="E33" i="62" s="1"/>
  <c r="E91" i="36"/>
  <c r="D88" i="46"/>
  <c r="F88" i="46" s="1"/>
  <c r="E88" i="46" s="1"/>
  <c r="C66" i="55"/>
  <c r="D65" i="62"/>
  <c r="F65" i="62" s="1"/>
  <c r="E65" i="62" s="1"/>
  <c r="C57" i="53"/>
  <c r="C57" i="55" s="1"/>
  <c r="D56" i="62"/>
  <c r="F56" i="62" s="1"/>
  <c r="E56" i="62" s="1"/>
  <c r="K32" i="52"/>
  <c r="C58" i="53"/>
  <c r="C58" i="55" s="1"/>
  <c r="D57" i="62"/>
  <c r="F57" i="62" s="1"/>
  <c r="E57" i="62" s="1"/>
  <c r="C59" i="53"/>
  <c r="C59" i="55" s="1"/>
  <c r="A26" i="90" l="1"/>
  <c r="A26" i="88"/>
  <c r="A26" i="55" l="1"/>
  <c r="A26" i="53"/>
  <c r="B53" i="33"/>
  <c r="J52" i="67"/>
  <c r="I21" i="52"/>
  <c r="I22" i="52"/>
  <c r="I46" i="52"/>
  <c r="I47" i="52"/>
  <c r="A56" i="38"/>
  <c r="A57" i="38"/>
  <c r="A25" i="37"/>
  <c r="F58" i="85"/>
  <c r="C58" i="85"/>
  <c r="A56" i="85"/>
  <c r="A57" i="85"/>
  <c r="F52" i="67" l="1"/>
  <c r="G116" i="84"/>
  <c r="C53" i="87" l="1"/>
  <c r="J52" i="36"/>
  <c r="E52" i="67"/>
  <c r="H53" i="46"/>
  <c r="J53" i="46" s="1"/>
  <c r="I53" i="46" s="1"/>
  <c r="B52" i="67" l="1"/>
  <c r="E52" i="36" s="1"/>
  <c r="D53" i="46" l="1"/>
  <c r="F53" i="46" s="1"/>
  <c r="E53" i="46" s="1"/>
  <c r="C53" i="52"/>
  <c r="A25" i="81"/>
  <c r="D123" i="84"/>
  <c r="E123" i="84"/>
  <c r="F123" i="84"/>
  <c r="H123" i="84"/>
  <c r="I123" i="84"/>
  <c r="J123" i="84"/>
  <c r="K123" i="84"/>
  <c r="L123" i="84"/>
  <c r="M123" i="84"/>
  <c r="N123" i="84"/>
  <c r="O123" i="84"/>
  <c r="C58" i="82" l="1"/>
  <c r="D58" i="82"/>
  <c r="E58" i="82"/>
  <c r="F58" i="82"/>
  <c r="G58" i="82"/>
  <c r="H58" i="82"/>
  <c r="I58" i="82"/>
  <c r="J58" i="82"/>
  <c r="K58" i="82"/>
  <c r="L58" i="82"/>
  <c r="M58" i="82"/>
  <c r="N58" i="82"/>
  <c r="O58" i="82"/>
  <c r="F58" i="83"/>
  <c r="C58" i="83"/>
  <c r="D58" i="84"/>
  <c r="E58" i="84"/>
  <c r="F58" i="84"/>
  <c r="G58" i="84"/>
  <c r="H58" i="84"/>
  <c r="I58" i="84"/>
  <c r="J58" i="84"/>
  <c r="K58" i="84"/>
  <c r="L58" i="84"/>
  <c r="M58" i="84"/>
  <c r="N58" i="84"/>
  <c r="O58" i="84"/>
  <c r="A56" i="84"/>
  <c r="A57" i="84"/>
  <c r="A56" i="82"/>
  <c r="A57" i="82"/>
  <c r="A56" i="83"/>
  <c r="A57" i="83"/>
  <c r="A25" i="75"/>
  <c r="B58" i="82" l="1"/>
  <c r="E10" i="32"/>
  <c r="A25" i="35"/>
  <c r="A25" i="69"/>
  <c r="A114" i="62" l="1"/>
  <c r="A25" i="62"/>
  <c r="J34" i="68"/>
  <c r="J37" i="68"/>
  <c r="A25" i="68"/>
  <c r="E13" i="76" l="1"/>
  <c r="H13" i="76"/>
  <c r="E14" i="76"/>
  <c r="H14" i="76"/>
  <c r="E15" i="76"/>
  <c r="H15" i="76"/>
  <c r="E16" i="76"/>
  <c r="H16" i="76"/>
  <c r="E17" i="76"/>
  <c r="H17" i="76"/>
  <c r="E18" i="76"/>
  <c r="H18" i="76"/>
  <c r="E20" i="76"/>
  <c r="H20" i="76"/>
  <c r="E21" i="76"/>
  <c r="H21" i="76"/>
  <c r="E22" i="76"/>
  <c r="H22" i="76"/>
  <c r="E5" i="78"/>
  <c r="H5" i="78"/>
  <c r="E6" i="78"/>
  <c r="H6" i="78"/>
  <c r="E7" i="78"/>
  <c r="H7" i="78"/>
  <c r="E8" i="78"/>
  <c r="H8" i="78"/>
  <c r="E9" i="78"/>
  <c r="H9" i="78"/>
  <c r="E10" i="78"/>
  <c r="H10" i="78"/>
  <c r="J12" i="76" l="1"/>
  <c r="J19" i="76"/>
  <c r="E23" i="76" l="1"/>
  <c r="H23" i="76"/>
  <c r="H7" i="73" l="1"/>
  <c r="E10" i="73"/>
  <c r="E11" i="73"/>
  <c r="E10" i="31"/>
  <c r="AA121" i="3"/>
  <c r="O121" i="73" s="1"/>
  <c r="O121" i="31" l="1"/>
  <c r="A46" i="90"/>
  <c r="A47" i="90"/>
  <c r="A48" i="90"/>
  <c r="A49" i="90"/>
  <c r="A50" i="90"/>
  <c r="A51" i="90"/>
  <c r="A46" i="88"/>
  <c r="A47" i="88"/>
  <c r="A48" i="88"/>
  <c r="A49" i="88"/>
  <c r="A50" i="88"/>
  <c r="A51" i="88"/>
  <c r="A46" i="55"/>
  <c r="A47" i="55"/>
  <c r="A48" i="55"/>
  <c r="A49" i="55"/>
  <c r="A50" i="55"/>
  <c r="A51" i="55"/>
  <c r="A46" i="53"/>
  <c r="A47" i="53"/>
  <c r="A48" i="53"/>
  <c r="A49" i="53"/>
  <c r="A50" i="53"/>
  <c r="A51" i="53"/>
  <c r="A134" i="62"/>
  <c r="A135" i="62"/>
  <c r="A136" i="62"/>
  <c r="A137" i="62"/>
  <c r="A138" i="62"/>
  <c r="A139" i="62"/>
  <c r="A45" i="62"/>
  <c r="A46" i="62"/>
  <c r="A47" i="62"/>
  <c r="A48" i="62"/>
  <c r="A49" i="62"/>
  <c r="A50" i="62"/>
  <c r="J47" i="68"/>
  <c r="F47" i="68" s="1"/>
  <c r="J46" i="68"/>
  <c r="F46" i="68" s="1"/>
  <c r="A45" i="68"/>
  <c r="A46" i="68"/>
  <c r="A47" i="68"/>
  <c r="A48" i="68"/>
  <c r="A49" i="68"/>
  <c r="A50" i="68"/>
  <c r="F34" i="68"/>
  <c r="F37" i="68"/>
  <c r="A37" i="68"/>
  <c r="A34" i="68"/>
  <c r="A45" i="37"/>
  <c r="A46" i="37"/>
  <c r="A47" i="37"/>
  <c r="A48" i="37"/>
  <c r="A49" i="37"/>
  <c r="A50" i="37"/>
  <c r="A45" i="81"/>
  <c r="A46" i="81"/>
  <c r="A47" i="81"/>
  <c r="A48" i="81"/>
  <c r="A49" i="81"/>
  <c r="A50" i="81"/>
  <c r="A37" i="81"/>
  <c r="A45" i="75"/>
  <c r="A46" i="75"/>
  <c r="A47" i="75"/>
  <c r="A48" i="75"/>
  <c r="A49" i="75"/>
  <c r="A50" i="75"/>
  <c r="A45" i="35"/>
  <c r="A46" i="35"/>
  <c r="A47" i="35"/>
  <c r="A48" i="35"/>
  <c r="A49" i="35"/>
  <c r="A50" i="35"/>
  <c r="A45" i="69"/>
  <c r="A46" i="69"/>
  <c r="A47" i="69"/>
  <c r="A48" i="69"/>
  <c r="A49" i="69"/>
  <c r="A50" i="69"/>
  <c r="B46" i="69"/>
  <c r="B46" i="35" s="1"/>
  <c r="I46" i="35" s="1"/>
  <c r="B47" i="69"/>
  <c r="B47" i="35" s="1"/>
  <c r="I47" i="35" s="1"/>
  <c r="B48" i="69"/>
  <c r="B50" i="69"/>
  <c r="E34" i="68" l="1"/>
  <c r="C35" i="88"/>
  <c r="C35" i="90" s="1"/>
  <c r="J34" i="37"/>
  <c r="D123" i="62"/>
  <c r="F123" i="62" s="1"/>
  <c r="E123" i="62" s="1"/>
  <c r="E47" i="68"/>
  <c r="B47" i="68" s="1"/>
  <c r="E47" i="37" s="1"/>
  <c r="J47" i="37"/>
  <c r="E37" i="68"/>
  <c r="B37" i="68" s="1"/>
  <c r="C38" i="88"/>
  <c r="C38" i="90" s="1"/>
  <c r="J37" i="37"/>
  <c r="D126" i="62"/>
  <c r="F126" i="62" s="1"/>
  <c r="E126" i="62" s="1"/>
  <c r="E46" i="68"/>
  <c r="B46" i="68" s="1"/>
  <c r="E46" i="37" s="1"/>
  <c r="J46" i="37"/>
  <c r="C47" i="88"/>
  <c r="C47" i="90" s="1"/>
  <c r="C48" i="88"/>
  <c r="C48" i="90" s="1"/>
  <c r="D135" i="62"/>
  <c r="F135" i="62" s="1"/>
  <c r="E135" i="62" s="1"/>
  <c r="D136" i="62"/>
  <c r="F136" i="62" s="1"/>
  <c r="E136" i="62" s="1"/>
  <c r="C38" i="53" l="1"/>
  <c r="C38" i="55" s="1"/>
  <c r="E37" i="37"/>
  <c r="D37" i="62"/>
  <c r="F37" i="62" s="1"/>
  <c r="E37" i="62" s="1"/>
  <c r="D47" i="62"/>
  <c r="F47" i="62" s="1"/>
  <c r="E47" i="62" s="1"/>
  <c r="C48" i="53"/>
  <c r="C48" i="55" s="1"/>
  <c r="D46" i="62"/>
  <c r="F46" i="62" s="1"/>
  <c r="E46" i="62" s="1"/>
  <c r="C47" i="53"/>
  <c r="C47" i="55" s="1"/>
  <c r="B34" i="68"/>
  <c r="B36" i="69"/>
  <c r="B36" i="35" s="1"/>
  <c r="B37" i="69"/>
  <c r="B37" i="35" s="1"/>
  <c r="C35" i="53" l="1"/>
  <c r="C35" i="55" s="1"/>
  <c r="E34" i="37"/>
  <c r="D34" i="62"/>
  <c r="F34" i="62" s="1"/>
  <c r="E34" i="62" s="1"/>
  <c r="A78" i="37"/>
  <c r="A79" i="37"/>
  <c r="A80" i="37"/>
  <c r="A81" i="37"/>
  <c r="A82" i="37"/>
  <c r="A83" i="37"/>
  <c r="A84" i="37"/>
  <c r="A85" i="37"/>
  <c r="A86" i="37"/>
  <c r="A87" i="37"/>
  <c r="A88" i="37"/>
  <c r="A89" i="37"/>
  <c r="J90" i="35"/>
  <c r="J90" i="81"/>
  <c r="J80" i="81"/>
  <c r="J83" i="81" s="1"/>
  <c r="J89" i="81" s="1"/>
  <c r="J59" i="80" s="1"/>
  <c r="J61" i="80" s="1"/>
  <c r="A78" i="81"/>
  <c r="A79" i="81"/>
  <c r="A80" i="81"/>
  <c r="A81" i="81"/>
  <c r="A82" i="81"/>
  <c r="A83" i="81"/>
  <c r="A84" i="81"/>
  <c r="A85" i="81"/>
  <c r="A86" i="81"/>
  <c r="A87" i="81"/>
  <c r="A88" i="81"/>
  <c r="A89" i="81"/>
  <c r="A78" i="75"/>
  <c r="A79" i="75"/>
  <c r="A80" i="75"/>
  <c r="A81" i="75"/>
  <c r="A82" i="75"/>
  <c r="A83" i="75"/>
  <c r="A84" i="75"/>
  <c r="A85" i="75"/>
  <c r="A86" i="75"/>
  <c r="A87" i="75"/>
  <c r="A88" i="75"/>
  <c r="A89" i="75"/>
  <c r="A78" i="35"/>
  <c r="A79" i="35"/>
  <c r="A80" i="35"/>
  <c r="A81" i="35"/>
  <c r="A82" i="35"/>
  <c r="A83" i="35"/>
  <c r="A84" i="35"/>
  <c r="A85" i="35"/>
  <c r="A86" i="35"/>
  <c r="A87" i="35"/>
  <c r="A88" i="35"/>
  <c r="A89" i="35"/>
  <c r="A78" i="69"/>
  <c r="B78" i="69"/>
  <c r="A79" i="69"/>
  <c r="B79" i="69"/>
  <c r="B79" i="35" s="1"/>
  <c r="A80" i="69"/>
  <c r="A81" i="69"/>
  <c r="B81" i="69"/>
  <c r="B81" i="35" s="1"/>
  <c r="A82" i="69"/>
  <c r="B82" i="69"/>
  <c r="B82" i="35" s="1"/>
  <c r="A83" i="69"/>
  <c r="A84" i="69"/>
  <c r="B84" i="69"/>
  <c r="B84" i="35" s="1"/>
  <c r="A85" i="69"/>
  <c r="B85" i="69"/>
  <c r="B85" i="35" s="1"/>
  <c r="A86" i="69"/>
  <c r="B86" i="69"/>
  <c r="B86" i="35" s="1"/>
  <c r="A87" i="69"/>
  <c r="B87" i="69"/>
  <c r="B87" i="35" s="1"/>
  <c r="A88" i="69"/>
  <c r="B88" i="69"/>
  <c r="B88" i="35" s="1"/>
  <c r="A89" i="69"/>
  <c r="A167" i="62"/>
  <c r="A168" i="62"/>
  <c r="A169" i="62"/>
  <c r="A170" i="62"/>
  <c r="A171" i="62"/>
  <c r="A172" i="62"/>
  <c r="A173" i="62"/>
  <c r="A174" i="62"/>
  <c r="A175" i="62"/>
  <c r="A176" i="62"/>
  <c r="A177" i="62"/>
  <c r="A178" i="62"/>
  <c r="A78" i="62"/>
  <c r="A79" i="62"/>
  <c r="A80" i="62"/>
  <c r="A81" i="62"/>
  <c r="A82" i="62"/>
  <c r="A83" i="62"/>
  <c r="A84" i="62"/>
  <c r="A85" i="62"/>
  <c r="A86" i="62"/>
  <c r="A87" i="62"/>
  <c r="A88" i="62"/>
  <c r="A89" i="62"/>
  <c r="J88" i="68"/>
  <c r="F88" i="68" s="1"/>
  <c r="J88" i="37" s="1"/>
  <c r="J87" i="68"/>
  <c r="F87" i="68" s="1"/>
  <c r="J86" i="68"/>
  <c r="F86" i="68" s="1"/>
  <c r="J85" i="68"/>
  <c r="F85" i="68" s="1"/>
  <c r="J85" i="37" s="1"/>
  <c r="J84" i="68"/>
  <c r="F84" i="68" s="1"/>
  <c r="J84" i="37" s="1"/>
  <c r="J82" i="68"/>
  <c r="F82" i="68" s="1"/>
  <c r="J81" i="68"/>
  <c r="F81" i="68" s="1"/>
  <c r="J79" i="68"/>
  <c r="F79" i="68" s="1"/>
  <c r="J78" i="68"/>
  <c r="F78" i="68" s="1"/>
  <c r="J77" i="68"/>
  <c r="F77" i="68" s="1"/>
  <c r="J76" i="68"/>
  <c r="F76" i="68" s="1"/>
  <c r="J76" i="37" s="1"/>
  <c r="J75" i="68"/>
  <c r="F75" i="68" s="1"/>
  <c r="A78" i="68"/>
  <c r="A79" i="68"/>
  <c r="A80" i="68"/>
  <c r="A81" i="68"/>
  <c r="A82" i="68"/>
  <c r="A83" i="68"/>
  <c r="A84" i="68"/>
  <c r="A85" i="68"/>
  <c r="A86" i="68"/>
  <c r="A87" i="68"/>
  <c r="A88" i="68"/>
  <c r="A89" i="68"/>
  <c r="G116" i="46"/>
  <c r="G118" i="46" s="1"/>
  <c r="C116" i="46"/>
  <c r="C118" i="46" s="1"/>
  <c r="G102" i="46"/>
  <c r="C102" i="46"/>
  <c r="J45" i="80"/>
  <c r="D114" i="74"/>
  <c r="D128" i="74" s="1"/>
  <c r="E114" i="74"/>
  <c r="F114" i="74"/>
  <c r="F128" i="74" s="1"/>
  <c r="G114" i="74"/>
  <c r="G128" i="74" s="1"/>
  <c r="H114" i="74"/>
  <c r="H128" i="74" s="1"/>
  <c r="I114" i="74"/>
  <c r="J114" i="74"/>
  <c r="J128" i="74" s="1"/>
  <c r="K114" i="74"/>
  <c r="K128" i="74" s="1"/>
  <c r="L114" i="74"/>
  <c r="L128" i="74" s="1"/>
  <c r="M114" i="74"/>
  <c r="M128" i="74" s="1"/>
  <c r="N114" i="74"/>
  <c r="O114" i="74"/>
  <c r="O128" i="74" s="1"/>
  <c r="D100" i="74"/>
  <c r="D126" i="74" s="1"/>
  <c r="E100" i="74"/>
  <c r="E126" i="74" s="1"/>
  <c r="F100" i="74"/>
  <c r="F126" i="74" s="1"/>
  <c r="G100" i="74"/>
  <c r="G126" i="74" s="1"/>
  <c r="H100" i="74"/>
  <c r="H126" i="74" s="1"/>
  <c r="I100" i="74"/>
  <c r="I126" i="74" s="1"/>
  <c r="J100" i="74"/>
  <c r="J126" i="74" s="1"/>
  <c r="K100" i="74"/>
  <c r="K126" i="74" s="1"/>
  <c r="L100" i="74"/>
  <c r="L126" i="74" s="1"/>
  <c r="M100" i="74"/>
  <c r="M126" i="74" s="1"/>
  <c r="N100" i="74"/>
  <c r="N126" i="74" s="1"/>
  <c r="O100" i="74"/>
  <c r="O126" i="74" s="1"/>
  <c r="J45" i="34"/>
  <c r="C100" i="67"/>
  <c r="C126" i="67" s="1"/>
  <c r="D100" i="67"/>
  <c r="D126" i="67" s="1"/>
  <c r="G100" i="67"/>
  <c r="G126" i="67" s="1"/>
  <c r="H100" i="67"/>
  <c r="H126" i="67" s="1"/>
  <c r="I100" i="67"/>
  <c r="I126" i="67" s="1"/>
  <c r="K100" i="67"/>
  <c r="K126" i="67" s="1"/>
  <c r="L100" i="67"/>
  <c r="L126" i="67" s="1"/>
  <c r="M100" i="67"/>
  <c r="M126" i="67" s="1"/>
  <c r="N100" i="67"/>
  <c r="N126" i="67" s="1"/>
  <c r="O100" i="67"/>
  <c r="O126" i="67" s="1"/>
  <c r="P100" i="67"/>
  <c r="P126" i="67" s="1"/>
  <c r="Q100" i="67"/>
  <c r="Q126" i="67" s="1"/>
  <c r="R100" i="67"/>
  <c r="R126" i="67" s="1"/>
  <c r="S100" i="67"/>
  <c r="S126" i="67" s="1"/>
  <c r="T100" i="67"/>
  <c r="T126" i="67" s="1"/>
  <c r="U100" i="67"/>
  <c r="U126" i="67" s="1"/>
  <c r="V100" i="67"/>
  <c r="V126" i="67" s="1"/>
  <c r="W100" i="67"/>
  <c r="W126" i="67" s="1"/>
  <c r="X100" i="67"/>
  <c r="X126" i="67" s="1"/>
  <c r="Y100" i="67"/>
  <c r="Y126" i="67" s="1"/>
  <c r="Z100" i="67"/>
  <c r="Z126" i="67" s="1"/>
  <c r="AA100" i="67"/>
  <c r="AA126" i="67" s="1"/>
  <c r="AB100" i="67"/>
  <c r="AB126" i="67" s="1"/>
  <c r="AC100" i="67"/>
  <c r="AC126" i="67" s="1"/>
  <c r="AD100" i="67"/>
  <c r="AD126" i="67" s="1"/>
  <c r="AE100" i="67"/>
  <c r="AE126" i="67" s="1"/>
  <c r="AF100" i="67"/>
  <c r="AF126" i="67" s="1"/>
  <c r="AG100" i="67"/>
  <c r="AG126" i="67" s="1"/>
  <c r="AH100" i="67"/>
  <c r="AH126" i="67" s="1"/>
  <c r="AI100" i="67"/>
  <c r="AI126" i="67" s="1"/>
  <c r="D100" i="70"/>
  <c r="D126" i="70" s="1"/>
  <c r="E100" i="70"/>
  <c r="E126" i="70" s="1"/>
  <c r="F100" i="70"/>
  <c r="F126" i="70" s="1"/>
  <c r="G100" i="70"/>
  <c r="G126" i="70" s="1"/>
  <c r="H100" i="70"/>
  <c r="H126" i="70" s="1"/>
  <c r="I100" i="70"/>
  <c r="I126" i="70" s="1"/>
  <c r="J100" i="70"/>
  <c r="J126" i="70" s="1"/>
  <c r="K100" i="70"/>
  <c r="K126" i="70" s="1"/>
  <c r="L100" i="70"/>
  <c r="L126" i="70" s="1"/>
  <c r="M100" i="70"/>
  <c r="M126" i="70" s="1"/>
  <c r="N100" i="70"/>
  <c r="N126" i="70" s="1"/>
  <c r="O100" i="70"/>
  <c r="O126" i="70" s="1"/>
  <c r="C100" i="70"/>
  <c r="D114" i="70"/>
  <c r="D128" i="70" s="1"/>
  <c r="E114" i="70"/>
  <c r="E128" i="70" s="1"/>
  <c r="F114" i="70"/>
  <c r="F128" i="70" s="1"/>
  <c r="G114" i="70"/>
  <c r="G128" i="70" s="1"/>
  <c r="H114" i="70"/>
  <c r="H128" i="70" s="1"/>
  <c r="I114" i="70"/>
  <c r="I128" i="70" s="1"/>
  <c r="J114" i="70"/>
  <c r="J128" i="70" s="1"/>
  <c r="K114" i="70"/>
  <c r="K128" i="70" s="1"/>
  <c r="L114" i="70"/>
  <c r="L128" i="70" s="1"/>
  <c r="M114" i="70"/>
  <c r="M128" i="70" s="1"/>
  <c r="N114" i="70"/>
  <c r="N128" i="70" s="1"/>
  <c r="O114" i="70"/>
  <c r="O128" i="70" s="1"/>
  <c r="C114" i="70"/>
  <c r="AG116" i="67"/>
  <c r="AG129" i="67" s="1"/>
  <c r="AC116" i="67"/>
  <c r="AC129" i="67" s="1"/>
  <c r="AA116" i="67"/>
  <c r="X116" i="67"/>
  <c r="U116" i="67"/>
  <c r="T116" i="67"/>
  <c r="R116" i="67"/>
  <c r="R129" i="67" s="1"/>
  <c r="P116" i="67"/>
  <c r="O116" i="67"/>
  <c r="O129" i="67" s="1"/>
  <c r="N116" i="67"/>
  <c r="N129" i="67" s="1"/>
  <c r="L116" i="67"/>
  <c r="K116" i="67"/>
  <c r="H116" i="67"/>
  <c r="G116" i="67"/>
  <c r="D114" i="67"/>
  <c r="D128" i="67" s="1"/>
  <c r="C114" i="67"/>
  <c r="A29" i="33"/>
  <c r="A30" i="33"/>
  <c r="J30" i="67"/>
  <c r="F30" i="67" s="1"/>
  <c r="J62" i="68"/>
  <c r="F62" i="68" s="1"/>
  <c r="J63" i="68"/>
  <c r="F63" i="68" s="1"/>
  <c r="J66" i="68"/>
  <c r="F66" i="68" s="1"/>
  <c r="J67" i="68"/>
  <c r="F67" i="68" s="1"/>
  <c r="J68" i="68"/>
  <c r="F68" i="68" s="1"/>
  <c r="J69" i="68"/>
  <c r="F69" i="68" s="1"/>
  <c r="J70" i="68"/>
  <c r="F70" i="68" s="1"/>
  <c r="J50" i="68"/>
  <c r="F50" i="68" s="1"/>
  <c r="J50" i="37" s="1"/>
  <c r="J54" i="68"/>
  <c r="F54" i="68" s="1"/>
  <c r="J55" i="68"/>
  <c r="F55" i="68" s="1"/>
  <c r="D58" i="62"/>
  <c r="F58" i="62" s="1"/>
  <c r="E58" i="62" s="1"/>
  <c r="J60" i="68"/>
  <c r="F60" i="68" s="1"/>
  <c r="J60" i="37" s="1"/>
  <c r="A75" i="90"/>
  <c r="A76" i="90"/>
  <c r="A77" i="90"/>
  <c r="A78" i="90"/>
  <c r="A52" i="90"/>
  <c r="A53" i="90"/>
  <c r="A54" i="90"/>
  <c r="A55" i="90"/>
  <c r="A56" i="90"/>
  <c r="A59" i="90"/>
  <c r="A60" i="90"/>
  <c r="A61" i="90"/>
  <c r="A67" i="90"/>
  <c r="A68" i="90"/>
  <c r="A69" i="90"/>
  <c r="A70" i="90"/>
  <c r="A71" i="90"/>
  <c r="A72" i="90"/>
  <c r="A73" i="90"/>
  <c r="A74" i="90"/>
  <c r="J50" i="89"/>
  <c r="J51" i="89"/>
  <c r="J52" i="89"/>
  <c r="J53" i="89"/>
  <c r="J54" i="89"/>
  <c r="J55" i="89"/>
  <c r="J56" i="89"/>
  <c r="J57" i="89"/>
  <c r="J60" i="89"/>
  <c r="J61" i="89"/>
  <c r="J36" i="89"/>
  <c r="J37" i="89"/>
  <c r="J38" i="89"/>
  <c r="J41" i="89"/>
  <c r="J42" i="89"/>
  <c r="J43" i="89"/>
  <c r="J44" i="89"/>
  <c r="J45" i="89"/>
  <c r="J31" i="89"/>
  <c r="J32" i="89"/>
  <c r="A30" i="89"/>
  <c r="A31" i="89"/>
  <c r="A29" i="89"/>
  <c r="A72" i="88"/>
  <c r="A73" i="88"/>
  <c r="A74" i="88"/>
  <c r="A75" i="88"/>
  <c r="A76" i="88"/>
  <c r="A77" i="88"/>
  <c r="A78" i="88"/>
  <c r="A52" i="88"/>
  <c r="A53" i="88"/>
  <c r="A54" i="88"/>
  <c r="A55" i="88"/>
  <c r="A56" i="88"/>
  <c r="A59" i="88"/>
  <c r="A60" i="88"/>
  <c r="A61" i="88"/>
  <c r="I50" i="87"/>
  <c r="I51" i="87"/>
  <c r="I52" i="87"/>
  <c r="I53" i="87"/>
  <c r="I54" i="87"/>
  <c r="I55" i="87"/>
  <c r="I56" i="87"/>
  <c r="I57" i="87"/>
  <c r="I60" i="87"/>
  <c r="I61" i="87"/>
  <c r="I36" i="87"/>
  <c r="I37" i="87"/>
  <c r="I38" i="87"/>
  <c r="I41" i="87"/>
  <c r="I42" i="87"/>
  <c r="I43" i="87"/>
  <c r="I44" i="87"/>
  <c r="I45" i="87"/>
  <c r="I31" i="87"/>
  <c r="I32" i="87"/>
  <c r="A30" i="87"/>
  <c r="A31" i="87"/>
  <c r="A29" i="87"/>
  <c r="A78" i="55"/>
  <c r="A77" i="55"/>
  <c r="A76" i="55"/>
  <c r="A73" i="55"/>
  <c r="A74" i="55"/>
  <c r="A75" i="55"/>
  <c r="A52" i="55"/>
  <c r="A53" i="55"/>
  <c r="A54" i="55"/>
  <c r="A55" i="55"/>
  <c r="A56" i="55"/>
  <c r="A59" i="55"/>
  <c r="A60" i="55"/>
  <c r="A61" i="55"/>
  <c r="A67" i="55"/>
  <c r="A68" i="55"/>
  <c r="A69" i="55"/>
  <c r="A70" i="55"/>
  <c r="A71" i="55"/>
  <c r="A72" i="55"/>
  <c r="J50" i="54"/>
  <c r="J51" i="54"/>
  <c r="J52" i="54"/>
  <c r="J53" i="54"/>
  <c r="J54" i="54"/>
  <c r="J55" i="54"/>
  <c r="J56" i="54"/>
  <c r="J57" i="54"/>
  <c r="J60" i="54"/>
  <c r="J61" i="54"/>
  <c r="J45" i="54"/>
  <c r="J36" i="54"/>
  <c r="J37" i="54"/>
  <c r="J38" i="54"/>
  <c r="J41" i="54"/>
  <c r="J42" i="54"/>
  <c r="J43" i="54"/>
  <c r="J44" i="54"/>
  <c r="J31" i="54"/>
  <c r="J32" i="54"/>
  <c r="A30" i="54"/>
  <c r="A31" i="54"/>
  <c r="A29" i="54"/>
  <c r="A78" i="53"/>
  <c r="A77" i="53"/>
  <c r="A74" i="53"/>
  <c r="A75" i="53"/>
  <c r="A76" i="53"/>
  <c r="A73" i="53"/>
  <c r="A67" i="53"/>
  <c r="A68" i="53"/>
  <c r="A69" i="53"/>
  <c r="A70" i="53"/>
  <c r="A71" i="53"/>
  <c r="A72" i="53"/>
  <c r="A52" i="53"/>
  <c r="A53" i="53"/>
  <c r="A54" i="53"/>
  <c r="A55" i="53"/>
  <c r="A56" i="53"/>
  <c r="A59" i="53"/>
  <c r="A60" i="53"/>
  <c r="A61" i="53"/>
  <c r="I45" i="52"/>
  <c r="I50" i="52"/>
  <c r="I51" i="52"/>
  <c r="I52" i="52"/>
  <c r="I53" i="52"/>
  <c r="I54" i="52"/>
  <c r="I55" i="52"/>
  <c r="I56" i="52"/>
  <c r="I57" i="52"/>
  <c r="I60" i="52"/>
  <c r="I61" i="52"/>
  <c r="I37" i="52"/>
  <c r="I38" i="52"/>
  <c r="I41" i="52"/>
  <c r="I42" i="52"/>
  <c r="I43" i="52"/>
  <c r="I44" i="52"/>
  <c r="I31" i="52"/>
  <c r="I32" i="52"/>
  <c r="A30" i="52"/>
  <c r="A31" i="52"/>
  <c r="A29" i="52"/>
  <c r="A50" i="38"/>
  <c r="A77" i="37"/>
  <c r="A72" i="37"/>
  <c r="A73" i="37"/>
  <c r="A74" i="37"/>
  <c r="A75" i="37"/>
  <c r="A76" i="37"/>
  <c r="A51" i="37"/>
  <c r="A52" i="37"/>
  <c r="A53" i="37"/>
  <c r="A54" i="37"/>
  <c r="A55" i="37"/>
  <c r="A58" i="37"/>
  <c r="A59" i="37"/>
  <c r="A60" i="37"/>
  <c r="A71" i="37"/>
  <c r="A114" i="36"/>
  <c r="A109" i="36"/>
  <c r="A110" i="36"/>
  <c r="A111" i="36"/>
  <c r="A102" i="36"/>
  <c r="A100" i="36"/>
  <c r="A96" i="36"/>
  <c r="A97" i="36"/>
  <c r="A73" i="36"/>
  <c r="A29" i="36"/>
  <c r="A30" i="36"/>
  <c r="A28" i="36"/>
  <c r="A12" i="36"/>
  <c r="A50" i="85"/>
  <c r="A75" i="81"/>
  <c r="A76" i="81"/>
  <c r="A77" i="81"/>
  <c r="A72" i="81"/>
  <c r="A73" i="81"/>
  <c r="A74" i="81"/>
  <c r="A51" i="81"/>
  <c r="A52" i="81"/>
  <c r="A53" i="81"/>
  <c r="A54" i="81"/>
  <c r="A55" i="81"/>
  <c r="A58" i="81"/>
  <c r="A59" i="81"/>
  <c r="A60" i="81"/>
  <c r="A66" i="81"/>
  <c r="A67" i="81"/>
  <c r="A68" i="81"/>
  <c r="A69" i="81"/>
  <c r="A70" i="81"/>
  <c r="A71" i="81"/>
  <c r="A54" i="80"/>
  <c r="A49" i="80"/>
  <c r="A50" i="80"/>
  <c r="A51" i="80"/>
  <c r="A40" i="80"/>
  <c r="A42" i="80"/>
  <c r="A36" i="80"/>
  <c r="A37" i="80"/>
  <c r="A29" i="80"/>
  <c r="A13" i="80"/>
  <c r="A29" i="79"/>
  <c r="A30" i="79"/>
  <c r="A28" i="79"/>
  <c r="A12" i="79"/>
  <c r="L53" i="68"/>
  <c r="M53" i="68"/>
  <c r="N53" i="68"/>
  <c r="O53" i="68"/>
  <c r="P53" i="68"/>
  <c r="Q53" i="68"/>
  <c r="R53" i="68"/>
  <c r="S53" i="68"/>
  <c r="T53" i="68"/>
  <c r="U53" i="68"/>
  <c r="V53" i="68"/>
  <c r="W53" i="68"/>
  <c r="X53" i="68"/>
  <c r="Y53" i="68"/>
  <c r="Z53" i="68"/>
  <c r="AA53" i="68"/>
  <c r="AB53" i="68"/>
  <c r="AC53" i="68"/>
  <c r="AD53" i="68"/>
  <c r="AE53" i="68"/>
  <c r="AF53" i="68"/>
  <c r="AG53" i="68"/>
  <c r="AH53" i="68"/>
  <c r="AI53" i="68"/>
  <c r="K53" i="68"/>
  <c r="I53" i="68"/>
  <c r="H53" i="68"/>
  <c r="G53" i="68"/>
  <c r="D53" i="68"/>
  <c r="C53" i="68"/>
  <c r="D53" i="69"/>
  <c r="E53" i="69"/>
  <c r="F53" i="69"/>
  <c r="G53" i="69"/>
  <c r="H53" i="69"/>
  <c r="I53" i="69"/>
  <c r="J53" i="69"/>
  <c r="K53" i="69"/>
  <c r="L53" i="69"/>
  <c r="M53" i="69"/>
  <c r="N53" i="69"/>
  <c r="O53" i="69"/>
  <c r="C53" i="69"/>
  <c r="A50" i="84"/>
  <c r="E74" i="75"/>
  <c r="F74" i="75"/>
  <c r="G74" i="75"/>
  <c r="H74" i="75"/>
  <c r="I74" i="75"/>
  <c r="J74" i="75"/>
  <c r="K74" i="75"/>
  <c r="L74" i="75"/>
  <c r="M74" i="75"/>
  <c r="N74" i="75"/>
  <c r="O74" i="75"/>
  <c r="D74" i="75"/>
  <c r="E53" i="75"/>
  <c r="F53" i="75"/>
  <c r="G53" i="75"/>
  <c r="H53" i="75"/>
  <c r="I53" i="75"/>
  <c r="J53" i="75"/>
  <c r="K53" i="75"/>
  <c r="L53" i="75"/>
  <c r="M53" i="75"/>
  <c r="N53" i="75"/>
  <c r="O53" i="75"/>
  <c r="D53" i="75"/>
  <c r="E59" i="75"/>
  <c r="F59" i="75"/>
  <c r="G59" i="75"/>
  <c r="H59" i="75"/>
  <c r="I59" i="75"/>
  <c r="J59" i="75"/>
  <c r="K59" i="75"/>
  <c r="L59" i="75"/>
  <c r="M59" i="75"/>
  <c r="N59" i="75"/>
  <c r="O59" i="75"/>
  <c r="D59" i="75"/>
  <c r="A73" i="75"/>
  <c r="A74" i="75"/>
  <c r="A75" i="75"/>
  <c r="A76" i="75"/>
  <c r="A77" i="75"/>
  <c r="A51" i="75"/>
  <c r="A52" i="75"/>
  <c r="A53" i="75"/>
  <c r="A54" i="75"/>
  <c r="A55" i="75"/>
  <c r="A58" i="75"/>
  <c r="A59" i="75"/>
  <c r="A60" i="75"/>
  <c r="A66" i="75"/>
  <c r="A67" i="75"/>
  <c r="A68" i="75"/>
  <c r="A69" i="75"/>
  <c r="A70" i="75"/>
  <c r="A71" i="75"/>
  <c r="A72" i="75"/>
  <c r="A109" i="74"/>
  <c r="A104" i="74"/>
  <c r="A105" i="74"/>
  <c r="A106" i="74"/>
  <c r="A42" i="34"/>
  <c r="A97" i="74"/>
  <c r="A95" i="74"/>
  <c r="A91" i="74"/>
  <c r="A92" i="74"/>
  <c r="A84" i="74"/>
  <c r="A68" i="74"/>
  <c r="A29" i="74"/>
  <c r="A30" i="74"/>
  <c r="A28" i="74"/>
  <c r="A12" i="74"/>
  <c r="A50" i="83"/>
  <c r="A76" i="35"/>
  <c r="A77" i="35"/>
  <c r="A71" i="35"/>
  <c r="A72" i="35"/>
  <c r="A73" i="35"/>
  <c r="A74" i="35"/>
  <c r="A75" i="35"/>
  <c r="A51" i="35"/>
  <c r="A52" i="35"/>
  <c r="A53" i="35"/>
  <c r="A54" i="35"/>
  <c r="A55" i="35"/>
  <c r="A58" i="35"/>
  <c r="A59" i="35"/>
  <c r="A60" i="35"/>
  <c r="A66" i="35"/>
  <c r="A67" i="35"/>
  <c r="A68" i="35"/>
  <c r="A69" i="35"/>
  <c r="A70" i="35"/>
  <c r="A54" i="34"/>
  <c r="A49" i="34"/>
  <c r="A50" i="34"/>
  <c r="A51" i="34"/>
  <c r="A40" i="34"/>
  <c r="A36" i="34"/>
  <c r="A37" i="34"/>
  <c r="A29" i="34"/>
  <c r="A13" i="34"/>
  <c r="A39" i="33"/>
  <c r="A28" i="33"/>
  <c r="A12" i="33"/>
  <c r="A50" i="82"/>
  <c r="B50" i="82"/>
  <c r="B50" i="83" s="1"/>
  <c r="G50" i="83" s="1"/>
  <c r="I50" i="83" s="1"/>
  <c r="H50" i="38" s="1"/>
  <c r="AI74" i="68"/>
  <c r="AH74" i="68"/>
  <c r="AG74" i="68"/>
  <c r="AF74" i="68"/>
  <c r="AE74" i="68"/>
  <c r="AD74" i="68"/>
  <c r="AC74" i="68"/>
  <c r="AB74" i="68"/>
  <c r="AA74" i="68"/>
  <c r="Z74" i="68"/>
  <c r="Y74" i="68"/>
  <c r="X74" i="68"/>
  <c r="W74" i="68"/>
  <c r="V74" i="68"/>
  <c r="U74" i="68"/>
  <c r="T74" i="68"/>
  <c r="S74" i="68"/>
  <c r="R74" i="68"/>
  <c r="Q74" i="68"/>
  <c r="P74" i="68"/>
  <c r="O74" i="68"/>
  <c r="N74" i="68"/>
  <c r="M74" i="68"/>
  <c r="L74" i="68"/>
  <c r="K74" i="68"/>
  <c r="I74" i="68"/>
  <c r="H74" i="68"/>
  <c r="G74" i="68"/>
  <c r="D74" i="68"/>
  <c r="C74" i="68"/>
  <c r="C163" i="62"/>
  <c r="C74" i="62"/>
  <c r="D74" i="69"/>
  <c r="E74" i="69"/>
  <c r="F74" i="69"/>
  <c r="G74" i="69"/>
  <c r="H74" i="69"/>
  <c r="I74" i="69"/>
  <c r="J74" i="69"/>
  <c r="K74" i="69"/>
  <c r="L74" i="69"/>
  <c r="M74" i="69"/>
  <c r="N74" i="69"/>
  <c r="O74" i="69"/>
  <c r="C74" i="69"/>
  <c r="D59" i="69"/>
  <c r="E59" i="69"/>
  <c r="F59" i="69"/>
  <c r="G59" i="69"/>
  <c r="H59" i="69"/>
  <c r="I59" i="69"/>
  <c r="J59" i="69"/>
  <c r="K59" i="69"/>
  <c r="L59" i="69"/>
  <c r="M59" i="69"/>
  <c r="N59" i="69"/>
  <c r="O59" i="69"/>
  <c r="C59" i="69"/>
  <c r="B54" i="69"/>
  <c r="B54" i="35" s="1"/>
  <c r="B55" i="69"/>
  <c r="B55" i="35" s="1"/>
  <c r="B58" i="69"/>
  <c r="B58" i="35" s="1"/>
  <c r="B60" i="69"/>
  <c r="B66" i="35"/>
  <c r="B67" i="35"/>
  <c r="B68" i="35"/>
  <c r="B69" i="35"/>
  <c r="B70" i="35"/>
  <c r="B71" i="69"/>
  <c r="B71" i="35" s="1"/>
  <c r="B75" i="69"/>
  <c r="B76" i="69"/>
  <c r="B76" i="35" s="1"/>
  <c r="B77" i="69"/>
  <c r="B77" i="35" s="1"/>
  <c r="A76" i="69"/>
  <c r="A77" i="69"/>
  <c r="A51" i="69"/>
  <c r="A52" i="69"/>
  <c r="A53" i="69"/>
  <c r="A54" i="69"/>
  <c r="A55" i="69"/>
  <c r="A58" i="69"/>
  <c r="A59" i="69"/>
  <c r="A60" i="69"/>
  <c r="A71" i="69"/>
  <c r="A72" i="69"/>
  <c r="A73" i="69"/>
  <c r="A74" i="69"/>
  <c r="A75" i="69"/>
  <c r="A109" i="70"/>
  <c r="B109" i="70"/>
  <c r="B54" i="34" s="1"/>
  <c r="A104" i="70"/>
  <c r="B104" i="70"/>
  <c r="B49" i="34" s="1"/>
  <c r="A105" i="70"/>
  <c r="B105" i="70"/>
  <c r="B50" i="34" s="1"/>
  <c r="A106" i="70"/>
  <c r="B106" i="70"/>
  <c r="B51" i="34" s="1"/>
  <c r="A97" i="70"/>
  <c r="B97" i="70"/>
  <c r="B42" i="34" s="1"/>
  <c r="A95" i="70"/>
  <c r="B95" i="70"/>
  <c r="B40" i="34" s="1"/>
  <c r="A91" i="70"/>
  <c r="B91" i="70"/>
  <c r="B36" i="34" s="1"/>
  <c r="A92" i="70"/>
  <c r="B92" i="70"/>
  <c r="B37" i="34" s="1"/>
  <c r="A84" i="70"/>
  <c r="B84" i="70"/>
  <c r="B29" i="34" s="1"/>
  <c r="A68" i="70"/>
  <c r="B68" i="70"/>
  <c r="B13" i="34" s="1"/>
  <c r="B52" i="33"/>
  <c r="B54" i="33"/>
  <c r="B55" i="33"/>
  <c r="B56" i="33"/>
  <c r="B57" i="33"/>
  <c r="A39" i="70"/>
  <c r="B39" i="33"/>
  <c r="B29" i="70"/>
  <c r="B29" i="33" s="1"/>
  <c r="B30" i="70"/>
  <c r="B30" i="33" s="1"/>
  <c r="A28" i="70"/>
  <c r="B28" i="70"/>
  <c r="B28" i="33" s="1"/>
  <c r="A12" i="70"/>
  <c r="B12" i="70"/>
  <c r="B12" i="33" s="1"/>
  <c r="C148" i="62"/>
  <c r="C142" i="62"/>
  <c r="A166" i="62"/>
  <c r="A140" i="62"/>
  <c r="A141" i="62"/>
  <c r="A142" i="62"/>
  <c r="A143" i="62"/>
  <c r="A144" i="62"/>
  <c r="A147" i="62"/>
  <c r="A148" i="62"/>
  <c r="A149" i="62"/>
  <c r="A155" i="62"/>
  <c r="A156" i="62"/>
  <c r="A157" i="62"/>
  <c r="A158" i="62"/>
  <c r="A159" i="62"/>
  <c r="A160" i="62"/>
  <c r="A161" i="62"/>
  <c r="A162" i="62"/>
  <c r="A163" i="62"/>
  <c r="A164" i="62"/>
  <c r="A165" i="62"/>
  <c r="C59" i="62"/>
  <c r="C53" i="62"/>
  <c r="F75" i="62"/>
  <c r="A76" i="62"/>
  <c r="A77" i="62"/>
  <c r="A51" i="62"/>
  <c r="A52" i="62"/>
  <c r="A53" i="62"/>
  <c r="A54" i="62"/>
  <c r="A55" i="62"/>
  <c r="A58" i="62"/>
  <c r="A59" i="62"/>
  <c r="A60" i="62"/>
  <c r="A67" i="62"/>
  <c r="A68" i="62"/>
  <c r="A69" i="62"/>
  <c r="A70" i="62"/>
  <c r="A71" i="62"/>
  <c r="A72" i="62"/>
  <c r="A73" i="62"/>
  <c r="A74" i="62"/>
  <c r="A75" i="62"/>
  <c r="A111" i="46"/>
  <c r="A106" i="46"/>
  <c r="A107" i="46"/>
  <c r="A108" i="46"/>
  <c r="A97" i="46"/>
  <c r="A98" i="46"/>
  <c r="A99" i="46"/>
  <c r="A100" i="46"/>
  <c r="A101" i="46"/>
  <c r="A93" i="46"/>
  <c r="A94" i="46"/>
  <c r="A87" i="46"/>
  <c r="A88" i="46"/>
  <c r="A70" i="46"/>
  <c r="A30" i="46"/>
  <c r="A31" i="46"/>
  <c r="A29" i="46"/>
  <c r="A13" i="46"/>
  <c r="D59" i="68"/>
  <c r="C59" i="68"/>
  <c r="L59" i="68"/>
  <c r="M59" i="68"/>
  <c r="N59" i="68"/>
  <c r="O59" i="68"/>
  <c r="P59" i="68"/>
  <c r="Q59" i="68"/>
  <c r="R59" i="68"/>
  <c r="S59" i="68"/>
  <c r="T59" i="68"/>
  <c r="U59" i="68"/>
  <c r="V59" i="68"/>
  <c r="W59" i="68"/>
  <c r="X59" i="68"/>
  <c r="Y59" i="68"/>
  <c r="Z59" i="68"/>
  <c r="AA59" i="68"/>
  <c r="AB59" i="68"/>
  <c r="AC59" i="68"/>
  <c r="AD59" i="68"/>
  <c r="AE59" i="68"/>
  <c r="AF59" i="68"/>
  <c r="AG59" i="68"/>
  <c r="AH59" i="68"/>
  <c r="AI59" i="68"/>
  <c r="K59" i="68"/>
  <c r="H59" i="68"/>
  <c r="I59" i="68"/>
  <c r="G59" i="68"/>
  <c r="A77" i="68"/>
  <c r="A73" i="68"/>
  <c r="A74" i="68"/>
  <c r="A75" i="68"/>
  <c r="A76" i="68"/>
  <c r="A72" i="68"/>
  <c r="A51" i="68"/>
  <c r="A52" i="68"/>
  <c r="A53" i="68"/>
  <c r="A54" i="68"/>
  <c r="A55" i="68"/>
  <c r="A58" i="68"/>
  <c r="A59" i="68"/>
  <c r="A60" i="68"/>
  <c r="A62" i="68"/>
  <c r="A63" i="68"/>
  <c r="A66" i="68"/>
  <c r="A67" i="68"/>
  <c r="A68" i="68"/>
  <c r="A69" i="68"/>
  <c r="A70" i="68"/>
  <c r="A71" i="68"/>
  <c r="A109" i="67"/>
  <c r="J109" i="67"/>
  <c r="F109" i="67" s="1"/>
  <c r="E109" i="67" s="1"/>
  <c r="B109" i="67" s="1"/>
  <c r="A104" i="67"/>
  <c r="J104" i="67"/>
  <c r="F104" i="67" s="1"/>
  <c r="A105" i="67"/>
  <c r="J105" i="67"/>
  <c r="F105" i="67" s="1"/>
  <c r="E105" i="67" s="1"/>
  <c r="A106" i="67"/>
  <c r="J106" i="67"/>
  <c r="F106" i="67" s="1"/>
  <c r="E106" i="67" s="1"/>
  <c r="B106" i="67" s="1"/>
  <c r="A97" i="67"/>
  <c r="J97" i="67"/>
  <c r="F97" i="67" s="1"/>
  <c r="E97" i="67" s="1"/>
  <c r="B97" i="67" s="1"/>
  <c r="A95" i="67"/>
  <c r="J95" i="67"/>
  <c r="F95" i="67" s="1"/>
  <c r="A91" i="67"/>
  <c r="J91" i="67"/>
  <c r="F91" i="67" s="1"/>
  <c r="E91" i="67" s="1"/>
  <c r="B91" i="67" s="1"/>
  <c r="A92" i="67"/>
  <c r="J92" i="67"/>
  <c r="F92" i="67" s="1"/>
  <c r="J85" i="67"/>
  <c r="F85" i="67" s="1"/>
  <c r="J77" i="67"/>
  <c r="F77" i="67" s="1"/>
  <c r="K23" i="87" s="1"/>
  <c r="L23" i="89" s="1"/>
  <c r="J56" i="67"/>
  <c r="F56" i="67" s="1"/>
  <c r="J57" i="67"/>
  <c r="F57" i="67" s="1"/>
  <c r="J39" i="67"/>
  <c r="F39" i="67" s="1"/>
  <c r="J27" i="67"/>
  <c r="F27" i="67" s="1"/>
  <c r="J27" i="36" s="1"/>
  <c r="J12" i="67"/>
  <c r="F12" i="67" s="1"/>
  <c r="C13" i="87" s="1"/>
  <c r="C13" i="89" s="1"/>
  <c r="B50" i="35"/>
  <c r="D139" i="62"/>
  <c r="F139" i="62" s="1"/>
  <c r="E139" i="62" s="1"/>
  <c r="J71" i="68"/>
  <c r="F71" i="68" s="1"/>
  <c r="D112" i="84"/>
  <c r="E112" i="84"/>
  <c r="F112" i="84"/>
  <c r="G112" i="84"/>
  <c r="H112" i="84"/>
  <c r="I112" i="84"/>
  <c r="J112" i="84"/>
  <c r="K112" i="84"/>
  <c r="L112" i="84"/>
  <c r="M112" i="84"/>
  <c r="N112" i="84"/>
  <c r="O112" i="84"/>
  <c r="D112" i="82"/>
  <c r="E112" i="82"/>
  <c r="F112" i="82"/>
  <c r="G112" i="82"/>
  <c r="H112" i="82"/>
  <c r="I112" i="82"/>
  <c r="J112" i="82"/>
  <c r="K112" i="82"/>
  <c r="L112" i="82"/>
  <c r="M112" i="82"/>
  <c r="N112" i="82"/>
  <c r="O112" i="82"/>
  <c r="C112" i="82"/>
  <c r="E206" i="31"/>
  <c r="E205" i="31"/>
  <c r="E204" i="31"/>
  <c r="E203" i="31"/>
  <c r="E202" i="31"/>
  <c r="E201" i="31"/>
  <c r="E199" i="31"/>
  <c r="E198" i="31"/>
  <c r="E197" i="31"/>
  <c r="E196" i="31"/>
  <c r="E195" i="31"/>
  <c r="E194" i="31"/>
  <c r="E192" i="31"/>
  <c r="E191" i="31"/>
  <c r="E190" i="31"/>
  <c r="E189" i="31"/>
  <c r="E188" i="31"/>
  <c r="E187" i="31"/>
  <c r="E185" i="31"/>
  <c r="E184" i="31"/>
  <c r="E183" i="31"/>
  <c r="E182" i="31"/>
  <c r="E181" i="31"/>
  <c r="E180" i="31"/>
  <c r="E178" i="31"/>
  <c r="E177" i="31"/>
  <c r="E176" i="31"/>
  <c r="E175" i="31"/>
  <c r="E174" i="31"/>
  <c r="E173" i="31"/>
  <c r="E171" i="31"/>
  <c r="E170" i="31"/>
  <c r="E169" i="31"/>
  <c r="E168" i="31"/>
  <c r="E167" i="31"/>
  <c r="E166" i="31"/>
  <c r="E164" i="31"/>
  <c r="E163" i="31"/>
  <c r="E162" i="31"/>
  <c r="E161" i="31"/>
  <c r="E160" i="31"/>
  <c r="E159" i="31"/>
  <c r="E157" i="31"/>
  <c r="E156" i="31"/>
  <c r="E155" i="31"/>
  <c r="E154" i="31"/>
  <c r="E153" i="31"/>
  <c r="E152" i="31"/>
  <c r="E150" i="31"/>
  <c r="E149" i="31"/>
  <c r="E148" i="31"/>
  <c r="E147" i="31"/>
  <c r="E146" i="31"/>
  <c r="E145" i="31"/>
  <c r="E143" i="31"/>
  <c r="E142" i="31"/>
  <c r="E141" i="31"/>
  <c r="E140" i="31"/>
  <c r="E139" i="31"/>
  <c r="E138" i="31"/>
  <c r="E136" i="31"/>
  <c r="E135" i="31"/>
  <c r="E134" i="31"/>
  <c r="E133" i="31"/>
  <c r="E132" i="31"/>
  <c r="E131" i="31"/>
  <c r="E129" i="31"/>
  <c r="E128" i="31"/>
  <c r="E127" i="31"/>
  <c r="E126" i="31"/>
  <c r="E125" i="31"/>
  <c r="E124" i="31"/>
  <c r="E122" i="31"/>
  <c r="E121" i="31"/>
  <c r="E120" i="31"/>
  <c r="E119" i="31"/>
  <c r="E118" i="31"/>
  <c r="E117" i="31"/>
  <c r="E115" i="31"/>
  <c r="E114" i="31"/>
  <c r="E113" i="31"/>
  <c r="E112" i="31"/>
  <c r="E111" i="31"/>
  <c r="E110" i="31"/>
  <c r="E108" i="31"/>
  <c r="E107" i="31"/>
  <c r="E106" i="31"/>
  <c r="E105" i="31"/>
  <c r="E104" i="31"/>
  <c r="E103" i="31"/>
  <c r="E101" i="31"/>
  <c r="E100" i="31"/>
  <c r="E99" i="31"/>
  <c r="E98" i="31"/>
  <c r="E97" i="31"/>
  <c r="E96" i="31"/>
  <c r="E94" i="31"/>
  <c r="E93" i="31"/>
  <c r="E92" i="31"/>
  <c r="E91" i="31"/>
  <c r="E90" i="31"/>
  <c r="E89" i="31"/>
  <c r="E87" i="31"/>
  <c r="E86" i="31"/>
  <c r="E85" i="31"/>
  <c r="E84" i="31"/>
  <c r="E83" i="31"/>
  <c r="E82" i="31"/>
  <c r="E80" i="31"/>
  <c r="E79" i="31"/>
  <c r="E78" i="31"/>
  <c r="E77" i="31"/>
  <c r="E76" i="31"/>
  <c r="E75" i="31"/>
  <c r="E73" i="31"/>
  <c r="E72" i="31"/>
  <c r="E71" i="31"/>
  <c r="E70" i="31"/>
  <c r="E69" i="31"/>
  <c r="E68" i="31"/>
  <c r="E66" i="31"/>
  <c r="E65" i="31"/>
  <c r="E64" i="31"/>
  <c r="E63" i="31"/>
  <c r="E62" i="31"/>
  <c r="E61" i="31"/>
  <c r="E59" i="31"/>
  <c r="E58" i="31"/>
  <c r="E57" i="31"/>
  <c r="E56" i="31"/>
  <c r="E55" i="31"/>
  <c r="E54" i="31"/>
  <c r="E52" i="31"/>
  <c r="E51" i="31"/>
  <c r="E50" i="31"/>
  <c r="E49" i="31"/>
  <c r="E48" i="31"/>
  <c r="E47" i="31"/>
  <c r="E45" i="31"/>
  <c r="E44" i="31"/>
  <c r="E43" i="31"/>
  <c r="E42" i="31"/>
  <c r="E41" i="31"/>
  <c r="E40" i="31"/>
  <c r="E38" i="31"/>
  <c r="E37" i="31"/>
  <c r="E36" i="31"/>
  <c r="E35" i="31"/>
  <c r="E34" i="31"/>
  <c r="E33" i="31"/>
  <c r="E31" i="31"/>
  <c r="E30" i="31"/>
  <c r="E29" i="31"/>
  <c r="E28" i="31"/>
  <c r="E27" i="31"/>
  <c r="E21" i="31"/>
  <c r="E20" i="31"/>
  <c r="E206" i="32"/>
  <c r="E205" i="32"/>
  <c r="E204" i="32"/>
  <c r="E203" i="32"/>
  <c r="E202" i="32"/>
  <c r="E201" i="32"/>
  <c r="E199" i="32"/>
  <c r="E198" i="32"/>
  <c r="E197" i="32"/>
  <c r="E196" i="32"/>
  <c r="E195" i="32"/>
  <c r="E194" i="32"/>
  <c r="E192" i="32"/>
  <c r="E191" i="32"/>
  <c r="E190" i="32"/>
  <c r="E189" i="32"/>
  <c r="E188" i="32"/>
  <c r="E187" i="32"/>
  <c r="E185" i="32"/>
  <c r="E184" i="32"/>
  <c r="E183" i="32"/>
  <c r="E182" i="32"/>
  <c r="E181" i="32"/>
  <c r="E180" i="32"/>
  <c r="E178" i="32"/>
  <c r="E177" i="32"/>
  <c r="E176" i="32"/>
  <c r="E175" i="32"/>
  <c r="E174" i="32"/>
  <c r="E173" i="32"/>
  <c r="E171" i="32"/>
  <c r="E170" i="32"/>
  <c r="E169" i="32"/>
  <c r="E168" i="32"/>
  <c r="E167" i="32"/>
  <c r="E166" i="32"/>
  <c r="E164" i="32"/>
  <c r="E163" i="32"/>
  <c r="E162" i="32"/>
  <c r="E161" i="32"/>
  <c r="E160" i="32"/>
  <c r="E159" i="32"/>
  <c r="E157" i="32"/>
  <c r="E156" i="32"/>
  <c r="E155" i="32"/>
  <c r="E154" i="32"/>
  <c r="E153" i="32"/>
  <c r="E152" i="32"/>
  <c r="E150" i="32"/>
  <c r="E149" i="32"/>
  <c r="E148" i="32"/>
  <c r="E147" i="32"/>
  <c r="E146" i="32"/>
  <c r="E145" i="32"/>
  <c r="E143" i="32"/>
  <c r="E142" i="32"/>
  <c r="E141" i="32"/>
  <c r="E140" i="32"/>
  <c r="E139" i="32"/>
  <c r="E138" i="32"/>
  <c r="E136" i="32"/>
  <c r="E135" i="32"/>
  <c r="E134" i="32"/>
  <c r="E133" i="32"/>
  <c r="E132" i="32"/>
  <c r="E131" i="32"/>
  <c r="E129" i="32"/>
  <c r="E128" i="32"/>
  <c r="E127" i="32"/>
  <c r="E126" i="32"/>
  <c r="E125" i="32"/>
  <c r="E124" i="32"/>
  <c r="E122" i="32"/>
  <c r="E121" i="32"/>
  <c r="E120" i="32"/>
  <c r="E119" i="32"/>
  <c r="E118" i="32"/>
  <c r="E117" i="32"/>
  <c r="E115" i="32"/>
  <c r="E114" i="32"/>
  <c r="E113" i="32"/>
  <c r="E112" i="32"/>
  <c r="E111" i="32"/>
  <c r="E110" i="32"/>
  <c r="E108" i="32"/>
  <c r="E107" i="32"/>
  <c r="E106" i="32"/>
  <c r="E105" i="32"/>
  <c r="E104" i="32"/>
  <c r="E103" i="32"/>
  <c r="E101" i="32"/>
  <c r="E100" i="32"/>
  <c r="E99" i="32"/>
  <c r="E98" i="32"/>
  <c r="E97" i="32"/>
  <c r="E96" i="32"/>
  <c r="E94" i="32"/>
  <c r="E93" i="32"/>
  <c r="E92" i="32"/>
  <c r="E91" i="32"/>
  <c r="E90" i="32"/>
  <c r="E89" i="32"/>
  <c r="E87" i="32"/>
  <c r="E86" i="32"/>
  <c r="E85" i="32"/>
  <c r="E84" i="32"/>
  <c r="E83" i="32"/>
  <c r="E82" i="32"/>
  <c r="E80" i="32"/>
  <c r="E79" i="32"/>
  <c r="E78" i="32"/>
  <c r="E77" i="32"/>
  <c r="E76" i="32"/>
  <c r="E75" i="32"/>
  <c r="E73" i="32"/>
  <c r="E72" i="32"/>
  <c r="E71" i="32"/>
  <c r="E70" i="32"/>
  <c r="E69" i="32"/>
  <c r="E68" i="32"/>
  <c r="E66" i="32"/>
  <c r="E65" i="32"/>
  <c r="E64" i="32"/>
  <c r="E63" i="32"/>
  <c r="E62" i="32"/>
  <c r="E61" i="32"/>
  <c r="E59" i="32"/>
  <c r="E58" i="32"/>
  <c r="E57" i="32"/>
  <c r="E56" i="32"/>
  <c r="E55" i="32"/>
  <c r="E54" i="32"/>
  <c r="E52" i="32"/>
  <c r="E51" i="32"/>
  <c r="E50" i="32"/>
  <c r="E49" i="32"/>
  <c r="E48" i="32"/>
  <c r="E47" i="32"/>
  <c r="E45" i="32"/>
  <c r="E44" i="32"/>
  <c r="E43" i="32"/>
  <c r="E42" i="32"/>
  <c r="E41" i="32"/>
  <c r="E40" i="32"/>
  <c r="E38" i="32"/>
  <c r="E37" i="32"/>
  <c r="E36" i="32"/>
  <c r="E35" i="32"/>
  <c r="E34" i="32"/>
  <c r="E33" i="32"/>
  <c r="E31" i="32"/>
  <c r="E30" i="32"/>
  <c r="E29" i="32"/>
  <c r="E28" i="32"/>
  <c r="E27" i="32"/>
  <c r="E26" i="32"/>
  <c r="E24" i="32"/>
  <c r="E23" i="32"/>
  <c r="E22" i="32"/>
  <c r="E17" i="32"/>
  <c r="H206" i="31"/>
  <c r="H205" i="31"/>
  <c r="H204" i="31"/>
  <c r="H203" i="31"/>
  <c r="H202" i="31"/>
  <c r="H201" i="31"/>
  <c r="H199" i="31"/>
  <c r="H198" i="31"/>
  <c r="H197" i="31"/>
  <c r="H196" i="31"/>
  <c r="H195" i="31"/>
  <c r="H194" i="31"/>
  <c r="H192" i="31"/>
  <c r="H191" i="31"/>
  <c r="H190" i="31"/>
  <c r="H189" i="31"/>
  <c r="H188" i="31"/>
  <c r="H187" i="31"/>
  <c r="H185" i="31"/>
  <c r="H184" i="31"/>
  <c r="H183" i="31"/>
  <c r="H182" i="31"/>
  <c r="H181" i="31"/>
  <c r="H180" i="31"/>
  <c r="H178" i="31"/>
  <c r="H177" i="31"/>
  <c r="H176" i="31"/>
  <c r="H175" i="31"/>
  <c r="H174" i="31"/>
  <c r="H173" i="31"/>
  <c r="H171" i="31"/>
  <c r="H170" i="31"/>
  <c r="H169" i="31"/>
  <c r="H168" i="31"/>
  <c r="H167" i="31"/>
  <c r="H166" i="31"/>
  <c r="H164" i="31"/>
  <c r="H163" i="31"/>
  <c r="H162" i="31"/>
  <c r="H161" i="31"/>
  <c r="H160" i="31"/>
  <c r="H159" i="31"/>
  <c r="H157" i="31"/>
  <c r="H156" i="31"/>
  <c r="H155" i="31"/>
  <c r="H154" i="31"/>
  <c r="H153" i="31"/>
  <c r="H152" i="31"/>
  <c r="H150" i="31"/>
  <c r="H149" i="31"/>
  <c r="H148" i="31"/>
  <c r="H147" i="31"/>
  <c r="H146" i="31"/>
  <c r="H145" i="31"/>
  <c r="H143" i="31"/>
  <c r="H142" i="31"/>
  <c r="H141" i="31"/>
  <c r="H140" i="31"/>
  <c r="H139" i="31"/>
  <c r="H138" i="31"/>
  <c r="H136" i="31"/>
  <c r="H135" i="31"/>
  <c r="H134" i="31"/>
  <c r="H133" i="31"/>
  <c r="H132" i="31"/>
  <c r="H131" i="31"/>
  <c r="H129" i="31"/>
  <c r="H128" i="31"/>
  <c r="H127" i="31"/>
  <c r="H126" i="31"/>
  <c r="H125" i="31"/>
  <c r="H124" i="31"/>
  <c r="H122" i="31"/>
  <c r="H121" i="31"/>
  <c r="H120" i="31"/>
  <c r="H119" i="31"/>
  <c r="H118" i="31"/>
  <c r="H117" i="31"/>
  <c r="H115" i="31"/>
  <c r="H114" i="31"/>
  <c r="H113" i="31"/>
  <c r="H112" i="31"/>
  <c r="H111" i="31"/>
  <c r="H110" i="31"/>
  <c r="H108" i="31"/>
  <c r="H107" i="31"/>
  <c r="H106" i="31"/>
  <c r="H105" i="31"/>
  <c r="H104" i="31"/>
  <c r="H103" i="31"/>
  <c r="H101" i="31"/>
  <c r="H100" i="31"/>
  <c r="H99" i="31"/>
  <c r="H98" i="31"/>
  <c r="H97" i="31"/>
  <c r="H96" i="31"/>
  <c r="H94" i="31"/>
  <c r="H93" i="31"/>
  <c r="H92" i="31"/>
  <c r="H91" i="31"/>
  <c r="H90" i="31"/>
  <c r="H89" i="31"/>
  <c r="H87" i="31"/>
  <c r="H86" i="31"/>
  <c r="H85" i="31"/>
  <c r="H84" i="31"/>
  <c r="H83" i="31"/>
  <c r="H82" i="31"/>
  <c r="H80" i="31"/>
  <c r="H79" i="31"/>
  <c r="H78" i="31"/>
  <c r="H77" i="31"/>
  <c r="H76" i="31"/>
  <c r="H75" i="31"/>
  <c r="H73" i="31"/>
  <c r="H72" i="31"/>
  <c r="H71" i="31"/>
  <c r="H70" i="31"/>
  <c r="H69" i="31"/>
  <c r="H68" i="31"/>
  <c r="H66" i="31"/>
  <c r="H65" i="31"/>
  <c r="H64" i="31"/>
  <c r="H63" i="31"/>
  <c r="H62" i="31"/>
  <c r="H61" i="31"/>
  <c r="H59" i="31"/>
  <c r="H58" i="31"/>
  <c r="H57" i="31"/>
  <c r="H56" i="31"/>
  <c r="H55" i="31"/>
  <c r="H54" i="31"/>
  <c r="H52" i="31"/>
  <c r="H51" i="31"/>
  <c r="H50" i="31"/>
  <c r="H49" i="31"/>
  <c r="H48" i="31"/>
  <c r="H47" i="31"/>
  <c r="H45" i="31"/>
  <c r="H44" i="31"/>
  <c r="H43" i="31"/>
  <c r="H42" i="31"/>
  <c r="H41" i="31"/>
  <c r="H40" i="31"/>
  <c r="H38" i="31"/>
  <c r="H37" i="31"/>
  <c r="H36" i="31"/>
  <c r="H35" i="31"/>
  <c r="H34" i="31"/>
  <c r="H33" i="31"/>
  <c r="H31" i="31"/>
  <c r="H30" i="31"/>
  <c r="H29" i="31"/>
  <c r="H28" i="31"/>
  <c r="H26" i="31"/>
  <c r="H19" i="31"/>
  <c r="H206" i="32"/>
  <c r="H205" i="32"/>
  <c r="H204" i="32"/>
  <c r="H203" i="32"/>
  <c r="H202" i="32"/>
  <c r="H201" i="32"/>
  <c r="H199" i="32"/>
  <c r="H198" i="32"/>
  <c r="H197" i="32"/>
  <c r="H196" i="32"/>
  <c r="H195" i="32"/>
  <c r="H194" i="32"/>
  <c r="H192" i="32"/>
  <c r="H191" i="32"/>
  <c r="H190" i="32"/>
  <c r="H189" i="32"/>
  <c r="H188" i="32"/>
  <c r="H187" i="32"/>
  <c r="H185" i="32"/>
  <c r="H184" i="32"/>
  <c r="H183" i="32"/>
  <c r="H182" i="32"/>
  <c r="H181" i="32"/>
  <c r="H180" i="32"/>
  <c r="H178" i="32"/>
  <c r="H177" i="32"/>
  <c r="H176" i="32"/>
  <c r="H175" i="32"/>
  <c r="H174" i="32"/>
  <c r="H173" i="32"/>
  <c r="H171" i="32"/>
  <c r="H170" i="32"/>
  <c r="H169" i="32"/>
  <c r="H168" i="32"/>
  <c r="H167" i="32"/>
  <c r="H166" i="32"/>
  <c r="H164" i="32"/>
  <c r="H163" i="32"/>
  <c r="H162" i="32"/>
  <c r="H161" i="32"/>
  <c r="H160" i="32"/>
  <c r="H159" i="32"/>
  <c r="H157" i="32"/>
  <c r="H156" i="32"/>
  <c r="H155" i="32"/>
  <c r="H154" i="32"/>
  <c r="H153" i="32"/>
  <c r="H152" i="32"/>
  <c r="H150" i="32"/>
  <c r="H149" i="32"/>
  <c r="H148" i="32"/>
  <c r="H147" i="32"/>
  <c r="H146" i="32"/>
  <c r="H145" i="32"/>
  <c r="H143" i="32"/>
  <c r="H142" i="32"/>
  <c r="H141" i="32"/>
  <c r="H140" i="32"/>
  <c r="H139" i="32"/>
  <c r="H138" i="32"/>
  <c r="H136" i="32"/>
  <c r="H135" i="32"/>
  <c r="H134" i="32"/>
  <c r="H133" i="32"/>
  <c r="H132" i="32"/>
  <c r="H131" i="32"/>
  <c r="H129" i="32"/>
  <c r="H128" i="32"/>
  <c r="H127" i="32"/>
  <c r="H126" i="32"/>
  <c r="H125" i="32"/>
  <c r="H124" i="32"/>
  <c r="H122" i="32"/>
  <c r="H121" i="32"/>
  <c r="H120" i="32"/>
  <c r="H119" i="32"/>
  <c r="H118" i="32"/>
  <c r="H117" i="32"/>
  <c r="H115" i="32"/>
  <c r="H114" i="32"/>
  <c r="H113" i="32"/>
  <c r="H112" i="32"/>
  <c r="H111" i="32"/>
  <c r="H110" i="32"/>
  <c r="H108" i="32"/>
  <c r="H107" i="32"/>
  <c r="H106" i="32"/>
  <c r="H105" i="32"/>
  <c r="H104" i="32"/>
  <c r="H103" i="32"/>
  <c r="H101" i="32"/>
  <c r="H100" i="32"/>
  <c r="H99" i="32"/>
  <c r="H98" i="32"/>
  <c r="H97" i="32"/>
  <c r="H96" i="32"/>
  <c r="H94" i="32"/>
  <c r="H93" i="32"/>
  <c r="H92" i="32"/>
  <c r="H91" i="32"/>
  <c r="H90" i="32"/>
  <c r="H89" i="32"/>
  <c r="H87" i="32"/>
  <c r="H86" i="32"/>
  <c r="H85" i="32"/>
  <c r="H84" i="32"/>
  <c r="H83" i="32"/>
  <c r="H82" i="32"/>
  <c r="H80" i="32"/>
  <c r="H79" i="32"/>
  <c r="H78" i="32"/>
  <c r="H77" i="32"/>
  <c r="H76" i="32"/>
  <c r="H75" i="32"/>
  <c r="H73" i="32"/>
  <c r="H72" i="32"/>
  <c r="H71" i="32"/>
  <c r="H70" i="32"/>
  <c r="H69" i="32"/>
  <c r="H68" i="32"/>
  <c r="H66" i="32"/>
  <c r="H65" i="32"/>
  <c r="H64" i="32"/>
  <c r="H63" i="32"/>
  <c r="H62" i="32"/>
  <c r="H61" i="32"/>
  <c r="H59" i="32"/>
  <c r="H58" i="32"/>
  <c r="H57" i="32"/>
  <c r="H56" i="32"/>
  <c r="H55" i="32"/>
  <c r="H54" i="32"/>
  <c r="H52" i="32"/>
  <c r="H51" i="32"/>
  <c r="H50" i="32"/>
  <c r="H49" i="32"/>
  <c r="H48" i="32"/>
  <c r="H47" i="32"/>
  <c r="H45" i="32"/>
  <c r="H44" i="32"/>
  <c r="H43" i="32"/>
  <c r="H42" i="32"/>
  <c r="H41" i="32"/>
  <c r="H40" i="32"/>
  <c r="H38" i="32"/>
  <c r="H37" i="32"/>
  <c r="H36" i="32"/>
  <c r="H35" i="32"/>
  <c r="H34" i="32"/>
  <c r="H33" i="32"/>
  <c r="H31" i="32"/>
  <c r="H30" i="32"/>
  <c r="H29" i="32"/>
  <c r="H28" i="32"/>
  <c r="H27" i="32"/>
  <c r="H26" i="32"/>
  <c r="H24" i="32"/>
  <c r="H23" i="32"/>
  <c r="H22" i="32"/>
  <c r="H17" i="32"/>
  <c r="H10" i="32"/>
  <c r="E208" i="73"/>
  <c r="E207" i="73"/>
  <c r="E206" i="73"/>
  <c r="E205" i="73"/>
  <c r="E204" i="73"/>
  <c r="E203" i="73"/>
  <c r="E201" i="73"/>
  <c r="E200" i="73"/>
  <c r="E199" i="73"/>
  <c r="E198" i="73"/>
  <c r="E197" i="73"/>
  <c r="E196" i="73"/>
  <c r="E194" i="73"/>
  <c r="E193" i="73"/>
  <c r="E192" i="73"/>
  <c r="E191" i="73"/>
  <c r="E190" i="73"/>
  <c r="E189" i="73"/>
  <c r="E187" i="73"/>
  <c r="E186" i="73"/>
  <c r="E185" i="73"/>
  <c r="E184" i="73"/>
  <c r="E183" i="73"/>
  <c r="E182" i="73"/>
  <c r="E180" i="73"/>
  <c r="E179" i="73"/>
  <c r="E178" i="73"/>
  <c r="E177" i="73"/>
  <c r="E176" i="73"/>
  <c r="E175" i="73"/>
  <c r="E173" i="73"/>
  <c r="E172" i="73"/>
  <c r="E171" i="73"/>
  <c r="E170" i="73"/>
  <c r="E169" i="73"/>
  <c r="E168" i="73"/>
  <c r="E166" i="73"/>
  <c r="E165" i="73"/>
  <c r="E164" i="73"/>
  <c r="E163" i="73"/>
  <c r="E162" i="73"/>
  <c r="E161" i="73"/>
  <c r="E159" i="73"/>
  <c r="E158" i="73"/>
  <c r="E157" i="73"/>
  <c r="E156" i="73"/>
  <c r="E155" i="73"/>
  <c r="E154" i="73"/>
  <c r="E152" i="73"/>
  <c r="E151" i="73"/>
  <c r="E150" i="73"/>
  <c r="E149" i="73"/>
  <c r="E148" i="73"/>
  <c r="E147" i="73"/>
  <c r="E145" i="73"/>
  <c r="E144" i="73"/>
  <c r="E143" i="73"/>
  <c r="E142" i="73"/>
  <c r="E141" i="73"/>
  <c r="E140" i="73"/>
  <c r="E138" i="73"/>
  <c r="E137" i="73"/>
  <c r="E136" i="73"/>
  <c r="E135" i="73"/>
  <c r="E134" i="73"/>
  <c r="E133" i="73"/>
  <c r="E131" i="73"/>
  <c r="E130" i="73"/>
  <c r="E129" i="73"/>
  <c r="E128" i="73"/>
  <c r="E127" i="73"/>
  <c r="E126" i="73"/>
  <c r="E124" i="73"/>
  <c r="E123" i="73"/>
  <c r="E122" i="73"/>
  <c r="E121" i="73"/>
  <c r="E120" i="73"/>
  <c r="E119" i="73"/>
  <c r="E117" i="73"/>
  <c r="E116" i="73"/>
  <c r="E115" i="73"/>
  <c r="E114" i="73"/>
  <c r="E113" i="73"/>
  <c r="E112" i="73"/>
  <c r="E110" i="73"/>
  <c r="E109" i="73"/>
  <c r="E108" i="73"/>
  <c r="E107" i="73"/>
  <c r="E106" i="73"/>
  <c r="E105" i="73"/>
  <c r="E103" i="73"/>
  <c r="E102" i="73"/>
  <c r="E101" i="73"/>
  <c r="E100" i="73"/>
  <c r="E99" i="73"/>
  <c r="E98" i="73"/>
  <c r="E96" i="73"/>
  <c r="E95" i="73"/>
  <c r="E94" i="73"/>
  <c r="E93" i="73"/>
  <c r="E92" i="73"/>
  <c r="E91" i="73"/>
  <c r="E89" i="73"/>
  <c r="E88" i="73"/>
  <c r="E87" i="73"/>
  <c r="E86" i="73"/>
  <c r="E85" i="73"/>
  <c r="E84" i="73"/>
  <c r="E82" i="73"/>
  <c r="E81" i="73"/>
  <c r="E80" i="73"/>
  <c r="E79" i="73"/>
  <c r="E78" i="73"/>
  <c r="E77" i="73"/>
  <c r="E75" i="73"/>
  <c r="E74" i="73"/>
  <c r="E73" i="73"/>
  <c r="E72" i="73"/>
  <c r="E71" i="73"/>
  <c r="E70" i="73"/>
  <c r="E68" i="73"/>
  <c r="E67" i="73"/>
  <c r="E66" i="73"/>
  <c r="E65" i="73"/>
  <c r="E64" i="73"/>
  <c r="E63" i="73"/>
  <c r="E61" i="73"/>
  <c r="E60" i="73"/>
  <c r="E59" i="73"/>
  <c r="E58" i="73"/>
  <c r="E57" i="73"/>
  <c r="E56" i="73"/>
  <c r="E54" i="73"/>
  <c r="E53" i="73"/>
  <c r="E52" i="73"/>
  <c r="E51" i="73"/>
  <c r="E50" i="73"/>
  <c r="E49" i="73"/>
  <c r="E47" i="73"/>
  <c r="E46" i="73"/>
  <c r="E45" i="73"/>
  <c r="E44" i="73"/>
  <c r="E43" i="73"/>
  <c r="E42" i="73"/>
  <c r="E40" i="73"/>
  <c r="E39" i="73"/>
  <c r="E38" i="73"/>
  <c r="E37" i="73"/>
  <c r="E36" i="73"/>
  <c r="E35" i="73"/>
  <c r="E33" i="73"/>
  <c r="E32" i="73"/>
  <c r="E31" i="73"/>
  <c r="E30" i="73"/>
  <c r="E29" i="73"/>
  <c r="E28" i="73"/>
  <c r="E26" i="73"/>
  <c r="E25" i="73"/>
  <c r="E24" i="73"/>
  <c r="E23" i="73"/>
  <c r="E22" i="73"/>
  <c r="E21" i="73"/>
  <c r="E19" i="73"/>
  <c r="E18" i="73"/>
  <c r="E17" i="73"/>
  <c r="E12" i="73"/>
  <c r="H208" i="73"/>
  <c r="H207" i="73"/>
  <c r="H206" i="73"/>
  <c r="H205" i="73"/>
  <c r="H204" i="73"/>
  <c r="H203" i="73"/>
  <c r="H201" i="73"/>
  <c r="H200" i="73"/>
  <c r="H199" i="73"/>
  <c r="H198" i="73"/>
  <c r="H197" i="73"/>
  <c r="H196" i="73"/>
  <c r="H194" i="73"/>
  <c r="H193" i="73"/>
  <c r="H192" i="73"/>
  <c r="H191" i="73"/>
  <c r="H190" i="73"/>
  <c r="H189" i="73"/>
  <c r="H187" i="73"/>
  <c r="H186" i="73"/>
  <c r="H185" i="73"/>
  <c r="H184" i="73"/>
  <c r="H183" i="73"/>
  <c r="H182" i="73"/>
  <c r="H180" i="73"/>
  <c r="H179" i="73"/>
  <c r="H178" i="73"/>
  <c r="H177" i="73"/>
  <c r="H176" i="73"/>
  <c r="H175" i="73"/>
  <c r="H173" i="73"/>
  <c r="H172" i="73"/>
  <c r="H171" i="73"/>
  <c r="H170" i="73"/>
  <c r="H169" i="73"/>
  <c r="H168" i="73"/>
  <c r="H166" i="73"/>
  <c r="H165" i="73"/>
  <c r="H164" i="73"/>
  <c r="H163" i="73"/>
  <c r="H162" i="73"/>
  <c r="H161" i="73"/>
  <c r="H159" i="73"/>
  <c r="H158" i="73"/>
  <c r="H157" i="73"/>
  <c r="H156" i="73"/>
  <c r="H155" i="73"/>
  <c r="H154" i="73"/>
  <c r="H152" i="73"/>
  <c r="H151" i="73"/>
  <c r="H150" i="73"/>
  <c r="H149" i="73"/>
  <c r="H148" i="73"/>
  <c r="H147" i="73"/>
  <c r="H145" i="73"/>
  <c r="H144" i="73"/>
  <c r="H143" i="73"/>
  <c r="H142" i="73"/>
  <c r="H141" i="73"/>
  <c r="H140" i="73"/>
  <c r="H138" i="73"/>
  <c r="H137" i="73"/>
  <c r="H136" i="73"/>
  <c r="H135" i="73"/>
  <c r="H134" i="73"/>
  <c r="H133" i="73"/>
  <c r="H131" i="73"/>
  <c r="H130" i="73"/>
  <c r="H129" i="73"/>
  <c r="H128" i="73"/>
  <c r="H127" i="73"/>
  <c r="H126" i="73"/>
  <c r="H124" i="73"/>
  <c r="H123" i="73"/>
  <c r="H122" i="73"/>
  <c r="H121" i="73"/>
  <c r="H120" i="73"/>
  <c r="H119" i="73"/>
  <c r="H117" i="73"/>
  <c r="H116" i="73"/>
  <c r="H115" i="73"/>
  <c r="H114" i="73"/>
  <c r="H113" i="73"/>
  <c r="H112" i="73"/>
  <c r="H110" i="73"/>
  <c r="H109" i="73"/>
  <c r="H108" i="73"/>
  <c r="H107" i="73"/>
  <c r="H106" i="73"/>
  <c r="H105" i="73"/>
  <c r="H103" i="73"/>
  <c r="H102" i="73"/>
  <c r="H101" i="73"/>
  <c r="H100" i="73"/>
  <c r="H99" i="73"/>
  <c r="H98" i="73"/>
  <c r="H96" i="73"/>
  <c r="H95" i="73"/>
  <c r="H94" i="73"/>
  <c r="H93" i="73"/>
  <c r="H92" i="73"/>
  <c r="H91" i="73"/>
  <c r="H89" i="73"/>
  <c r="H88" i="73"/>
  <c r="H87" i="73"/>
  <c r="H86" i="73"/>
  <c r="H85" i="73"/>
  <c r="H84" i="73"/>
  <c r="H82" i="73"/>
  <c r="H81" i="73"/>
  <c r="H80" i="73"/>
  <c r="H79" i="73"/>
  <c r="H78" i="73"/>
  <c r="H77" i="73"/>
  <c r="H75" i="73"/>
  <c r="H74" i="73"/>
  <c r="H73" i="73"/>
  <c r="H72" i="73"/>
  <c r="H71" i="73"/>
  <c r="H70" i="73"/>
  <c r="H68" i="73"/>
  <c r="H67" i="73"/>
  <c r="H66" i="73"/>
  <c r="H65" i="73"/>
  <c r="H64" i="73"/>
  <c r="H63" i="73"/>
  <c r="H61" i="73"/>
  <c r="H60" i="73"/>
  <c r="H59" i="73"/>
  <c r="H58" i="73"/>
  <c r="H57" i="73"/>
  <c r="H56" i="73"/>
  <c r="H54" i="73"/>
  <c r="H53" i="73"/>
  <c r="H52" i="73"/>
  <c r="H51" i="73"/>
  <c r="H50" i="73"/>
  <c r="H49" i="73"/>
  <c r="H47" i="73"/>
  <c r="H46" i="73"/>
  <c r="H45" i="73"/>
  <c r="H44" i="73"/>
  <c r="H43" i="73"/>
  <c r="H42" i="73"/>
  <c r="H40" i="73"/>
  <c r="H39" i="73"/>
  <c r="H38" i="73"/>
  <c r="H37" i="73"/>
  <c r="H36" i="73"/>
  <c r="H35" i="73"/>
  <c r="H33" i="73"/>
  <c r="H32" i="73"/>
  <c r="H31" i="73"/>
  <c r="H30" i="73"/>
  <c r="H29" i="73"/>
  <c r="H28" i="73"/>
  <c r="H26" i="73"/>
  <c r="H25" i="73"/>
  <c r="H24" i="73"/>
  <c r="H23" i="73"/>
  <c r="H22" i="73"/>
  <c r="H21" i="73"/>
  <c r="H19" i="73"/>
  <c r="H18" i="73"/>
  <c r="H17" i="73"/>
  <c r="H12" i="73"/>
  <c r="E206" i="77"/>
  <c r="E205" i="77"/>
  <c r="E204" i="77"/>
  <c r="E203" i="77"/>
  <c r="E202" i="77"/>
  <c r="E201" i="77"/>
  <c r="E199" i="77"/>
  <c r="E198" i="77"/>
  <c r="E197" i="77"/>
  <c r="E196" i="77"/>
  <c r="E195" i="77"/>
  <c r="E194" i="77"/>
  <c r="E192" i="77"/>
  <c r="E191" i="77"/>
  <c r="E190" i="77"/>
  <c r="E189" i="77"/>
  <c r="E188" i="77"/>
  <c r="E187" i="77"/>
  <c r="E185" i="77"/>
  <c r="E184" i="77"/>
  <c r="E183" i="77"/>
  <c r="E182" i="77"/>
  <c r="E181" i="77"/>
  <c r="E180" i="77"/>
  <c r="E178" i="77"/>
  <c r="E177" i="77"/>
  <c r="E176" i="77"/>
  <c r="E175" i="77"/>
  <c r="E174" i="77"/>
  <c r="E173" i="77"/>
  <c r="E171" i="77"/>
  <c r="E170" i="77"/>
  <c r="E169" i="77"/>
  <c r="E168" i="77"/>
  <c r="E167" i="77"/>
  <c r="E166" i="77"/>
  <c r="E164" i="77"/>
  <c r="E163" i="77"/>
  <c r="E162" i="77"/>
  <c r="E161" i="77"/>
  <c r="E160" i="77"/>
  <c r="E159" i="77"/>
  <c r="E157" i="77"/>
  <c r="E156" i="77"/>
  <c r="E155" i="77"/>
  <c r="E154" i="77"/>
  <c r="E153" i="77"/>
  <c r="E152" i="77"/>
  <c r="E150" i="77"/>
  <c r="E149" i="77"/>
  <c r="E148" i="77"/>
  <c r="E147" i="77"/>
  <c r="E146" i="77"/>
  <c r="E145" i="77"/>
  <c r="E143" i="77"/>
  <c r="E142" i="77"/>
  <c r="E141" i="77"/>
  <c r="E140" i="77"/>
  <c r="E139" i="77"/>
  <c r="E138" i="77"/>
  <c r="E136" i="77"/>
  <c r="E135" i="77"/>
  <c r="E134" i="77"/>
  <c r="E133" i="77"/>
  <c r="E132" i="77"/>
  <c r="E131" i="77"/>
  <c r="E129" i="77"/>
  <c r="E128" i="77"/>
  <c r="E127" i="77"/>
  <c r="E126" i="77"/>
  <c r="E125" i="77"/>
  <c r="E124" i="77"/>
  <c r="E122" i="77"/>
  <c r="E121" i="77"/>
  <c r="E120" i="77"/>
  <c r="E119" i="77"/>
  <c r="E118" i="77"/>
  <c r="E117" i="77"/>
  <c r="E115" i="77"/>
  <c r="E114" i="77"/>
  <c r="E113" i="77"/>
  <c r="E112" i="77"/>
  <c r="E111" i="77"/>
  <c r="E110" i="77"/>
  <c r="E108" i="77"/>
  <c r="E107" i="77"/>
  <c r="E106" i="77"/>
  <c r="E105" i="77"/>
  <c r="E104" i="77"/>
  <c r="E103" i="77"/>
  <c r="E101" i="77"/>
  <c r="E100" i="77"/>
  <c r="E99" i="77"/>
  <c r="E98" i="77"/>
  <c r="E97" i="77"/>
  <c r="E96" i="77"/>
  <c r="E94" i="77"/>
  <c r="E93" i="77"/>
  <c r="E92" i="77"/>
  <c r="E91" i="77"/>
  <c r="E90" i="77"/>
  <c r="E89" i="77"/>
  <c r="E87" i="77"/>
  <c r="E86" i="77"/>
  <c r="E85" i="77"/>
  <c r="E84" i="77"/>
  <c r="E83" i="77"/>
  <c r="E82" i="77"/>
  <c r="E80" i="77"/>
  <c r="E79" i="77"/>
  <c r="E78" i="77"/>
  <c r="E77" i="77"/>
  <c r="E76" i="77"/>
  <c r="E75" i="77"/>
  <c r="E73" i="77"/>
  <c r="E72" i="77"/>
  <c r="E71" i="77"/>
  <c r="E70" i="77"/>
  <c r="E69" i="77"/>
  <c r="E68" i="77"/>
  <c r="E66" i="77"/>
  <c r="E65" i="77"/>
  <c r="E64" i="77"/>
  <c r="E63" i="77"/>
  <c r="E62" i="77"/>
  <c r="E61" i="77"/>
  <c r="E59" i="77"/>
  <c r="E58" i="77"/>
  <c r="E57" i="77"/>
  <c r="E56" i="77"/>
  <c r="E55" i="77"/>
  <c r="E54" i="77"/>
  <c r="E52" i="77"/>
  <c r="E51" i="77"/>
  <c r="E50" i="77"/>
  <c r="E49" i="77"/>
  <c r="E48" i="77"/>
  <c r="E47" i="77"/>
  <c r="E45" i="77"/>
  <c r="E44" i="77"/>
  <c r="E43" i="77"/>
  <c r="E42" i="77"/>
  <c r="E41" i="77"/>
  <c r="E40" i="77"/>
  <c r="E38" i="77"/>
  <c r="E37" i="77"/>
  <c r="E36" i="77"/>
  <c r="E35" i="77"/>
  <c r="E34" i="77"/>
  <c r="E33" i="77"/>
  <c r="E31" i="77"/>
  <c r="E30" i="77"/>
  <c r="E206" i="78"/>
  <c r="E205" i="78"/>
  <c r="E204" i="78"/>
  <c r="E203" i="78"/>
  <c r="E202" i="78"/>
  <c r="E201" i="78"/>
  <c r="E199" i="78"/>
  <c r="E198" i="78"/>
  <c r="E197" i="78"/>
  <c r="E196" i="78"/>
  <c r="E195" i="78"/>
  <c r="E194" i="78"/>
  <c r="E192" i="78"/>
  <c r="E191" i="78"/>
  <c r="E190" i="78"/>
  <c r="E189" i="78"/>
  <c r="E188" i="78"/>
  <c r="E187" i="78"/>
  <c r="E185" i="78"/>
  <c r="E184" i="78"/>
  <c r="E183" i="78"/>
  <c r="E182" i="78"/>
  <c r="E181" i="78"/>
  <c r="E180" i="78"/>
  <c r="E178" i="78"/>
  <c r="E177" i="78"/>
  <c r="E176" i="78"/>
  <c r="E175" i="78"/>
  <c r="E174" i="78"/>
  <c r="E173" i="78"/>
  <c r="E171" i="78"/>
  <c r="E170" i="78"/>
  <c r="E169" i="78"/>
  <c r="E168" i="78"/>
  <c r="E167" i="78"/>
  <c r="E166" i="78"/>
  <c r="E164" i="78"/>
  <c r="E163" i="78"/>
  <c r="E162" i="78"/>
  <c r="E161" i="78"/>
  <c r="E160" i="78"/>
  <c r="E159" i="78"/>
  <c r="E157" i="78"/>
  <c r="E156" i="78"/>
  <c r="E155" i="78"/>
  <c r="E154" i="78"/>
  <c r="E153" i="78"/>
  <c r="E152" i="78"/>
  <c r="E150" i="78"/>
  <c r="E149" i="78"/>
  <c r="E148" i="78"/>
  <c r="E147" i="78"/>
  <c r="E146" i="78"/>
  <c r="E145" i="78"/>
  <c r="E143" i="78"/>
  <c r="E142" i="78"/>
  <c r="E141" i="78"/>
  <c r="E140" i="78"/>
  <c r="E139" i="78"/>
  <c r="E138" i="78"/>
  <c r="E136" i="78"/>
  <c r="E135" i="78"/>
  <c r="E134" i="78"/>
  <c r="E133" i="78"/>
  <c r="E132" i="78"/>
  <c r="E131" i="78"/>
  <c r="E129" i="78"/>
  <c r="E128" i="78"/>
  <c r="E127" i="78"/>
  <c r="E126" i="78"/>
  <c r="E125" i="78"/>
  <c r="E124" i="78"/>
  <c r="E122" i="78"/>
  <c r="E121" i="78"/>
  <c r="E120" i="78"/>
  <c r="E119" i="78"/>
  <c r="E118" i="78"/>
  <c r="E117" i="78"/>
  <c r="E115" i="78"/>
  <c r="E114" i="78"/>
  <c r="E113" i="78"/>
  <c r="E112" i="78"/>
  <c r="E111" i="78"/>
  <c r="E110" i="78"/>
  <c r="E108" i="78"/>
  <c r="E107" i="78"/>
  <c r="E106" i="78"/>
  <c r="E105" i="78"/>
  <c r="E104" i="78"/>
  <c r="E103" i="78"/>
  <c r="E101" i="78"/>
  <c r="E100" i="78"/>
  <c r="E99" i="78"/>
  <c r="E98" i="78"/>
  <c r="E97" i="78"/>
  <c r="E96" i="78"/>
  <c r="E94" i="78"/>
  <c r="E93" i="78"/>
  <c r="E92" i="78"/>
  <c r="E91" i="78"/>
  <c r="E90" i="78"/>
  <c r="E89" i="78"/>
  <c r="E87" i="78"/>
  <c r="E86" i="78"/>
  <c r="E85" i="78"/>
  <c r="E84" i="78"/>
  <c r="E83" i="78"/>
  <c r="E82" i="78"/>
  <c r="E80" i="78"/>
  <c r="E79" i="78"/>
  <c r="E78" i="78"/>
  <c r="E77" i="78"/>
  <c r="E76" i="78"/>
  <c r="E75" i="78"/>
  <c r="E73" i="78"/>
  <c r="E72" i="78"/>
  <c r="E71" i="78"/>
  <c r="E70" i="78"/>
  <c r="E69" i="78"/>
  <c r="E68" i="78"/>
  <c r="E66" i="78"/>
  <c r="E65" i="78"/>
  <c r="E64" i="78"/>
  <c r="E63" i="78"/>
  <c r="E62" i="78"/>
  <c r="E61" i="78"/>
  <c r="E59" i="78"/>
  <c r="E58" i="78"/>
  <c r="E57" i="78"/>
  <c r="E56" i="78"/>
  <c r="E55" i="78"/>
  <c r="E54" i="78"/>
  <c r="E52" i="78"/>
  <c r="E51" i="78"/>
  <c r="E50" i="78"/>
  <c r="E49" i="78"/>
  <c r="E48" i="78"/>
  <c r="E47" i="78"/>
  <c r="E45" i="78"/>
  <c r="E44" i="78"/>
  <c r="E43" i="78"/>
  <c r="E42" i="78"/>
  <c r="E41" i="78"/>
  <c r="E40" i="78"/>
  <c r="E38" i="78"/>
  <c r="E37" i="78"/>
  <c r="E36" i="78"/>
  <c r="E35" i="78"/>
  <c r="E34" i="78"/>
  <c r="E33" i="78"/>
  <c r="E31" i="78"/>
  <c r="E30" i="78"/>
  <c r="E29" i="78"/>
  <c r="E28" i="78"/>
  <c r="E27" i="78"/>
  <c r="E26" i="78"/>
  <c r="E24" i="78"/>
  <c r="E23" i="78"/>
  <c r="E22" i="78"/>
  <c r="E21" i="78"/>
  <c r="E20" i="78"/>
  <c r="E19" i="78"/>
  <c r="E17" i="78"/>
  <c r="E16" i="78"/>
  <c r="E15" i="78"/>
  <c r="E14" i="78"/>
  <c r="E13" i="78"/>
  <c r="E12" i="78"/>
  <c r="H206" i="77"/>
  <c r="H205" i="77"/>
  <c r="H204" i="77"/>
  <c r="H203" i="77"/>
  <c r="H202" i="77"/>
  <c r="H201" i="77"/>
  <c r="H199" i="77"/>
  <c r="H198" i="77"/>
  <c r="H197" i="77"/>
  <c r="H196" i="77"/>
  <c r="H195" i="77"/>
  <c r="H194" i="77"/>
  <c r="H192" i="77"/>
  <c r="H191" i="77"/>
  <c r="H190" i="77"/>
  <c r="H189" i="77"/>
  <c r="H188" i="77"/>
  <c r="H187" i="77"/>
  <c r="H185" i="77"/>
  <c r="H184" i="77"/>
  <c r="H183" i="77"/>
  <c r="H182" i="77"/>
  <c r="H181" i="77"/>
  <c r="H180" i="77"/>
  <c r="H178" i="77"/>
  <c r="H177" i="77"/>
  <c r="H176" i="77"/>
  <c r="H175" i="77"/>
  <c r="H174" i="77"/>
  <c r="H173" i="77"/>
  <c r="H171" i="77"/>
  <c r="H170" i="77"/>
  <c r="H169" i="77"/>
  <c r="H168" i="77"/>
  <c r="H167" i="77"/>
  <c r="H166" i="77"/>
  <c r="H164" i="77"/>
  <c r="H163" i="77"/>
  <c r="H162" i="77"/>
  <c r="H161" i="77"/>
  <c r="H160" i="77"/>
  <c r="H159" i="77"/>
  <c r="H157" i="77"/>
  <c r="H156" i="77"/>
  <c r="H155" i="77"/>
  <c r="H154" i="77"/>
  <c r="H153" i="77"/>
  <c r="H152" i="77"/>
  <c r="H150" i="77"/>
  <c r="H149" i="77"/>
  <c r="H148" i="77"/>
  <c r="H147" i="77"/>
  <c r="H146" i="77"/>
  <c r="H145" i="77"/>
  <c r="H143" i="77"/>
  <c r="H142" i="77"/>
  <c r="H141" i="77"/>
  <c r="H140" i="77"/>
  <c r="H139" i="77"/>
  <c r="H138" i="77"/>
  <c r="H136" i="77"/>
  <c r="H135" i="77"/>
  <c r="H134" i="77"/>
  <c r="H133" i="77"/>
  <c r="H132" i="77"/>
  <c r="H131" i="77"/>
  <c r="H129" i="77"/>
  <c r="H128" i="77"/>
  <c r="H127" i="77"/>
  <c r="H126" i="77"/>
  <c r="H125" i="77"/>
  <c r="H124" i="77"/>
  <c r="H122" i="77"/>
  <c r="H121" i="77"/>
  <c r="H120" i="77"/>
  <c r="H119" i="77"/>
  <c r="H118" i="77"/>
  <c r="H117" i="77"/>
  <c r="H115" i="77"/>
  <c r="H114" i="77"/>
  <c r="H113" i="77"/>
  <c r="H112" i="77"/>
  <c r="H111" i="77"/>
  <c r="H110" i="77"/>
  <c r="H108" i="77"/>
  <c r="H107" i="77"/>
  <c r="H106" i="77"/>
  <c r="H105" i="77"/>
  <c r="H104" i="77"/>
  <c r="H103" i="77"/>
  <c r="H101" i="77"/>
  <c r="H100" i="77"/>
  <c r="H99" i="77"/>
  <c r="H98" i="77"/>
  <c r="H97" i="77"/>
  <c r="H96" i="77"/>
  <c r="H94" i="77"/>
  <c r="H93" i="77"/>
  <c r="H92" i="77"/>
  <c r="H91" i="77"/>
  <c r="H90" i="77"/>
  <c r="H89" i="77"/>
  <c r="H87" i="77"/>
  <c r="H86" i="77"/>
  <c r="H85" i="77"/>
  <c r="H84" i="77"/>
  <c r="H83" i="77"/>
  <c r="H82" i="77"/>
  <c r="H80" i="77"/>
  <c r="H79" i="77"/>
  <c r="H78" i="77"/>
  <c r="H77" i="77"/>
  <c r="H76" i="77"/>
  <c r="H75" i="77"/>
  <c r="H73" i="77"/>
  <c r="H72" i="77"/>
  <c r="H71" i="77"/>
  <c r="H70" i="77"/>
  <c r="H69" i="77"/>
  <c r="H68" i="77"/>
  <c r="H66" i="77"/>
  <c r="H65" i="77"/>
  <c r="H64" i="77"/>
  <c r="H63" i="77"/>
  <c r="H62" i="77"/>
  <c r="H61" i="77"/>
  <c r="H59" i="77"/>
  <c r="H58" i="77"/>
  <c r="H57" i="77"/>
  <c r="H56" i="77"/>
  <c r="H55" i="77"/>
  <c r="H54" i="77"/>
  <c r="H52" i="77"/>
  <c r="H51" i="77"/>
  <c r="H50" i="77"/>
  <c r="H49" i="77"/>
  <c r="H48" i="77"/>
  <c r="H47" i="77"/>
  <c r="H45" i="77"/>
  <c r="H44" i="77"/>
  <c r="H43" i="77"/>
  <c r="H42" i="77"/>
  <c r="H41" i="77"/>
  <c r="H40" i="77"/>
  <c r="H38" i="77"/>
  <c r="H37" i="77"/>
  <c r="H36" i="77"/>
  <c r="H35" i="77"/>
  <c r="H34" i="77"/>
  <c r="H33" i="77"/>
  <c r="H31" i="77"/>
  <c r="H30" i="77"/>
  <c r="H206" i="78"/>
  <c r="H205" i="78"/>
  <c r="H204" i="78"/>
  <c r="H203" i="78"/>
  <c r="H202" i="78"/>
  <c r="H201" i="78"/>
  <c r="H199" i="78"/>
  <c r="H198" i="78"/>
  <c r="H197" i="78"/>
  <c r="H196" i="78"/>
  <c r="H195" i="78"/>
  <c r="H194" i="78"/>
  <c r="H192" i="78"/>
  <c r="H191" i="78"/>
  <c r="H190" i="78"/>
  <c r="H189" i="78"/>
  <c r="H188" i="78"/>
  <c r="H187" i="78"/>
  <c r="H185" i="78"/>
  <c r="H184" i="78"/>
  <c r="H183" i="78"/>
  <c r="H182" i="78"/>
  <c r="H181" i="78"/>
  <c r="H180" i="78"/>
  <c r="H178" i="78"/>
  <c r="H177" i="78"/>
  <c r="H176" i="78"/>
  <c r="H175" i="78"/>
  <c r="H174" i="78"/>
  <c r="H173" i="78"/>
  <c r="H171" i="78"/>
  <c r="H170" i="78"/>
  <c r="H169" i="78"/>
  <c r="H168" i="78"/>
  <c r="H167" i="78"/>
  <c r="H166" i="78"/>
  <c r="H164" i="78"/>
  <c r="H163" i="78"/>
  <c r="H162" i="78"/>
  <c r="H161" i="78"/>
  <c r="H160" i="78"/>
  <c r="H159" i="78"/>
  <c r="H157" i="78"/>
  <c r="H156" i="78"/>
  <c r="H155" i="78"/>
  <c r="H154" i="78"/>
  <c r="H153" i="78"/>
  <c r="H152" i="78"/>
  <c r="H150" i="78"/>
  <c r="H149" i="78"/>
  <c r="H148" i="78"/>
  <c r="H147" i="78"/>
  <c r="H146" i="78"/>
  <c r="H145" i="78"/>
  <c r="H143" i="78"/>
  <c r="H142" i="78"/>
  <c r="H141" i="78"/>
  <c r="H140" i="78"/>
  <c r="H139" i="78"/>
  <c r="H138" i="78"/>
  <c r="H136" i="78"/>
  <c r="H135" i="78"/>
  <c r="H134" i="78"/>
  <c r="H133" i="78"/>
  <c r="H132" i="78"/>
  <c r="H131" i="78"/>
  <c r="H129" i="78"/>
  <c r="H128" i="78"/>
  <c r="H127" i="78"/>
  <c r="H126" i="78"/>
  <c r="H125" i="78"/>
  <c r="H124" i="78"/>
  <c r="H122" i="78"/>
  <c r="H121" i="78"/>
  <c r="H120" i="78"/>
  <c r="H119" i="78"/>
  <c r="H118" i="78"/>
  <c r="H117" i="78"/>
  <c r="H115" i="78"/>
  <c r="H114" i="78"/>
  <c r="H113" i="78"/>
  <c r="H112" i="78"/>
  <c r="H111" i="78"/>
  <c r="H110" i="78"/>
  <c r="H108" i="78"/>
  <c r="H107" i="78"/>
  <c r="H106" i="78"/>
  <c r="H105" i="78"/>
  <c r="H104" i="78"/>
  <c r="H103" i="78"/>
  <c r="H101" i="78"/>
  <c r="H100" i="78"/>
  <c r="H99" i="78"/>
  <c r="H98" i="78"/>
  <c r="H97" i="78"/>
  <c r="H96" i="78"/>
  <c r="H94" i="78"/>
  <c r="H93" i="78"/>
  <c r="H92" i="78"/>
  <c r="H91" i="78"/>
  <c r="H90" i="78"/>
  <c r="H89" i="78"/>
  <c r="H87" i="78"/>
  <c r="H86" i="78"/>
  <c r="H85" i="78"/>
  <c r="H84" i="78"/>
  <c r="H83" i="78"/>
  <c r="H82" i="78"/>
  <c r="H80" i="78"/>
  <c r="H79" i="78"/>
  <c r="H78" i="78"/>
  <c r="H77" i="78"/>
  <c r="H76" i="78"/>
  <c r="H75" i="78"/>
  <c r="H73" i="78"/>
  <c r="H72" i="78"/>
  <c r="H71" i="78"/>
  <c r="H70" i="78"/>
  <c r="H69" i="78"/>
  <c r="H68" i="78"/>
  <c r="H66" i="78"/>
  <c r="H65" i="78"/>
  <c r="H64" i="78"/>
  <c r="H63" i="78"/>
  <c r="H62" i="78"/>
  <c r="H61" i="78"/>
  <c r="H59" i="78"/>
  <c r="H58" i="78"/>
  <c r="H57" i="78"/>
  <c r="H56" i="78"/>
  <c r="H55" i="78"/>
  <c r="H54" i="78"/>
  <c r="H52" i="78"/>
  <c r="H51" i="78"/>
  <c r="H50" i="78"/>
  <c r="H49" i="78"/>
  <c r="H48" i="78"/>
  <c r="H47" i="78"/>
  <c r="H45" i="78"/>
  <c r="H44" i="78"/>
  <c r="H43" i="78"/>
  <c r="H42" i="78"/>
  <c r="H41" i="78"/>
  <c r="H40" i="78"/>
  <c r="H38" i="78"/>
  <c r="H37" i="78"/>
  <c r="H36" i="78"/>
  <c r="H35" i="78"/>
  <c r="H34" i="78"/>
  <c r="H33" i="78"/>
  <c r="H31" i="78"/>
  <c r="H30" i="78"/>
  <c r="H29" i="78"/>
  <c r="H28" i="78"/>
  <c r="H27" i="78"/>
  <c r="H26" i="78"/>
  <c r="H24" i="78"/>
  <c r="H23" i="78"/>
  <c r="H22" i="78"/>
  <c r="H21" i="78"/>
  <c r="H20" i="78"/>
  <c r="H19" i="78"/>
  <c r="H17" i="78"/>
  <c r="H16" i="78"/>
  <c r="H15" i="78"/>
  <c r="H14" i="78"/>
  <c r="H13" i="78"/>
  <c r="H12" i="78"/>
  <c r="E207" i="76"/>
  <c r="E206" i="76"/>
  <c r="E205" i="76"/>
  <c r="E204" i="76"/>
  <c r="E203" i="76"/>
  <c r="E202" i="76"/>
  <c r="E200" i="76"/>
  <c r="E199" i="76"/>
  <c r="E198" i="76"/>
  <c r="E197" i="76"/>
  <c r="E196" i="76"/>
  <c r="E195" i="76"/>
  <c r="E193" i="76"/>
  <c r="E192" i="76"/>
  <c r="E191" i="76"/>
  <c r="E190" i="76"/>
  <c r="E189" i="76"/>
  <c r="E188" i="76"/>
  <c r="E186" i="76"/>
  <c r="E185" i="76"/>
  <c r="E184" i="76"/>
  <c r="E183" i="76"/>
  <c r="E182" i="76"/>
  <c r="E181" i="76"/>
  <c r="E179" i="76"/>
  <c r="E178" i="76"/>
  <c r="E177" i="76"/>
  <c r="E176" i="76"/>
  <c r="E175" i="76"/>
  <c r="E174" i="76"/>
  <c r="E172" i="76"/>
  <c r="E171" i="76"/>
  <c r="E170" i="76"/>
  <c r="E169" i="76"/>
  <c r="E168" i="76"/>
  <c r="E167" i="76"/>
  <c r="E165" i="76"/>
  <c r="E164" i="76"/>
  <c r="E163" i="76"/>
  <c r="E162" i="76"/>
  <c r="E161" i="76"/>
  <c r="E160" i="76"/>
  <c r="E158" i="76"/>
  <c r="E157" i="76"/>
  <c r="E156" i="76"/>
  <c r="E155" i="76"/>
  <c r="E154" i="76"/>
  <c r="E153" i="76"/>
  <c r="E151" i="76"/>
  <c r="E150" i="76"/>
  <c r="E149" i="76"/>
  <c r="E148" i="76"/>
  <c r="E147" i="76"/>
  <c r="E146" i="76"/>
  <c r="E144" i="76"/>
  <c r="E143" i="76"/>
  <c r="E142" i="76"/>
  <c r="E141" i="76"/>
  <c r="E140" i="76"/>
  <c r="E139" i="76"/>
  <c r="E137" i="76"/>
  <c r="E136" i="76"/>
  <c r="E135" i="76"/>
  <c r="E134" i="76"/>
  <c r="E133" i="76"/>
  <c r="E132" i="76"/>
  <c r="E130" i="76"/>
  <c r="E129" i="76"/>
  <c r="E128" i="76"/>
  <c r="E127" i="76"/>
  <c r="E126" i="76"/>
  <c r="E125" i="76"/>
  <c r="E123" i="76"/>
  <c r="E122" i="76"/>
  <c r="E121" i="76"/>
  <c r="E120" i="76"/>
  <c r="E119" i="76"/>
  <c r="E118" i="76"/>
  <c r="E116" i="76"/>
  <c r="E115" i="76"/>
  <c r="E114" i="76"/>
  <c r="E113" i="76"/>
  <c r="E112" i="76"/>
  <c r="E111" i="76"/>
  <c r="E109" i="76"/>
  <c r="E108" i="76"/>
  <c r="E107" i="76"/>
  <c r="E106" i="76"/>
  <c r="E105" i="76"/>
  <c r="E104" i="76"/>
  <c r="E102" i="76"/>
  <c r="E101" i="76"/>
  <c r="E100" i="76"/>
  <c r="E99" i="76"/>
  <c r="E98" i="76"/>
  <c r="E97" i="76"/>
  <c r="E95" i="76"/>
  <c r="E94" i="76"/>
  <c r="E93" i="76"/>
  <c r="E92" i="76"/>
  <c r="E91" i="76"/>
  <c r="E90" i="76"/>
  <c r="E88" i="76"/>
  <c r="E87" i="76"/>
  <c r="E86" i="76"/>
  <c r="E85" i="76"/>
  <c r="E84" i="76"/>
  <c r="E83" i="76"/>
  <c r="E81" i="76"/>
  <c r="E80" i="76"/>
  <c r="E79" i="76"/>
  <c r="E78" i="76"/>
  <c r="E77" i="76"/>
  <c r="E76" i="76"/>
  <c r="E74" i="76"/>
  <c r="E73" i="76"/>
  <c r="E72" i="76"/>
  <c r="E71" i="76"/>
  <c r="E70" i="76"/>
  <c r="E69" i="76"/>
  <c r="E67" i="76"/>
  <c r="E66" i="76"/>
  <c r="E65" i="76"/>
  <c r="E64" i="76"/>
  <c r="E63" i="76"/>
  <c r="E62" i="76"/>
  <c r="E60" i="76"/>
  <c r="E59" i="76"/>
  <c r="E58" i="76"/>
  <c r="E57" i="76"/>
  <c r="E56" i="76"/>
  <c r="E55" i="76"/>
  <c r="E53" i="76"/>
  <c r="E52" i="76"/>
  <c r="E51" i="76"/>
  <c r="E50" i="76"/>
  <c r="E49" i="76"/>
  <c r="E48" i="76"/>
  <c r="E46" i="76"/>
  <c r="E45" i="76"/>
  <c r="E44" i="76"/>
  <c r="E43" i="76"/>
  <c r="E42" i="76"/>
  <c r="E41" i="76"/>
  <c r="E39" i="76"/>
  <c r="E38" i="76"/>
  <c r="E37" i="76"/>
  <c r="E36" i="76"/>
  <c r="E35" i="76"/>
  <c r="E34" i="76"/>
  <c r="E32" i="76"/>
  <c r="E31" i="76"/>
  <c r="E30" i="76"/>
  <c r="E29" i="76"/>
  <c r="E28" i="76"/>
  <c r="E27" i="76"/>
  <c r="E25" i="76"/>
  <c r="E24" i="76"/>
  <c r="H207" i="76"/>
  <c r="H206" i="76"/>
  <c r="H205" i="76"/>
  <c r="H204" i="76"/>
  <c r="H203" i="76"/>
  <c r="H202" i="76"/>
  <c r="H200" i="76"/>
  <c r="H199" i="76"/>
  <c r="H198" i="76"/>
  <c r="H197" i="76"/>
  <c r="H196" i="76"/>
  <c r="H195" i="76"/>
  <c r="H193" i="76"/>
  <c r="H192" i="76"/>
  <c r="H191" i="76"/>
  <c r="H190" i="76"/>
  <c r="H189" i="76"/>
  <c r="H188" i="76"/>
  <c r="H186" i="76"/>
  <c r="H185" i="76"/>
  <c r="H184" i="76"/>
  <c r="H183" i="76"/>
  <c r="H182" i="76"/>
  <c r="H181" i="76"/>
  <c r="H179" i="76"/>
  <c r="H178" i="76"/>
  <c r="H177" i="76"/>
  <c r="H176" i="76"/>
  <c r="H175" i="76"/>
  <c r="H174" i="76"/>
  <c r="H172" i="76"/>
  <c r="H171" i="76"/>
  <c r="H170" i="76"/>
  <c r="H169" i="76"/>
  <c r="H168" i="76"/>
  <c r="H167" i="76"/>
  <c r="H165" i="76"/>
  <c r="H164" i="76"/>
  <c r="H163" i="76"/>
  <c r="H162" i="76"/>
  <c r="H161" i="76"/>
  <c r="H160" i="76"/>
  <c r="H158" i="76"/>
  <c r="H157" i="76"/>
  <c r="H156" i="76"/>
  <c r="H155" i="76"/>
  <c r="H154" i="76"/>
  <c r="H153" i="76"/>
  <c r="H151" i="76"/>
  <c r="H150" i="76"/>
  <c r="H149" i="76"/>
  <c r="H148" i="76"/>
  <c r="H147" i="76"/>
  <c r="H146" i="76"/>
  <c r="H144" i="76"/>
  <c r="H143" i="76"/>
  <c r="H142" i="76"/>
  <c r="H141" i="76"/>
  <c r="H140" i="76"/>
  <c r="H139" i="76"/>
  <c r="H137" i="76"/>
  <c r="H136" i="76"/>
  <c r="H135" i="76"/>
  <c r="H134" i="76"/>
  <c r="H133" i="76"/>
  <c r="H132" i="76"/>
  <c r="H130" i="76"/>
  <c r="H129" i="76"/>
  <c r="H128" i="76"/>
  <c r="H127" i="76"/>
  <c r="H126" i="76"/>
  <c r="H125" i="76"/>
  <c r="H123" i="76"/>
  <c r="H122" i="76"/>
  <c r="H121" i="76"/>
  <c r="H120" i="76"/>
  <c r="H119" i="76"/>
  <c r="H118" i="76"/>
  <c r="H116" i="76"/>
  <c r="H115" i="76"/>
  <c r="H114" i="76"/>
  <c r="H113" i="76"/>
  <c r="H112" i="76"/>
  <c r="H111" i="76"/>
  <c r="H109" i="76"/>
  <c r="H108" i="76"/>
  <c r="H107" i="76"/>
  <c r="H106" i="76"/>
  <c r="H105" i="76"/>
  <c r="H104" i="76"/>
  <c r="H102" i="76"/>
  <c r="H101" i="76"/>
  <c r="H100" i="76"/>
  <c r="H99" i="76"/>
  <c r="H98" i="76"/>
  <c r="H97" i="76"/>
  <c r="H95" i="76"/>
  <c r="H94" i="76"/>
  <c r="H93" i="76"/>
  <c r="H92" i="76"/>
  <c r="H91" i="76"/>
  <c r="H90" i="76"/>
  <c r="H88" i="76"/>
  <c r="H87" i="76"/>
  <c r="H86" i="76"/>
  <c r="H85" i="76"/>
  <c r="H84" i="76"/>
  <c r="H83" i="76"/>
  <c r="H81" i="76"/>
  <c r="H80" i="76"/>
  <c r="H79" i="76"/>
  <c r="H78" i="76"/>
  <c r="H77" i="76"/>
  <c r="H76" i="76"/>
  <c r="H74" i="76"/>
  <c r="H73" i="76"/>
  <c r="H72" i="76"/>
  <c r="H71" i="76"/>
  <c r="H70" i="76"/>
  <c r="H69" i="76"/>
  <c r="H67" i="76"/>
  <c r="H66" i="76"/>
  <c r="H65" i="76"/>
  <c r="H64" i="76"/>
  <c r="H63" i="76"/>
  <c r="H62" i="76"/>
  <c r="H60" i="76"/>
  <c r="H59" i="76"/>
  <c r="H58" i="76"/>
  <c r="H57" i="76"/>
  <c r="H56" i="76"/>
  <c r="H55" i="76"/>
  <c r="H53" i="76"/>
  <c r="H52" i="76"/>
  <c r="H51" i="76"/>
  <c r="H50" i="76"/>
  <c r="H49" i="76"/>
  <c r="H48" i="76"/>
  <c r="H46" i="76"/>
  <c r="H45" i="76"/>
  <c r="H44" i="76"/>
  <c r="H43" i="76"/>
  <c r="H42" i="76"/>
  <c r="H41" i="76"/>
  <c r="H39" i="76"/>
  <c r="H38" i="76"/>
  <c r="H37" i="76"/>
  <c r="H36" i="76"/>
  <c r="H35" i="76"/>
  <c r="H34" i="76"/>
  <c r="H32" i="76"/>
  <c r="H31" i="76"/>
  <c r="H30" i="76"/>
  <c r="H29" i="76"/>
  <c r="H28" i="76"/>
  <c r="H27" i="76"/>
  <c r="H25" i="76"/>
  <c r="H24" i="76"/>
  <c r="A16" i="34"/>
  <c r="A16" i="80"/>
  <c r="D119" i="84"/>
  <c r="O118" i="84"/>
  <c r="N118" i="84"/>
  <c r="M118" i="84"/>
  <c r="L118" i="84"/>
  <c r="K118" i="84"/>
  <c r="J118" i="84"/>
  <c r="I118" i="84"/>
  <c r="H118" i="84"/>
  <c r="G118" i="84"/>
  <c r="F118" i="84"/>
  <c r="E118" i="84"/>
  <c r="D118" i="84"/>
  <c r="O117" i="84"/>
  <c r="N117" i="84"/>
  <c r="M117" i="84"/>
  <c r="L117" i="84"/>
  <c r="K117" i="84"/>
  <c r="J117" i="84"/>
  <c r="I117" i="84"/>
  <c r="H117" i="84"/>
  <c r="F117" i="84"/>
  <c r="E117" i="84"/>
  <c r="D117" i="84"/>
  <c r="O115" i="84"/>
  <c r="N115" i="84"/>
  <c r="M115" i="84"/>
  <c r="L115" i="84"/>
  <c r="K115" i="84"/>
  <c r="J115" i="84"/>
  <c r="I115" i="84"/>
  <c r="H115" i="84"/>
  <c r="G115" i="84"/>
  <c r="F115" i="84"/>
  <c r="E115" i="84"/>
  <c r="D115" i="84"/>
  <c r="O114" i="84"/>
  <c r="N114" i="84"/>
  <c r="M114" i="84"/>
  <c r="L114" i="84"/>
  <c r="K114" i="84"/>
  <c r="J114" i="84"/>
  <c r="I114" i="84"/>
  <c r="H114" i="84"/>
  <c r="G114" i="84"/>
  <c r="F114" i="84"/>
  <c r="E114" i="84"/>
  <c r="D114" i="84"/>
  <c r="J31" i="79"/>
  <c r="I43" i="3"/>
  <c r="J43" i="3" s="1"/>
  <c r="J103" i="38"/>
  <c r="J116" i="38" s="1"/>
  <c r="E103" i="38"/>
  <c r="E116" i="38" s="1"/>
  <c r="B27" i="69"/>
  <c r="B27" i="35" s="1"/>
  <c r="B13" i="69"/>
  <c r="B13" i="35" s="1"/>
  <c r="B21" i="69"/>
  <c r="B21" i="35" s="1"/>
  <c r="B23" i="69"/>
  <c r="B23" i="35" s="1"/>
  <c r="B26" i="69"/>
  <c r="B26" i="35" s="1"/>
  <c r="B29" i="69"/>
  <c r="B29" i="35" s="1"/>
  <c r="B30" i="69"/>
  <c r="B30" i="35" s="1"/>
  <c r="B31" i="69"/>
  <c r="B31" i="35" s="1"/>
  <c r="I31" i="35" s="1"/>
  <c r="B6" i="69"/>
  <c r="B12" i="69"/>
  <c r="B22" i="69"/>
  <c r="B22" i="35" s="1"/>
  <c r="B32" i="69"/>
  <c r="B32" i="35" s="1"/>
  <c r="B33" i="69"/>
  <c r="B33" i="35" s="1"/>
  <c r="B39" i="69"/>
  <c r="B39" i="35" s="1"/>
  <c r="B40" i="69"/>
  <c r="B40" i="35" s="1"/>
  <c r="B42" i="69"/>
  <c r="B42" i="35" s="1"/>
  <c r="B43" i="69"/>
  <c r="B43" i="35" s="1"/>
  <c r="D9" i="92"/>
  <c r="D11" i="92" s="1"/>
  <c r="J6" i="68"/>
  <c r="J12" i="68"/>
  <c r="J22" i="68"/>
  <c r="F22" i="68" s="1"/>
  <c r="J23" i="68"/>
  <c r="F23" i="68" s="1"/>
  <c r="J24" i="68"/>
  <c r="F24" i="68" s="1"/>
  <c r="J26" i="68"/>
  <c r="F26" i="68" s="1"/>
  <c r="J26" i="37" s="1"/>
  <c r="J35" i="68"/>
  <c r="F35" i="68" s="1"/>
  <c r="J36" i="68"/>
  <c r="F36" i="68" s="1"/>
  <c r="J29" i="68"/>
  <c r="F29" i="68" s="1"/>
  <c r="J30" i="68"/>
  <c r="F30" i="68" s="1"/>
  <c r="J39" i="68"/>
  <c r="F39" i="68" s="1"/>
  <c r="E39" i="68" s="1"/>
  <c r="J40" i="68"/>
  <c r="F40" i="68" s="1"/>
  <c r="E40" i="68" s="1"/>
  <c r="J42" i="68"/>
  <c r="F42" i="68" s="1"/>
  <c r="E42" i="68" s="1"/>
  <c r="J43" i="68"/>
  <c r="F43" i="68" s="1"/>
  <c r="E43" i="68" s="1"/>
  <c r="B34" i="69"/>
  <c r="B34" i="35" s="1"/>
  <c r="J31" i="68"/>
  <c r="B28" i="69"/>
  <c r="B28" i="35" s="1"/>
  <c r="J28" i="68"/>
  <c r="F28" i="68" s="1"/>
  <c r="J27" i="68"/>
  <c r="F27" i="68" s="1"/>
  <c r="J25" i="68"/>
  <c r="F25" i="68" s="1"/>
  <c r="J25" i="37" s="1"/>
  <c r="J21" i="68"/>
  <c r="F21" i="68" s="1"/>
  <c r="C22" i="88" s="1"/>
  <c r="J13" i="68"/>
  <c r="B11" i="69"/>
  <c r="J11" i="68"/>
  <c r="F11" i="68" s="1"/>
  <c r="C12" i="88" s="1"/>
  <c r="B7" i="69"/>
  <c r="B7" i="35" s="1"/>
  <c r="J7" i="68"/>
  <c r="O48" i="87"/>
  <c r="O34" i="87"/>
  <c r="G33" i="87"/>
  <c r="O48" i="52"/>
  <c r="O34" i="52"/>
  <c r="G33" i="52"/>
  <c r="O58" i="70"/>
  <c r="O123" i="70" s="1"/>
  <c r="D58" i="70"/>
  <c r="D123" i="70" s="1"/>
  <c r="E58" i="70"/>
  <c r="E123" i="70" s="1"/>
  <c r="F58" i="70"/>
  <c r="F123" i="70" s="1"/>
  <c r="G58" i="70"/>
  <c r="G123" i="70" s="1"/>
  <c r="H58" i="70"/>
  <c r="H123" i="70" s="1"/>
  <c r="I58" i="70"/>
  <c r="I123" i="70" s="1"/>
  <c r="J58" i="70"/>
  <c r="J123" i="70" s="1"/>
  <c r="K58" i="70"/>
  <c r="K123" i="70" s="1"/>
  <c r="L58" i="70"/>
  <c r="L123" i="70" s="1"/>
  <c r="M58" i="70"/>
  <c r="M123" i="70" s="1"/>
  <c r="N58" i="70"/>
  <c r="N123" i="70" s="1"/>
  <c r="O122" i="84"/>
  <c r="O123" i="74"/>
  <c r="B34" i="70"/>
  <c r="B36" i="33"/>
  <c r="B38" i="33"/>
  <c r="B40" i="33"/>
  <c r="B41" i="33"/>
  <c r="B42" i="33"/>
  <c r="B43" i="33"/>
  <c r="B44" i="33"/>
  <c r="B45" i="33"/>
  <c r="B46" i="33"/>
  <c r="B47" i="33"/>
  <c r="B48" i="33"/>
  <c r="B49" i="33"/>
  <c r="B50" i="33"/>
  <c r="B51" i="33"/>
  <c r="D123" i="74"/>
  <c r="E123" i="74"/>
  <c r="G123" i="74"/>
  <c r="H123" i="74"/>
  <c r="I123" i="74"/>
  <c r="J123" i="74"/>
  <c r="K123" i="74"/>
  <c r="L123" i="74"/>
  <c r="M123" i="74"/>
  <c r="B7" i="70"/>
  <c r="B10" i="70"/>
  <c r="B10" i="33" s="1"/>
  <c r="B13" i="70"/>
  <c r="B13" i="33" s="1"/>
  <c r="B16" i="70"/>
  <c r="B16" i="33" s="1"/>
  <c r="B20" i="70"/>
  <c r="B20" i="33" s="1"/>
  <c r="B24" i="70"/>
  <c r="B24" i="33" s="1"/>
  <c r="B25" i="70"/>
  <c r="B25" i="33" s="1"/>
  <c r="B26" i="70"/>
  <c r="B26" i="33" s="1"/>
  <c r="N5" i="73"/>
  <c r="B62" i="70"/>
  <c r="B66" i="70"/>
  <c r="B11" i="34" s="1"/>
  <c r="B69" i="70"/>
  <c r="B14" i="34" s="1"/>
  <c r="B71" i="70"/>
  <c r="B16" i="34" s="1"/>
  <c r="B75" i="70"/>
  <c r="B20" i="34" s="1"/>
  <c r="B76" i="70"/>
  <c r="B21" i="34" s="1"/>
  <c r="B77" i="70"/>
  <c r="B22" i="34" s="1"/>
  <c r="B85" i="70"/>
  <c r="B30" i="34" s="1"/>
  <c r="B86" i="70"/>
  <c r="B31" i="34" s="1"/>
  <c r="B89" i="70"/>
  <c r="B90" i="70"/>
  <c r="B94" i="70"/>
  <c r="B39" i="34" s="1"/>
  <c r="B96" i="70"/>
  <c r="B41" i="34" s="1"/>
  <c r="B98" i="70"/>
  <c r="B43" i="34" s="1"/>
  <c r="B99" i="70"/>
  <c r="B44" i="34" s="1"/>
  <c r="B7" i="82"/>
  <c r="B7" i="83" s="1"/>
  <c r="B18" i="82"/>
  <c r="B18" i="83" s="1"/>
  <c r="G18" i="83" s="1"/>
  <c r="I18" i="83" s="1"/>
  <c r="B19" i="82"/>
  <c r="B19" i="83" s="1"/>
  <c r="G19" i="83" s="1"/>
  <c r="I19" i="83" s="1"/>
  <c r="H19" i="38" s="1"/>
  <c r="B21" i="82"/>
  <c r="B21" i="83" s="1"/>
  <c r="G21" i="83" s="1"/>
  <c r="B27" i="82"/>
  <c r="B27" i="83" s="1"/>
  <c r="G27" i="83" s="1"/>
  <c r="I27" i="83" s="1"/>
  <c r="H27" i="38" s="1"/>
  <c r="B28" i="82"/>
  <c r="B28" i="83" s="1"/>
  <c r="G28" i="83" s="1"/>
  <c r="I28" i="83" s="1"/>
  <c r="H28" i="38" s="1"/>
  <c r="B29" i="82"/>
  <c r="B29" i="83" s="1"/>
  <c r="G29" i="83" s="1"/>
  <c r="I29" i="83" s="1"/>
  <c r="H29" i="38" s="1"/>
  <c r="B108" i="70"/>
  <c r="B103" i="70"/>
  <c r="B48" i="34" s="1"/>
  <c r="B107" i="70"/>
  <c r="B52" i="34" s="1"/>
  <c r="B110" i="70"/>
  <c r="B55" i="34" s="1"/>
  <c r="B111" i="70"/>
  <c r="B56" i="34" s="1"/>
  <c r="B113" i="70"/>
  <c r="B58" i="34" s="1"/>
  <c r="B90" i="35" s="1"/>
  <c r="B115" i="70"/>
  <c r="B60" i="34" s="1"/>
  <c r="B102" i="74"/>
  <c r="A12" i="90"/>
  <c r="A13" i="90"/>
  <c r="A14" i="90"/>
  <c r="A23" i="90"/>
  <c r="A24" i="90"/>
  <c r="A25" i="90"/>
  <c r="A27" i="90"/>
  <c r="A28" i="90"/>
  <c r="A29" i="90"/>
  <c r="A39" i="90"/>
  <c r="A40" i="90"/>
  <c r="A41" i="90"/>
  <c r="A42" i="90"/>
  <c r="A43" i="90"/>
  <c r="A44" i="90"/>
  <c r="A45" i="90"/>
  <c r="J33" i="89"/>
  <c r="J34" i="89"/>
  <c r="J35" i="89"/>
  <c r="J46" i="89"/>
  <c r="J47" i="89"/>
  <c r="A60" i="89"/>
  <c r="A59" i="89"/>
  <c r="A26" i="89"/>
  <c r="A27" i="89"/>
  <c r="A32" i="89"/>
  <c r="A33" i="89"/>
  <c r="A35" i="89"/>
  <c r="A13" i="88"/>
  <c r="A14" i="88"/>
  <c r="A23" i="88"/>
  <c r="A24" i="88"/>
  <c r="A25" i="88"/>
  <c r="A27" i="88"/>
  <c r="A28" i="88"/>
  <c r="A29" i="88"/>
  <c r="A39" i="88"/>
  <c r="A40" i="88"/>
  <c r="A41" i="88"/>
  <c r="A42" i="88"/>
  <c r="A43" i="88"/>
  <c r="A44" i="88"/>
  <c r="A45" i="88"/>
  <c r="I33" i="87"/>
  <c r="I34" i="87"/>
  <c r="I35" i="87"/>
  <c r="I46" i="87"/>
  <c r="I47" i="87"/>
  <c r="A60" i="87"/>
  <c r="A59" i="87"/>
  <c r="A26" i="87"/>
  <c r="A27" i="87"/>
  <c r="A32" i="87"/>
  <c r="A33" i="87"/>
  <c r="A35" i="87"/>
  <c r="B74" i="82"/>
  <c r="B74" i="83" s="1"/>
  <c r="G74" i="83" s="1"/>
  <c r="I74" i="83" s="1"/>
  <c r="C74" i="84" s="1"/>
  <c r="B74" i="84" s="1"/>
  <c r="B77" i="82"/>
  <c r="B33" i="82"/>
  <c r="B33" i="83" s="1"/>
  <c r="G33" i="83" s="1"/>
  <c r="I33" i="83" s="1"/>
  <c r="H33" i="38" s="1"/>
  <c r="B34" i="82"/>
  <c r="B34" i="83" s="1"/>
  <c r="G34" i="83" s="1"/>
  <c r="B35" i="82"/>
  <c r="B35" i="83" s="1"/>
  <c r="G35" i="83" s="1"/>
  <c r="I35" i="83" s="1"/>
  <c r="B36" i="82"/>
  <c r="B36" i="83" s="1"/>
  <c r="B37" i="82"/>
  <c r="B37" i="83" s="1"/>
  <c r="G37" i="83" s="1"/>
  <c r="I37" i="83" s="1"/>
  <c r="H37" i="38" s="1"/>
  <c r="B39" i="82"/>
  <c r="B39" i="83" s="1"/>
  <c r="G39" i="83" s="1"/>
  <c r="I39" i="83" s="1"/>
  <c r="H39" i="38" s="1"/>
  <c r="B40" i="82"/>
  <c r="B40" i="83" s="1"/>
  <c r="G40" i="83" s="1"/>
  <c r="B42" i="82"/>
  <c r="B42" i="83" s="1"/>
  <c r="G42" i="83" s="1"/>
  <c r="I42" i="83" s="1"/>
  <c r="H42" i="38" s="1"/>
  <c r="B43" i="82"/>
  <c r="B43" i="83" s="1"/>
  <c r="G43" i="83" s="1"/>
  <c r="I43" i="83" s="1"/>
  <c r="H43" i="38" s="1"/>
  <c r="B47" i="82"/>
  <c r="B47" i="83" s="1"/>
  <c r="G47" i="83" s="1"/>
  <c r="I47" i="83" s="1"/>
  <c r="H47" i="38" s="1"/>
  <c r="B48" i="82"/>
  <c r="B49" i="82"/>
  <c r="B49" i="83" s="1"/>
  <c r="G49" i="83" s="1"/>
  <c r="I49" i="83" s="1"/>
  <c r="B51" i="82"/>
  <c r="B51" i="83" s="1"/>
  <c r="G51" i="83" s="1"/>
  <c r="I51" i="83" s="1"/>
  <c r="H51" i="38" s="1"/>
  <c r="B53" i="82"/>
  <c r="B53" i="83" s="1"/>
  <c r="B54" i="82"/>
  <c r="B55" i="82"/>
  <c r="B56" i="82"/>
  <c r="B56" i="83" s="1"/>
  <c r="G56" i="83" s="1"/>
  <c r="I56" i="83" s="1"/>
  <c r="H56" i="38" s="1"/>
  <c r="B57" i="82"/>
  <c r="B57" i="83" s="1"/>
  <c r="G57" i="83" s="1"/>
  <c r="I57" i="83" s="1"/>
  <c r="H57" i="38" s="1"/>
  <c r="B61" i="82"/>
  <c r="B61" i="83" s="1"/>
  <c r="G61" i="83" s="1"/>
  <c r="I61" i="83" s="1"/>
  <c r="H61" i="38" s="1"/>
  <c r="B63" i="83"/>
  <c r="G63" i="83" s="1"/>
  <c r="I63" i="83" s="1"/>
  <c r="H63" i="38" s="1"/>
  <c r="B92" i="82"/>
  <c r="B92" i="83" s="1"/>
  <c r="G92" i="83" s="1"/>
  <c r="I92" i="83" s="1"/>
  <c r="C92" i="84" s="1"/>
  <c r="B92" i="84" s="1"/>
  <c r="B92" i="85" s="1"/>
  <c r="G92" i="85" s="1"/>
  <c r="I92" i="85" s="1"/>
  <c r="B94" i="82"/>
  <c r="B95" i="82"/>
  <c r="B95" i="83" s="1"/>
  <c r="G95" i="83" s="1"/>
  <c r="I95" i="83" s="1"/>
  <c r="B69" i="82"/>
  <c r="B69" i="83" s="1"/>
  <c r="G69" i="83" s="1"/>
  <c r="I69" i="83" s="1"/>
  <c r="B70" i="82"/>
  <c r="B70" i="83" s="1"/>
  <c r="G70" i="83" s="1"/>
  <c r="I70" i="83" s="1"/>
  <c r="K78" i="38" s="1"/>
  <c r="B71" i="82"/>
  <c r="B71" i="83" s="1"/>
  <c r="B72" i="82"/>
  <c r="B72" i="83" s="1"/>
  <c r="G72" i="83" s="1"/>
  <c r="I72" i="83" s="1"/>
  <c r="B73" i="82"/>
  <c r="B73" i="83" s="1"/>
  <c r="G73" i="83" s="1"/>
  <c r="I73" i="83" s="1"/>
  <c r="B75" i="82"/>
  <c r="B75" i="83" s="1"/>
  <c r="G75" i="83" s="1"/>
  <c r="I75" i="83" s="1"/>
  <c r="B76" i="82"/>
  <c r="B78" i="82"/>
  <c r="B78" i="83" s="1"/>
  <c r="G78" i="83" s="1"/>
  <c r="I78" i="83" s="1"/>
  <c r="B79" i="82"/>
  <c r="B79" i="83" s="1"/>
  <c r="G79" i="83" s="1"/>
  <c r="I79" i="83" s="1"/>
  <c r="H85" i="38" s="1"/>
  <c r="B80" i="82"/>
  <c r="B80" i="83" s="1"/>
  <c r="G80" i="83" s="1"/>
  <c r="I80" i="83" s="1"/>
  <c r="H86" i="38" s="1"/>
  <c r="C28" i="92"/>
  <c r="D30" i="92" s="1"/>
  <c r="A13" i="55"/>
  <c r="A14" i="55"/>
  <c r="A23" i="55"/>
  <c r="A24" i="55"/>
  <c r="A25" i="55"/>
  <c r="A27" i="55"/>
  <c r="A28" i="55"/>
  <c r="A29" i="55"/>
  <c r="A39" i="55"/>
  <c r="A40" i="55"/>
  <c r="A41" i="55"/>
  <c r="A42" i="55"/>
  <c r="A43" i="55"/>
  <c r="A44" i="55"/>
  <c r="A45" i="55"/>
  <c r="J33" i="54"/>
  <c r="J34" i="54"/>
  <c r="J35" i="54"/>
  <c r="J46" i="54"/>
  <c r="J47" i="54"/>
  <c r="A60" i="54"/>
  <c r="A59" i="54"/>
  <c r="A26" i="54"/>
  <c r="A27" i="54"/>
  <c r="A32" i="54"/>
  <c r="A33" i="54"/>
  <c r="A35" i="54"/>
  <c r="A12" i="53"/>
  <c r="A13" i="53"/>
  <c r="A14" i="53"/>
  <c r="A22" i="53"/>
  <c r="A23" i="53"/>
  <c r="A24" i="53"/>
  <c r="A25" i="53"/>
  <c r="A27" i="53"/>
  <c r="A28" i="53"/>
  <c r="A29" i="53"/>
  <c r="A39" i="53"/>
  <c r="A40" i="53"/>
  <c r="A41" i="53"/>
  <c r="A42" i="53"/>
  <c r="A43" i="53"/>
  <c r="A44" i="53"/>
  <c r="A45" i="53"/>
  <c r="I15" i="52"/>
  <c r="I23" i="52"/>
  <c r="I33" i="52"/>
  <c r="I34" i="52"/>
  <c r="I35" i="52"/>
  <c r="I36" i="52"/>
  <c r="A60" i="52"/>
  <c r="A59" i="52"/>
  <c r="A33" i="52"/>
  <c r="A35" i="52"/>
  <c r="A26" i="52"/>
  <c r="A27" i="52"/>
  <c r="A32" i="52"/>
  <c r="E142" i="38"/>
  <c r="J142" i="38"/>
  <c r="E143" i="38"/>
  <c r="J143" i="38"/>
  <c r="E144" i="38"/>
  <c r="J144" i="38"/>
  <c r="E145" i="38"/>
  <c r="J145" i="38"/>
  <c r="E146" i="38"/>
  <c r="J146" i="38"/>
  <c r="E147" i="38"/>
  <c r="J147" i="38"/>
  <c r="E148" i="38"/>
  <c r="J148" i="38"/>
  <c r="B89" i="82"/>
  <c r="B89" i="83" s="1"/>
  <c r="G89" i="83" s="1"/>
  <c r="I89" i="83" s="1"/>
  <c r="C89" i="84" s="1"/>
  <c r="B89" i="84" s="1"/>
  <c r="B89" i="85" s="1"/>
  <c r="G89" i="85" s="1"/>
  <c r="I89" i="85" s="1"/>
  <c r="C95" i="38" s="1"/>
  <c r="B88" i="82"/>
  <c r="B88" i="83" s="1"/>
  <c r="G88" i="83" s="1"/>
  <c r="I88" i="83" s="1"/>
  <c r="K94" i="38" s="1"/>
  <c r="J5" i="38"/>
  <c r="J73" i="38" s="1"/>
  <c r="H5" i="38"/>
  <c r="H73" i="38" s="1"/>
  <c r="E5" i="38"/>
  <c r="E73" i="38" s="1"/>
  <c r="C5" i="38"/>
  <c r="C73" i="38" s="1"/>
  <c r="J91" i="38"/>
  <c r="J115" i="38" s="1"/>
  <c r="E91" i="38"/>
  <c r="E115" i="38" s="1"/>
  <c r="A103" i="38"/>
  <c r="A102" i="38"/>
  <c r="A101" i="38"/>
  <c r="A100" i="38"/>
  <c r="A99" i="38"/>
  <c r="A98" i="38"/>
  <c r="A96" i="38"/>
  <c r="A95" i="38"/>
  <c r="A94" i="38"/>
  <c r="A93" i="38"/>
  <c r="A91" i="38"/>
  <c r="A85" i="38"/>
  <c r="A86" i="38"/>
  <c r="A87" i="38"/>
  <c r="A88" i="38"/>
  <c r="A89" i="38"/>
  <c r="A90" i="38"/>
  <c r="A77" i="38"/>
  <c r="A78" i="38"/>
  <c r="A79" i="38"/>
  <c r="A80" i="38"/>
  <c r="A81" i="38"/>
  <c r="A82" i="38"/>
  <c r="A83" i="38"/>
  <c r="A84" i="38"/>
  <c r="A76" i="38"/>
  <c r="A75" i="38"/>
  <c r="J20" i="38"/>
  <c r="J30" i="38"/>
  <c r="J38" i="38"/>
  <c r="J44" i="38"/>
  <c r="J52" i="38"/>
  <c r="E20" i="38"/>
  <c r="E30" i="38"/>
  <c r="E38" i="38"/>
  <c r="E44" i="38"/>
  <c r="E52" i="38"/>
  <c r="A64" i="38"/>
  <c r="A58" i="38"/>
  <c r="A59" i="38"/>
  <c r="A61" i="38"/>
  <c r="A62" i="38"/>
  <c r="A63" i="38"/>
  <c r="A18" i="38"/>
  <c r="A19" i="38"/>
  <c r="A20" i="38"/>
  <c r="A21" i="38"/>
  <c r="A27" i="38"/>
  <c r="A28" i="38"/>
  <c r="A29" i="38"/>
  <c r="A30" i="38"/>
  <c r="A31" i="38"/>
  <c r="A32" i="38"/>
  <c r="A33" i="38"/>
  <c r="A34" i="38"/>
  <c r="A35" i="38"/>
  <c r="A36" i="38"/>
  <c r="A37" i="38"/>
  <c r="A38" i="38"/>
  <c r="A39" i="38"/>
  <c r="A40" i="38"/>
  <c r="A42" i="38"/>
  <c r="A43" i="38"/>
  <c r="A44" i="38"/>
  <c r="A45" i="38"/>
  <c r="A46" i="38"/>
  <c r="A47" i="38"/>
  <c r="A48" i="38"/>
  <c r="A49" i="38"/>
  <c r="A51" i="38"/>
  <c r="A52" i="38"/>
  <c r="A53" i="38"/>
  <c r="A54" i="38"/>
  <c r="A55" i="38"/>
  <c r="A7" i="38"/>
  <c r="A6" i="38"/>
  <c r="E5" i="37"/>
  <c r="C5" i="37"/>
  <c r="A40" i="37"/>
  <c r="A41" i="37"/>
  <c r="A42" i="37"/>
  <c r="A43" i="37"/>
  <c r="A44" i="37"/>
  <c r="A11" i="37"/>
  <c r="A12" i="37"/>
  <c r="A13" i="37"/>
  <c r="A21" i="37"/>
  <c r="A22" i="37"/>
  <c r="A23" i="37"/>
  <c r="A24" i="37"/>
  <c r="A26" i="37"/>
  <c r="A27" i="37"/>
  <c r="A28" i="37"/>
  <c r="A38" i="37"/>
  <c r="A39" i="37"/>
  <c r="A71" i="36"/>
  <c r="A74" i="36"/>
  <c r="A76" i="36"/>
  <c r="A80" i="36"/>
  <c r="A81" i="36"/>
  <c r="A92" i="36"/>
  <c r="A93" i="36"/>
  <c r="A94" i="36"/>
  <c r="A95" i="36"/>
  <c r="A99" i="36"/>
  <c r="A101" i="36"/>
  <c r="A103" i="36"/>
  <c r="A104" i="36"/>
  <c r="A105" i="36"/>
  <c r="A106" i="36"/>
  <c r="A112" i="36"/>
  <c r="A113" i="36"/>
  <c r="A115" i="36"/>
  <c r="A116" i="36"/>
  <c r="A118" i="36"/>
  <c r="A119" i="36"/>
  <c r="A120" i="36"/>
  <c r="A59" i="36"/>
  <c r="A58" i="36"/>
  <c r="A10" i="36"/>
  <c r="A13" i="36"/>
  <c r="A16" i="36"/>
  <c r="A20" i="36"/>
  <c r="A24" i="36"/>
  <c r="A25" i="36"/>
  <c r="A26" i="36"/>
  <c r="A31" i="36"/>
  <c r="A32" i="36"/>
  <c r="A34" i="36"/>
  <c r="C98" i="85"/>
  <c r="D98" i="85"/>
  <c r="E98" i="85"/>
  <c r="F98" i="85"/>
  <c r="H98" i="85"/>
  <c r="I86" i="85"/>
  <c r="I87" i="85"/>
  <c r="B90" i="82"/>
  <c r="B90" i="83" s="1"/>
  <c r="G90" i="83" s="1"/>
  <c r="I90" i="83" s="1"/>
  <c r="K96" i="38" s="1"/>
  <c r="I93" i="85"/>
  <c r="C85" i="85"/>
  <c r="D85" i="85"/>
  <c r="E85" i="85"/>
  <c r="F85" i="85"/>
  <c r="H85" i="85"/>
  <c r="D58" i="85"/>
  <c r="E58" i="85"/>
  <c r="H58" i="85"/>
  <c r="C52" i="85"/>
  <c r="D52" i="85"/>
  <c r="E52" i="85"/>
  <c r="F52" i="85"/>
  <c r="H52" i="85"/>
  <c r="C44" i="85"/>
  <c r="D44" i="85"/>
  <c r="E44" i="85"/>
  <c r="F44" i="85"/>
  <c r="H44" i="85"/>
  <c r="C38" i="85"/>
  <c r="D38" i="85"/>
  <c r="E38" i="85"/>
  <c r="F38" i="85"/>
  <c r="H38" i="85"/>
  <c r="C30" i="85"/>
  <c r="D30" i="85"/>
  <c r="E30" i="85"/>
  <c r="F30" i="85"/>
  <c r="H30" i="85"/>
  <c r="C20" i="85"/>
  <c r="D20" i="85"/>
  <c r="E20" i="85"/>
  <c r="F20" i="85"/>
  <c r="H20" i="85"/>
  <c r="A67" i="82"/>
  <c r="A67" i="84"/>
  <c r="A98" i="85"/>
  <c r="A64" i="85"/>
  <c r="A62" i="85"/>
  <c r="A63" i="85"/>
  <c r="A18" i="85"/>
  <c r="A19" i="85"/>
  <c r="A20" i="85"/>
  <c r="A21" i="85"/>
  <c r="A27" i="85"/>
  <c r="A28" i="85"/>
  <c r="A29" i="85"/>
  <c r="A30" i="85"/>
  <c r="A31" i="85"/>
  <c r="A32" i="85"/>
  <c r="A33" i="85"/>
  <c r="A34" i="85"/>
  <c r="A35" i="85"/>
  <c r="A36" i="85"/>
  <c r="A37" i="85"/>
  <c r="A38" i="85"/>
  <c r="A39" i="85"/>
  <c r="A40" i="85"/>
  <c r="A42" i="85"/>
  <c r="A43" i="85"/>
  <c r="A44" i="85"/>
  <c r="A45" i="85"/>
  <c r="A46" i="85"/>
  <c r="A47" i="85"/>
  <c r="A48" i="85"/>
  <c r="A49" i="85"/>
  <c r="A51" i="85"/>
  <c r="A52" i="85"/>
  <c r="A53" i="85"/>
  <c r="A54" i="85"/>
  <c r="A55" i="85"/>
  <c r="A58" i="85"/>
  <c r="A59" i="85"/>
  <c r="A61" i="85"/>
  <c r="J41" i="81"/>
  <c r="J44" i="81" s="1"/>
  <c r="A11" i="81"/>
  <c r="H11" i="81" s="1"/>
  <c r="A12" i="81"/>
  <c r="A13" i="81"/>
  <c r="A21" i="81"/>
  <c r="A22" i="81"/>
  <c r="A23" i="81"/>
  <c r="A24" i="81"/>
  <c r="A26" i="81"/>
  <c r="A27" i="81"/>
  <c r="A28" i="81"/>
  <c r="A38" i="81"/>
  <c r="A39" i="81"/>
  <c r="A40" i="81"/>
  <c r="A41" i="81"/>
  <c r="A42" i="81"/>
  <c r="A43" i="81"/>
  <c r="A44" i="81"/>
  <c r="K33" i="80"/>
  <c r="A11" i="80"/>
  <c r="A14" i="80"/>
  <c r="A20" i="80"/>
  <c r="A21" i="80"/>
  <c r="A22" i="80"/>
  <c r="A30" i="80"/>
  <c r="A31" i="80"/>
  <c r="A32" i="80"/>
  <c r="A33" i="80"/>
  <c r="A34" i="80"/>
  <c r="A35" i="80"/>
  <c r="A39" i="80"/>
  <c r="A41" i="80"/>
  <c r="A43" i="80"/>
  <c r="A44" i="80"/>
  <c r="A45" i="80"/>
  <c r="A46" i="80"/>
  <c r="A52" i="80"/>
  <c r="A53" i="80"/>
  <c r="A55" i="80"/>
  <c r="A56" i="80"/>
  <c r="A58" i="80"/>
  <c r="A59" i="80"/>
  <c r="A60" i="80"/>
  <c r="K32" i="79"/>
  <c r="J58" i="79"/>
  <c r="A59" i="79"/>
  <c r="A58" i="79"/>
  <c r="A10" i="79"/>
  <c r="A13" i="79"/>
  <c r="A16" i="79"/>
  <c r="A20" i="79"/>
  <c r="A24" i="79"/>
  <c r="A25" i="79"/>
  <c r="A26" i="79"/>
  <c r="A31" i="79"/>
  <c r="A32" i="79"/>
  <c r="A34" i="79"/>
  <c r="D134" i="84"/>
  <c r="E134" i="84"/>
  <c r="F134" i="84"/>
  <c r="G134" i="84"/>
  <c r="H134" i="84"/>
  <c r="I134" i="84"/>
  <c r="J134" i="84"/>
  <c r="K134" i="84"/>
  <c r="L134" i="84"/>
  <c r="M134" i="84"/>
  <c r="N134" i="84"/>
  <c r="O134" i="84"/>
  <c r="D135" i="84"/>
  <c r="E135" i="84"/>
  <c r="F135" i="84"/>
  <c r="G135" i="84"/>
  <c r="H135" i="84"/>
  <c r="I135" i="84"/>
  <c r="J135" i="84"/>
  <c r="K135" i="84"/>
  <c r="L135" i="84"/>
  <c r="M135" i="84"/>
  <c r="N135" i="84"/>
  <c r="O135" i="84"/>
  <c r="D136" i="84"/>
  <c r="E136" i="84"/>
  <c r="F136" i="84"/>
  <c r="G136" i="84"/>
  <c r="H136" i="84"/>
  <c r="I136" i="84"/>
  <c r="J136" i="84"/>
  <c r="K136" i="84"/>
  <c r="L136" i="84"/>
  <c r="M136" i="84"/>
  <c r="N136" i="84"/>
  <c r="O136" i="84"/>
  <c r="D137" i="84"/>
  <c r="E137" i="84"/>
  <c r="F137" i="84"/>
  <c r="G137" i="84"/>
  <c r="H137" i="84"/>
  <c r="I137" i="84"/>
  <c r="J137" i="84"/>
  <c r="K137" i="84"/>
  <c r="L137" i="84"/>
  <c r="M137" i="84"/>
  <c r="N137" i="84"/>
  <c r="O137" i="84"/>
  <c r="D138" i="84"/>
  <c r="E138" i="84"/>
  <c r="F138" i="84"/>
  <c r="G138" i="84"/>
  <c r="H138" i="84"/>
  <c r="I138" i="84"/>
  <c r="J138" i="84"/>
  <c r="K138" i="84"/>
  <c r="L138" i="84"/>
  <c r="M138" i="84"/>
  <c r="N138" i="84"/>
  <c r="O138" i="84"/>
  <c r="D139" i="84"/>
  <c r="E139" i="84"/>
  <c r="F139" i="84"/>
  <c r="G139" i="84"/>
  <c r="H139" i="84"/>
  <c r="I139" i="84"/>
  <c r="J139" i="84"/>
  <c r="K139" i="84"/>
  <c r="L139" i="84"/>
  <c r="M139" i="84"/>
  <c r="N139" i="84"/>
  <c r="O139" i="84"/>
  <c r="D140" i="84"/>
  <c r="E140" i="84"/>
  <c r="F140" i="84"/>
  <c r="G140" i="84"/>
  <c r="H140" i="84"/>
  <c r="I140" i="84"/>
  <c r="J140" i="84"/>
  <c r="K140" i="84"/>
  <c r="L140" i="84"/>
  <c r="M140" i="84"/>
  <c r="N140" i="84"/>
  <c r="O140" i="84"/>
  <c r="E122" i="84"/>
  <c r="F122" i="84"/>
  <c r="G122" i="84"/>
  <c r="H122" i="84"/>
  <c r="I122" i="84"/>
  <c r="J122" i="84"/>
  <c r="K122" i="84"/>
  <c r="L122" i="84"/>
  <c r="M122" i="84"/>
  <c r="N122" i="84"/>
  <c r="D122" i="84"/>
  <c r="B132" i="84"/>
  <c r="B131" i="84"/>
  <c r="B130" i="84"/>
  <c r="B129" i="84"/>
  <c r="B128" i="84"/>
  <c r="B127" i="84"/>
  <c r="B126" i="84"/>
  <c r="E119" i="84"/>
  <c r="F119" i="84"/>
  <c r="G119" i="84"/>
  <c r="H119" i="84"/>
  <c r="I119" i="84"/>
  <c r="J119" i="84"/>
  <c r="K119" i="84"/>
  <c r="L119" i="84"/>
  <c r="M119" i="84"/>
  <c r="N119" i="84"/>
  <c r="O119" i="84"/>
  <c r="D20" i="84"/>
  <c r="D30" i="84"/>
  <c r="E20" i="84"/>
  <c r="E30" i="84"/>
  <c r="F20" i="84"/>
  <c r="F30" i="84"/>
  <c r="G20" i="84"/>
  <c r="G30" i="84"/>
  <c r="H20" i="84"/>
  <c r="H30" i="84"/>
  <c r="I20" i="84"/>
  <c r="I30" i="84"/>
  <c r="J20" i="84"/>
  <c r="J30" i="84"/>
  <c r="K20" i="84"/>
  <c r="K30" i="84"/>
  <c r="L20" i="84"/>
  <c r="L30" i="84"/>
  <c r="M20" i="84"/>
  <c r="M30" i="84"/>
  <c r="N20" i="84"/>
  <c r="N30" i="84"/>
  <c r="O20" i="84"/>
  <c r="O30" i="84"/>
  <c r="D38" i="84"/>
  <c r="D44" i="84"/>
  <c r="E38" i="84"/>
  <c r="E44" i="84"/>
  <c r="F38" i="84"/>
  <c r="F44" i="84"/>
  <c r="G38" i="84"/>
  <c r="G44" i="84"/>
  <c r="H38" i="84"/>
  <c r="H44" i="84"/>
  <c r="I38" i="84"/>
  <c r="I44" i="84"/>
  <c r="J38" i="84"/>
  <c r="J44" i="84"/>
  <c r="K38" i="84"/>
  <c r="K44" i="84"/>
  <c r="L38" i="84"/>
  <c r="L44" i="84"/>
  <c r="M38" i="84"/>
  <c r="M44" i="84"/>
  <c r="N38" i="84"/>
  <c r="N44" i="84"/>
  <c r="O38" i="84"/>
  <c r="O44" i="84"/>
  <c r="D52" i="84"/>
  <c r="E52" i="84"/>
  <c r="F52" i="84"/>
  <c r="G52" i="84"/>
  <c r="H52" i="84"/>
  <c r="I52" i="84"/>
  <c r="J52" i="84"/>
  <c r="K52" i="84"/>
  <c r="L52" i="84"/>
  <c r="M52" i="84"/>
  <c r="N52" i="84"/>
  <c r="O52" i="84"/>
  <c r="D85" i="84"/>
  <c r="D107" i="84" s="1"/>
  <c r="E85" i="84"/>
  <c r="E107" i="84" s="1"/>
  <c r="F85" i="84"/>
  <c r="F107" i="84" s="1"/>
  <c r="G85" i="84"/>
  <c r="G107" i="84" s="1"/>
  <c r="H85" i="84"/>
  <c r="H107" i="84" s="1"/>
  <c r="I85" i="84"/>
  <c r="I107" i="84" s="1"/>
  <c r="J85" i="84"/>
  <c r="J107" i="84" s="1"/>
  <c r="K85" i="84"/>
  <c r="K107" i="84" s="1"/>
  <c r="L85" i="84"/>
  <c r="L107" i="84" s="1"/>
  <c r="M85" i="84"/>
  <c r="M107" i="84" s="1"/>
  <c r="N85" i="84"/>
  <c r="N107" i="84" s="1"/>
  <c r="O85" i="84"/>
  <c r="O107" i="84" s="1"/>
  <c r="D98" i="84"/>
  <c r="D108" i="84" s="1"/>
  <c r="E98" i="84"/>
  <c r="E108" i="84" s="1"/>
  <c r="F98" i="84"/>
  <c r="F108" i="84" s="1"/>
  <c r="G98" i="84"/>
  <c r="G108" i="84" s="1"/>
  <c r="H98" i="84"/>
  <c r="H108" i="84" s="1"/>
  <c r="I98" i="84"/>
  <c r="I108" i="84" s="1"/>
  <c r="J98" i="84"/>
  <c r="J108" i="84" s="1"/>
  <c r="K98" i="84"/>
  <c r="K108" i="84" s="1"/>
  <c r="L98" i="84"/>
  <c r="L108" i="84" s="1"/>
  <c r="M98" i="84"/>
  <c r="M108" i="84" s="1"/>
  <c r="N98" i="84"/>
  <c r="N108" i="84" s="1"/>
  <c r="O98" i="84"/>
  <c r="O108" i="84" s="1"/>
  <c r="E41" i="69"/>
  <c r="E44" i="69" s="1"/>
  <c r="E95" i="69" s="1"/>
  <c r="F41" i="69"/>
  <c r="I41" i="69"/>
  <c r="I94" i="69" s="1"/>
  <c r="K41" i="69"/>
  <c r="M41" i="69"/>
  <c r="O41" i="69"/>
  <c r="O44" i="69" s="1"/>
  <c r="O111" i="82" s="1"/>
  <c r="A98" i="84"/>
  <c r="A97" i="84"/>
  <c r="A96" i="84"/>
  <c r="A95" i="84"/>
  <c r="A94" i="84"/>
  <c r="A93" i="84"/>
  <c r="A92" i="84"/>
  <c r="A91" i="84"/>
  <c r="A90" i="84"/>
  <c r="A89" i="84"/>
  <c r="A88" i="84"/>
  <c r="A87" i="84"/>
  <c r="A86" i="84"/>
  <c r="A85" i="84"/>
  <c r="A84" i="84"/>
  <c r="A83" i="84"/>
  <c r="A82" i="84"/>
  <c r="A81" i="84"/>
  <c r="A80" i="84"/>
  <c r="A79" i="84"/>
  <c r="A78" i="84"/>
  <c r="A77" i="84"/>
  <c r="A76" i="84"/>
  <c r="A75" i="84"/>
  <c r="A74" i="84"/>
  <c r="A73" i="84"/>
  <c r="A72" i="84"/>
  <c r="A71" i="84"/>
  <c r="A70" i="84"/>
  <c r="A69" i="84"/>
  <c r="A68" i="84"/>
  <c r="A64" i="84"/>
  <c r="A63" i="84"/>
  <c r="A62" i="84"/>
  <c r="A61" i="84"/>
  <c r="A59" i="84"/>
  <c r="A58" i="84"/>
  <c r="A55" i="84"/>
  <c r="A54" i="84"/>
  <c r="A53" i="84"/>
  <c r="A52" i="84"/>
  <c r="A51" i="84"/>
  <c r="A49" i="84"/>
  <c r="A48" i="84"/>
  <c r="A47" i="84"/>
  <c r="A46" i="84"/>
  <c r="A45" i="84"/>
  <c r="A44" i="84"/>
  <c r="A43" i="84"/>
  <c r="A42" i="84"/>
  <c r="A40" i="84"/>
  <c r="A39" i="84"/>
  <c r="A38" i="84"/>
  <c r="A37" i="84"/>
  <c r="A36" i="84"/>
  <c r="A35" i="84"/>
  <c r="A34" i="84"/>
  <c r="A33" i="84"/>
  <c r="A32" i="84"/>
  <c r="A31" i="84"/>
  <c r="A30" i="84"/>
  <c r="A29" i="84"/>
  <c r="A28" i="84"/>
  <c r="A27" i="84"/>
  <c r="A21" i="84"/>
  <c r="A20" i="84"/>
  <c r="A19" i="84"/>
  <c r="A18" i="84"/>
  <c r="A7" i="84"/>
  <c r="A6" i="84"/>
  <c r="O41" i="75"/>
  <c r="O44" i="75" s="1"/>
  <c r="O111" i="84" s="1"/>
  <c r="M41" i="75"/>
  <c r="J41" i="75"/>
  <c r="I41" i="75"/>
  <c r="I94" i="75" s="1"/>
  <c r="H41" i="75"/>
  <c r="H44" i="75" s="1"/>
  <c r="G41" i="75"/>
  <c r="G94" i="75" s="1"/>
  <c r="E41" i="75"/>
  <c r="E94" i="75" s="1"/>
  <c r="O101" i="75"/>
  <c r="N101" i="75"/>
  <c r="M101" i="75"/>
  <c r="L101" i="75"/>
  <c r="K101" i="75"/>
  <c r="J101" i="75"/>
  <c r="I101" i="75"/>
  <c r="H101" i="75"/>
  <c r="G101" i="75"/>
  <c r="F101" i="75"/>
  <c r="E101" i="75"/>
  <c r="D101" i="75"/>
  <c r="O100" i="75"/>
  <c r="N100" i="75"/>
  <c r="M100" i="75"/>
  <c r="L100" i="75"/>
  <c r="K100" i="75"/>
  <c r="J100" i="75"/>
  <c r="I100" i="75"/>
  <c r="H100" i="75"/>
  <c r="G100" i="75"/>
  <c r="F100" i="75"/>
  <c r="E100" i="75"/>
  <c r="D100" i="75"/>
  <c r="A44" i="75"/>
  <c r="A43" i="75"/>
  <c r="A42" i="75"/>
  <c r="A41" i="75"/>
  <c r="A40" i="75"/>
  <c r="A39" i="75"/>
  <c r="A38" i="75"/>
  <c r="A28" i="75"/>
  <c r="A27" i="75"/>
  <c r="A26" i="75"/>
  <c r="A24" i="75"/>
  <c r="A23" i="75"/>
  <c r="A22" i="75"/>
  <c r="A21" i="75"/>
  <c r="A13" i="75"/>
  <c r="A12" i="75"/>
  <c r="A11" i="75"/>
  <c r="A7" i="75"/>
  <c r="A6" i="75"/>
  <c r="A115" i="74"/>
  <c r="A114" i="74"/>
  <c r="A113" i="74"/>
  <c r="A111" i="74"/>
  <c r="A110" i="74"/>
  <c r="A108" i="74"/>
  <c r="A107" i="74"/>
  <c r="A101" i="74"/>
  <c r="A100" i="74"/>
  <c r="A99" i="74"/>
  <c r="A98" i="74"/>
  <c r="A96" i="74"/>
  <c r="A94" i="74"/>
  <c r="A90" i="74"/>
  <c r="A89" i="74"/>
  <c r="A88" i="74"/>
  <c r="A87" i="74"/>
  <c r="A86" i="74"/>
  <c r="A85" i="74"/>
  <c r="A77" i="74"/>
  <c r="A76" i="74"/>
  <c r="A75" i="74"/>
  <c r="A71" i="74"/>
  <c r="A69" i="74"/>
  <c r="A66" i="74"/>
  <c r="A62" i="74"/>
  <c r="A61" i="74"/>
  <c r="A59" i="74"/>
  <c r="A58" i="74"/>
  <c r="A34" i="74"/>
  <c r="A32" i="74"/>
  <c r="A31" i="74"/>
  <c r="A26" i="74"/>
  <c r="A25" i="74"/>
  <c r="A20" i="74"/>
  <c r="A16" i="74"/>
  <c r="A13" i="74"/>
  <c r="A10" i="74"/>
  <c r="A7" i="74"/>
  <c r="A6" i="74"/>
  <c r="C98" i="83"/>
  <c r="D98" i="83"/>
  <c r="E98" i="83"/>
  <c r="F98" i="83"/>
  <c r="H98" i="83"/>
  <c r="C85" i="83"/>
  <c r="D85" i="83"/>
  <c r="E85" i="83"/>
  <c r="F85" i="83"/>
  <c r="H85" i="83"/>
  <c r="A98" i="83"/>
  <c r="A86" i="83"/>
  <c r="A87" i="83"/>
  <c r="A88" i="83"/>
  <c r="A89" i="83"/>
  <c r="A90" i="83"/>
  <c r="A91" i="83"/>
  <c r="A92" i="83"/>
  <c r="A93" i="83"/>
  <c r="A94" i="83"/>
  <c r="A95" i="83"/>
  <c r="A96" i="83"/>
  <c r="A97" i="83"/>
  <c r="A72" i="83"/>
  <c r="A73" i="83"/>
  <c r="A74" i="83"/>
  <c r="A75" i="83"/>
  <c r="A76" i="83"/>
  <c r="A77" i="83"/>
  <c r="A78" i="83"/>
  <c r="A79" i="83"/>
  <c r="A80" i="83"/>
  <c r="A81" i="83"/>
  <c r="A82" i="83"/>
  <c r="A83" i="83"/>
  <c r="A84" i="83"/>
  <c r="A85" i="83"/>
  <c r="H20" i="83"/>
  <c r="H30" i="83"/>
  <c r="H38" i="83"/>
  <c r="H44" i="83"/>
  <c r="H52" i="83"/>
  <c r="H58" i="83"/>
  <c r="C20" i="83"/>
  <c r="C30" i="83"/>
  <c r="C38" i="83"/>
  <c r="C44" i="83"/>
  <c r="C52" i="83"/>
  <c r="D20" i="83"/>
  <c r="D30" i="83"/>
  <c r="D38" i="83"/>
  <c r="D44" i="83"/>
  <c r="D52" i="83"/>
  <c r="D58" i="83"/>
  <c r="E20" i="83"/>
  <c r="E30" i="83"/>
  <c r="E38" i="83"/>
  <c r="E44" i="83"/>
  <c r="E52" i="83"/>
  <c r="E58" i="83"/>
  <c r="F20" i="83"/>
  <c r="F30" i="83"/>
  <c r="F38" i="83"/>
  <c r="F44" i="83"/>
  <c r="F52" i="83"/>
  <c r="G60" i="83"/>
  <c r="A64" i="83"/>
  <c r="A18" i="83"/>
  <c r="A19" i="83"/>
  <c r="A20" i="83"/>
  <c r="A21" i="83"/>
  <c r="A27" i="83"/>
  <c r="A28" i="83"/>
  <c r="A29" i="83"/>
  <c r="A30" i="83"/>
  <c r="A31" i="83"/>
  <c r="A32" i="83"/>
  <c r="A33" i="83"/>
  <c r="A34" i="83"/>
  <c r="A35" i="83"/>
  <c r="A36" i="83"/>
  <c r="A37" i="83"/>
  <c r="A38" i="83"/>
  <c r="A39" i="83"/>
  <c r="A40" i="83"/>
  <c r="A42" i="83"/>
  <c r="A43" i="83"/>
  <c r="A44" i="83"/>
  <c r="A45" i="83"/>
  <c r="A46" i="83"/>
  <c r="A47" i="83"/>
  <c r="A48" i="83"/>
  <c r="A49" i="83"/>
  <c r="A51" i="83"/>
  <c r="A52" i="83"/>
  <c r="A53" i="83"/>
  <c r="A54" i="83"/>
  <c r="A55" i="83"/>
  <c r="A58" i="83"/>
  <c r="A59" i="83"/>
  <c r="A61" i="83"/>
  <c r="A62" i="83"/>
  <c r="A63" i="83"/>
  <c r="B45" i="69"/>
  <c r="J41" i="35"/>
  <c r="J44" i="35" s="1"/>
  <c r="A11" i="35"/>
  <c r="A12" i="35"/>
  <c r="A13" i="35"/>
  <c r="G13" i="35" s="1"/>
  <c r="A21" i="35"/>
  <c r="D21" i="35" s="1"/>
  <c r="A22" i="35"/>
  <c r="A23" i="35"/>
  <c r="A24" i="35"/>
  <c r="A26" i="35"/>
  <c r="A27" i="35"/>
  <c r="A28" i="35"/>
  <c r="F28" i="35" s="1"/>
  <c r="A38" i="35"/>
  <c r="A39" i="35"/>
  <c r="A40" i="35"/>
  <c r="A41" i="35"/>
  <c r="A42" i="35"/>
  <c r="A43" i="35"/>
  <c r="A44" i="35"/>
  <c r="A11" i="34"/>
  <c r="A14" i="34"/>
  <c r="A20" i="34"/>
  <c r="A21" i="34"/>
  <c r="A22" i="34"/>
  <c r="A30" i="34"/>
  <c r="A31" i="34"/>
  <c r="A32" i="34"/>
  <c r="A33" i="34"/>
  <c r="A34" i="34"/>
  <c r="A35" i="34"/>
  <c r="A39" i="34"/>
  <c r="A41" i="34"/>
  <c r="A43" i="34"/>
  <c r="A44" i="34"/>
  <c r="A45" i="34"/>
  <c r="A46" i="34"/>
  <c r="A52" i="34"/>
  <c r="A53" i="34"/>
  <c r="A55" i="34"/>
  <c r="A56" i="34"/>
  <c r="A58" i="34"/>
  <c r="A59" i="34"/>
  <c r="A60" i="34"/>
  <c r="A59" i="33"/>
  <c r="A58" i="33"/>
  <c r="A31" i="33"/>
  <c r="A32" i="33"/>
  <c r="A34" i="33"/>
  <c r="A36" i="33"/>
  <c r="A38" i="33"/>
  <c r="A40" i="33"/>
  <c r="A10" i="33"/>
  <c r="A13" i="33"/>
  <c r="A16" i="33"/>
  <c r="A20" i="33"/>
  <c r="A24" i="33"/>
  <c r="O5" i="73"/>
  <c r="D20" i="82"/>
  <c r="D30" i="82"/>
  <c r="E20" i="82"/>
  <c r="E30" i="82"/>
  <c r="F20" i="82"/>
  <c r="F30" i="82"/>
  <c r="G20" i="82"/>
  <c r="G30" i="82"/>
  <c r="H20" i="82"/>
  <c r="H30" i="82"/>
  <c r="I20" i="82"/>
  <c r="I30" i="82"/>
  <c r="J20" i="82"/>
  <c r="J30" i="82"/>
  <c r="K20" i="82"/>
  <c r="K30" i="82"/>
  <c r="L20" i="82"/>
  <c r="L30" i="82"/>
  <c r="M20" i="82"/>
  <c r="M30" i="82"/>
  <c r="N20" i="82"/>
  <c r="N30" i="82"/>
  <c r="O20" i="82"/>
  <c r="O30" i="82"/>
  <c r="D38" i="82"/>
  <c r="D44" i="82"/>
  <c r="E38" i="82"/>
  <c r="E44" i="82"/>
  <c r="F38" i="82"/>
  <c r="F44" i="82"/>
  <c r="G38" i="82"/>
  <c r="G44" i="82"/>
  <c r="H38" i="82"/>
  <c r="H44" i="82"/>
  <c r="I38" i="82"/>
  <c r="I44" i="82"/>
  <c r="J38" i="82"/>
  <c r="J44" i="82"/>
  <c r="K38" i="82"/>
  <c r="K44" i="82"/>
  <c r="L38" i="82"/>
  <c r="L44" i="82"/>
  <c r="M38" i="82"/>
  <c r="M44" i="82"/>
  <c r="N38" i="82"/>
  <c r="N44" i="82"/>
  <c r="O38" i="82"/>
  <c r="O44" i="82"/>
  <c r="D52" i="82"/>
  <c r="E52" i="82"/>
  <c r="F52" i="82"/>
  <c r="G52" i="82"/>
  <c r="H52" i="82"/>
  <c r="I52" i="82"/>
  <c r="J52" i="82"/>
  <c r="K52" i="82"/>
  <c r="L52" i="82"/>
  <c r="M52" i="82"/>
  <c r="N52" i="82"/>
  <c r="O52" i="82"/>
  <c r="D85" i="82"/>
  <c r="D107" i="82" s="1"/>
  <c r="E85" i="82"/>
  <c r="E107" i="82" s="1"/>
  <c r="F85" i="82"/>
  <c r="F107" i="82" s="1"/>
  <c r="G85" i="82"/>
  <c r="G107" i="82" s="1"/>
  <c r="H85" i="82"/>
  <c r="H107" i="82" s="1"/>
  <c r="I85" i="82"/>
  <c r="I107" i="82" s="1"/>
  <c r="J85" i="82"/>
  <c r="J107" i="82" s="1"/>
  <c r="K85" i="82"/>
  <c r="K107" i="82" s="1"/>
  <c r="L85" i="82"/>
  <c r="L107" i="82" s="1"/>
  <c r="M85" i="82"/>
  <c r="M107" i="82" s="1"/>
  <c r="N85" i="82"/>
  <c r="N107" i="82" s="1"/>
  <c r="O85" i="82"/>
  <c r="O107" i="82" s="1"/>
  <c r="D98" i="82"/>
  <c r="D108" i="82" s="1"/>
  <c r="E98" i="82"/>
  <c r="E108" i="82" s="1"/>
  <c r="F98" i="82"/>
  <c r="F108" i="82" s="1"/>
  <c r="G98" i="82"/>
  <c r="G108" i="82" s="1"/>
  <c r="H98" i="82"/>
  <c r="H108" i="82" s="1"/>
  <c r="I98" i="82"/>
  <c r="I108" i="82" s="1"/>
  <c r="J98" i="82"/>
  <c r="J108" i="82" s="1"/>
  <c r="K98" i="82"/>
  <c r="K108" i="82" s="1"/>
  <c r="L98" i="82"/>
  <c r="L108" i="82" s="1"/>
  <c r="M98" i="82"/>
  <c r="M108" i="82" s="1"/>
  <c r="N98" i="82"/>
  <c r="N108" i="82" s="1"/>
  <c r="O98" i="82"/>
  <c r="O108" i="82" s="1"/>
  <c r="D114" i="82"/>
  <c r="E114" i="82"/>
  <c r="F114" i="82"/>
  <c r="G114" i="82"/>
  <c r="H114" i="82"/>
  <c r="I114" i="82"/>
  <c r="J114" i="82"/>
  <c r="K114" i="82"/>
  <c r="L114" i="82"/>
  <c r="M114" i="82"/>
  <c r="N114" i="82"/>
  <c r="O114" i="82"/>
  <c r="D115" i="82"/>
  <c r="E115" i="82"/>
  <c r="F115" i="82"/>
  <c r="G115" i="82"/>
  <c r="H115" i="82"/>
  <c r="I115" i="82"/>
  <c r="J115" i="82"/>
  <c r="K115" i="82"/>
  <c r="L115" i="82"/>
  <c r="M115" i="82"/>
  <c r="N115" i="82"/>
  <c r="O115" i="82"/>
  <c r="D116" i="82"/>
  <c r="E116" i="82"/>
  <c r="F116" i="82"/>
  <c r="G116" i="82"/>
  <c r="H116" i="82"/>
  <c r="I116" i="82"/>
  <c r="J116" i="82"/>
  <c r="K116" i="82"/>
  <c r="L116" i="82"/>
  <c r="M116" i="82"/>
  <c r="N116" i="82"/>
  <c r="O116" i="82"/>
  <c r="C30" i="82"/>
  <c r="C38" i="82"/>
  <c r="C44" i="82"/>
  <c r="C52" i="82"/>
  <c r="C85" i="82"/>
  <c r="C107" i="82" s="1"/>
  <c r="C108" i="82"/>
  <c r="C114" i="82"/>
  <c r="C115" i="82"/>
  <c r="C116" i="82"/>
  <c r="B96" i="82"/>
  <c r="B96" i="83" s="1"/>
  <c r="G96" i="83" s="1"/>
  <c r="I96" i="83" s="1"/>
  <c r="H101" i="38" s="1"/>
  <c r="B97" i="82"/>
  <c r="B97" i="83" s="1"/>
  <c r="G97" i="83" s="1"/>
  <c r="I97" i="83" s="1"/>
  <c r="B81" i="82"/>
  <c r="B81" i="83" s="1"/>
  <c r="G81" i="83" s="1"/>
  <c r="I81" i="83" s="1"/>
  <c r="H87" i="38" s="1"/>
  <c r="B82" i="82"/>
  <c r="B82" i="83" s="1"/>
  <c r="G82" i="83" s="1"/>
  <c r="I82" i="83" s="1"/>
  <c r="H88" i="38" s="1"/>
  <c r="B83" i="82"/>
  <c r="B83" i="83" s="1"/>
  <c r="G83" i="83" s="1"/>
  <c r="I83" i="83" s="1"/>
  <c r="B84" i="82"/>
  <c r="B84" i="83" s="1"/>
  <c r="G84" i="83" s="1"/>
  <c r="I84" i="83" s="1"/>
  <c r="H90" i="38" s="1"/>
  <c r="B91" i="82"/>
  <c r="B91" i="83" s="1"/>
  <c r="G91" i="83" s="1"/>
  <c r="I91" i="83" s="1"/>
  <c r="A98" i="82"/>
  <c r="A96" i="82"/>
  <c r="A97" i="82"/>
  <c r="A90" i="82"/>
  <c r="A91" i="82"/>
  <c r="A92" i="82"/>
  <c r="A93" i="82"/>
  <c r="A94" i="82"/>
  <c r="A95" i="82"/>
  <c r="A85" i="82"/>
  <c r="A86" i="82"/>
  <c r="A87" i="82"/>
  <c r="A88" i="82"/>
  <c r="A89" i="82"/>
  <c r="A71" i="82"/>
  <c r="A72" i="82"/>
  <c r="A73" i="82"/>
  <c r="A74" i="82"/>
  <c r="A75" i="82"/>
  <c r="A76" i="82"/>
  <c r="A77" i="82"/>
  <c r="A78" i="82"/>
  <c r="A79" i="82"/>
  <c r="A80" i="82"/>
  <c r="A81" i="82"/>
  <c r="A82" i="82"/>
  <c r="A83" i="82"/>
  <c r="A84" i="82"/>
  <c r="A70" i="82"/>
  <c r="A69" i="82"/>
  <c r="A68" i="82"/>
  <c r="A62" i="82"/>
  <c r="A63" i="82"/>
  <c r="A64" i="82"/>
  <c r="A59" i="82"/>
  <c r="A61" i="82"/>
  <c r="A18" i="82"/>
  <c r="A19" i="82"/>
  <c r="A20" i="82"/>
  <c r="A21" i="82"/>
  <c r="A27" i="82"/>
  <c r="A28" i="82"/>
  <c r="A29" i="82"/>
  <c r="A30" i="82"/>
  <c r="A31" i="82"/>
  <c r="A32" i="82"/>
  <c r="A33" i="82"/>
  <c r="A34" i="82"/>
  <c r="A35" i="82"/>
  <c r="A36" i="82"/>
  <c r="A37" i="82"/>
  <c r="A38" i="82"/>
  <c r="A39" i="82"/>
  <c r="A40" i="82"/>
  <c r="A42" i="82"/>
  <c r="A43" i="82"/>
  <c r="A44" i="82"/>
  <c r="A45" i="82"/>
  <c r="A46" i="82"/>
  <c r="A47" i="82"/>
  <c r="A48" i="82"/>
  <c r="A49" i="82"/>
  <c r="A51" i="82"/>
  <c r="A52" i="82"/>
  <c r="A53" i="82"/>
  <c r="A54" i="82"/>
  <c r="A55" i="82"/>
  <c r="A58" i="82"/>
  <c r="C100" i="69"/>
  <c r="D100" i="69"/>
  <c r="E100" i="69"/>
  <c r="F100" i="69"/>
  <c r="G100" i="69"/>
  <c r="H100" i="69"/>
  <c r="I100" i="69"/>
  <c r="J100" i="69"/>
  <c r="K100" i="69"/>
  <c r="L100" i="69"/>
  <c r="M100" i="69"/>
  <c r="N100" i="69"/>
  <c r="O100" i="69"/>
  <c r="C101" i="69"/>
  <c r="D101" i="69"/>
  <c r="E101" i="69"/>
  <c r="F101" i="69"/>
  <c r="G101" i="69"/>
  <c r="H101" i="69"/>
  <c r="I101" i="69"/>
  <c r="J101" i="69"/>
  <c r="K101" i="69"/>
  <c r="L101" i="69"/>
  <c r="M101" i="69"/>
  <c r="N101" i="69"/>
  <c r="O101" i="69"/>
  <c r="A11" i="69"/>
  <c r="A12" i="69"/>
  <c r="A13" i="69"/>
  <c r="A21" i="69"/>
  <c r="A22" i="69"/>
  <c r="A23" i="69"/>
  <c r="A24" i="69"/>
  <c r="A26" i="69"/>
  <c r="A27" i="69"/>
  <c r="A28" i="69"/>
  <c r="A38" i="69"/>
  <c r="A39" i="69"/>
  <c r="A40" i="69"/>
  <c r="A41" i="69"/>
  <c r="A42" i="69"/>
  <c r="A43" i="69"/>
  <c r="A44" i="69"/>
  <c r="A59" i="70"/>
  <c r="A58" i="70"/>
  <c r="B102" i="70"/>
  <c r="A66" i="70"/>
  <c r="A69" i="70"/>
  <c r="A71" i="70"/>
  <c r="A75" i="70"/>
  <c r="A76" i="70"/>
  <c r="A77" i="70"/>
  <c r="A85" i="70"/>
  <c r="A86" i="70"/>
  <c r="A87" i="70"/>
  <c r="A88" i="70"/>
  <c r="A89" i="70"/>
  <c r="A90" i="70"/>
  <c r="A94" i="70"/>
  <c r="A96" i="70"/>
  <c r="A98" i="70"/>
  <c r="A99" i="70"/>
  <c r="A100" i="70"/>
  <c r="A101" i="70"/>
  <c r="A107" i="70"/>
  <c r="A108" i="70"/>
  <c r="A110" i="70"/>
  <c r="A111" i="70"/>
  <c r="A113" i="70"/>
  <c r="A114" i="70"/>
  <c r="A115" i="70"/>
  <c r="A10" i="70"/>
  <c r="A13" i="70"/>
  <c r="A16" i="70"/>
  <c r="A20" i="70"/>
  <c r="A24" i="70"/>
  <c r="A25" i="70"/>
  <c r="A26" i="70"/>
  <c r="A31" i="70"/>
  <c r="A32" i="70"/>
  <c r="A34" i="70"/>
  <c r="A36" i="70"/>
  <c r="A38" i="70"/>
  <c r="A40" i="70"/>
  <c r="C130" i="62"/>
  <c r="C133" i="62" s="1"/>
  <c r="A100" i="62"/>
  <c r="A101" i="62"/>
  <c r="A102" i="62"/>
  <c r="A110" i="62"/>
  <c r="A111" i="62"/>
  <c r="A112" i="62"/>
  <c r="A113" i="62"/>
  <c r="A115" i="62"/>
  <c r="A116" i="62"/>
  <c r="A117" i="62"/>
  <c r="A127" i="62"/>
  <c r="A128" i="62"/>
  <c r="A129" i="62"/>
  <c r="A130" i="62"/>
  <c r="A131" i="62"/>
  <c r="A132" i="62"/>
  <c r="A133" i="62"/>
  <c r="C41" i="62"/>
  <c r="C44" i="62" s="1"/>
  <c r="C49" i="62" s="1"/>
  <c r="A40" i="62"/>
  <c r="A41" i="62"/>
  <c r="A42" i="62"/>
  <c r="A43" i="62"/>
  <c r="A44" i="62"/>
  <c r="A12" i="62"/>
  <c r="A13" i="62"/>
  <c r="A21" i="62"/>
  <c r="A22" i="62"/>
  <c r="A23" i="62"/>
  <c r="A24" i="62"/>
  <c r="A26" i="62"/>
  <c r="A27" i="62"/>
  <c r="A28" i="62"/>
  <c r="A38" i="62"/>
  <c r="A39" i="62"/>
  <c r="G61" i="3"/>
  <c r="AA117" i="3" s="1"/>
  <c r="O117" i="73" s="1"/>
  <c r="G60" i="3"/>
  <c r="AA116" i="3" s="1"/>
  <c r="O116" i="73" s="1"/>
  <c r="A71" i="46"/>
  <c r="A73" i="46"/>
  <c r="A77" i="46"/>
  <c r="A78" i="46"/>
  <c r="A79" i="46"/>
  <c r="A89" i="46"/>
  <c r="A90" i="46"/>
  <c r="A91" i="46"/>
  <c r="A92" i="46"/>
  <c r="A96" i="46"/>
  <c r="A102" i="46"/>
  <c r="A103" i="46"/>
  <c r="G46" i="3"/>
  <c r="AA102" i="3" s="1"/>
  <c r="O102" i="73" s="1"/>
  <c r="G47" i="3"/>
  <c r="AA103" i="3" s="1"/>
  <c r="O103" i="73" s="1"/>
  <c r="A109" i="46"/>
  <c r="A110" i="46"/>
  <c r="A112" i="46"/>
  <c r="A113" i="46"/>
  <c r="A116" i="46"/>
  <c r="A117" i="46"/>
  <c r="G59" i="46"/>
  <c r="A60" i="46"/>
  <c r="C59" i="46"/>
  <c r="A14" i="46"/>
  <c r="A17" i="46"/>
  <c r="A25" i="46"/>
  <c r="A26" i="46"/>
  <c r="A27" i="46"/>
  <c r="A32" i="46"/>
  <c r="A33" i="46"/>
  <c r="A35" i="46"/>
  <c r="D100" i="68"/>
  <c r="G100" i="68"/>
  <c r="H100" i="68"/>
  <c r="I100" i="68"/>
  <c r="K100" i="68"/>
  <c r="L100" i="68"/>
  <c r="M100" i="68"/>
  <c r="N100" i="68"/>
  <c r="O100" i="68"/>
  <c r="P100" i="68"/>
  <c r="Q100" i="68"/>
  <c r="R100" i="68"/>
  <c r="S100" i="68"/>
  <c r="T100" i="68"/>
  <c r="U100" i="68"/>
  <c r="V100" i="68"/>
  <c r="W100" i="68"/>
  <c r="X100" i="68"/>
  <c r="Y100" i="68"/>
  <c r="Z100" i="68"/>
  <c r="AA100" i="68"/>
  <c r="AB100" i="68"/>
  <c r="AC100" i="68"/>
  <c r="AD100" i="68"/>
  <c r="AE100" i="68"/>
  <c r="AF100" i="68"/>
  <c r="AG100" i="68"/>
  <c r="AH100" i="68"/>
  <c r="AI100" i="68"/>
  <c r="D101" i="68"/>
  <c r="G101" i="68"/>
  <c r="H101" i="68"/>
  <c r="I101" i="68"/>
  <c r="K101" i="68"/>
  <c r="L101" i="68"/>
  <c r="M101" i="68"/>
  <c r="N101" i="68"/>
  <c r="O101" i="68"/>
  <c r="P101" i="68"/>
  <c r="Q101" i="68"/>
  <c r="R101" i="68"/>
  <c r="S101" i="68"/>
  <c r="T101" i="68"/>
  <c r="U101" i="68"/>
  <c r="V101" i="68"/>
  <c r="W101" i="68"/>
  <c r="X101" i="68"/>
  <c r="Y101" i="68"/>
  <c r="Z101" i="68"/>
  <c r="AA101" i="68"/>
  <c r="AB101" i="68"/>
  <c r="AC101" i="68"/>
  <c r="AD101" i="68"/>
  <c r="AE101" i="68"/>
  <c r="AF101" i="68"/>
  <c r="AG101" i="68"/>
  <c r="AH101" i="68"/>
  <c r="AI101" i="68"/>
  <c r="D41" i="68"/>
  <c r="M41" i="68"/>
  <c r="M44" i="68" s="1"/>
  <c r="M49" i="68" s="1"/>
  <c r="M96" i="68" s="1"/>
  <c r="N41" i="68"/>
  <c r="N94" i="68" s="1"/>
  <c r="T41" i="68"/>
  <c r="T44" i="68" s="1"/>
  <c r="W41" i="68"/>
  <c r="X41" i="68"/>
  <c r="X44" i="68" s="1"/>
  <c r="X49" i="68" s="1"/>
  <c r="AA41" i="68"/>
  <c r="AD41" i="68"/>
  <c r="AD94" i="68" s="1"/>
  <c r="AH41" i="68"/>
  <c r="AH44" i="68" s="1"/>
  <c r="AI41" i="68"/>
  <c r="AI44" i="68" s="1"/>
  <c r="AI49" i="68" s="1"/>
  <c r="AI96" i="68" s="1"/>
  <c r="C100" i="68"/>
  <c r="C101" i="68"/>
  <c r="AI36" i="45"/>
  <c r="A13" i="68"/>
  <c r="A21" i="68"/>
  <c r="A22" i="68"/>
  <c r="A23" i="68"/>
  <c r="A24" i="68"/>
  <c r="A26" i="68"/>
  <c r="A27" i="68"/>
  <c r="A28" i="68"/>
  <c r="A35" i="68"/>
  <c r="A36" i="68"/>
  <c r="A29" i="68"/>
  <c r="A30" i="68"/>
  <c r="A31" i="68"/>
  <c r="A38" i="68"/>
  <c r="A39" i="68"/>
  <c r="A40" i="68"/>
  <c r="A41" i="68"/>
  <c r="A42" i="68"/>
  <c r="A44" i="68"/>
  <c r="A11" i="68"/>
  <c r="A12" i="68"/>
  <c r="J108" i="67"/>
  <c r="J103" i="67"/>
  <c r="F103" i="67" s="1"/>
  <c r="E103" i="67" s="1"/>
  <c r="B103" i="67" s="1"/>
  <c r="J107" i="67"/>
  <c r="F107" i="67" s="1"/>
  <c r="H109" i="46" s="1"/>
  <c r="J110" i="67"/>
  <c r="F110" i="67" s="1"/>
  <c r="J111" i="67"/>
  <c r="F111" i="67" s="1"/>
  <c r="E111" i="67" s="1"/>
  <c r="B111" i="67" s="1"/>
  <c r="J113" i="67"/>
  <c r="F113" i="67" s="1"/>
  <c r="J115" i="67"/>
  <c r="F115" i="67" s="1"/>
  <c r="E115" i="67" s="1"/>
  <c r="B115" i="67" s="1"/>
  <c r="J62" i="67"/>
  <c r="J66" i="67"/>
  <c r="F66" i="67" s="1"/>
  <c r="J70" i="67"/>
  <c r="J71" i="67"/>
  <c r="J74" i="67"/>
  <c r="F74" i="67" s="1"/>
  <c r="J75" i="67"/>
  <c r="F75" i="67" s="1"/>
  <c r="K21" i="87" s="1"/>
  <c r="L21" i="89" s="1"/>
  <c r="J76" i="67"/>
  <c r="F76" i="67" s="1"/>
  <c r="K22" i="87" s="1"/>
  <c r="L22" i="89" s="1"/>
  <c r="J84" i="67"/>
  <c r="F84" i="67" s="1"/>
  <c r="J89" i="67"/>
  <c r="J90" i="67"/>
  <c r="F90" i="67" s="1"/>
  <c r="H92" i="46" s="1"/>
  <c r="J92" i="46" s="1"/>
  <c r="I92" i="46" s="1"/>
  <c r="J94" i="67"/>
  <c r="F94" i="67" s="1"/>
  <c r="K40" i="87" s="1"/>
  <c r="L40" i="89" s="1"/>
  <c r="J96" i="67"/>
  <c r="F96" i="67" s="1"/>
  <c r="E96" i="67" s="1"/>
  <c r="B96" i="67" s="1"/>
  <c r="K42" i="52" s="1"/>
  <c r="J98" i="67"/>
  <c r="J99" i="67"/>
  <c r="F99" i="67" s="1"/>
  <c r="E99" i="67" s="1"/>
  <c r="B99" i="67" s="1"/>
  <c r="A115" i="67"/>
  <c r="A88" i="67"/>
  <c r="A89" i="67"/>
  <c r="A90" i="67"/>
  <c r="A94" i="67"/>
  <c r="A96" i="67"/>
  <c r="A98" i="67"/>
  <c r="A99" i="67"/>
  <c r="A100" i="67"/>
  <c r="A101" i="67"/>
  <c r="A107" i="67"/>
  <c r="A108" i="67"/>
  <c r="A110" i="67"/>
  <c r="A111" i="67"/>
  <c r="A113" i="67"/>
  <c r="A114" i="67"/>
  <c r="J10" i="67"/>
  <c r="F10" i="67" s="1"/>
  <c r="J13" i="67"/>
  <c r="F13" i="67" s="1"/>
  <c r="C14" i="87" s="1"/>
  <c r="C14" i="89" s="1"/>
  <c r="J16" i="67"/>
  <c r="F16" i="67" s="1"/>
  <c r="J20" i="67"/>
  <c r="F20" i="67" s="1"/>
  <c r="J24" i="67"/>
  <c r="F24" i="67" s="1"/>
  <c r="C25" i="87" s="1"/>
  <c r="C25" i="89" s="1"/>
  <c r="J25" i="67"/>
  <c r="F25" i="67" s="1"/>
  <c r="J26" i="67"/>
  <c r="F26" i="67" s="1"/>
  <c r="J28" i="67"/>
  <c r="F28" i="67" s="1"/>
  <c r="J28" i="36" s="1"/>
  <c r="J55" i="67"/>
  <c r="F55" i="67" s="1"/>
  <c r="J54" i="67"/>
  <c r="F54" i="67" s="1"/>
  <c r="J53" i="67"/>
  <c r="F53" i="67" s="1"/>
  <c r="J53" i="36" s="1"/>
  <c r="J51" i="67"/>
  <c r="F51" i="67" s="1"/>
  <c r="J50" i="67"/>
  <c r="J49" i="67"/>
  <c r="F49" i="67" s="1"/>
  <c r="J48" i="67"/>
  <c r="F48" i="67" s="1"/>
  <c r="J47" i="67"/>
  <c r="F47" i="67" s="1"/>
  <c r="J46" i="67"/>
  <c r="F46" i="67" s="1"/>
  <c r="J45" i="67"/>
  <c r="F45" i="67" s="1"/>
  <c r="J44" i="67"/>
  <c r="F44" i="67" s="1"/>
  <c r="J43" i="67"/>
  <c r="F43" i="67" s="1"/>
  <c r="J42" i="67"/>
  <c r="F42" i="67" s="1"/>
  <c r="J41" i="67"/>
  <c r="F41" i="67" s="1"/>
  <c r="J40" i="67"/>
  <c r="F40" i="67" s="1"/>
  <c r="C41" i="87" s="1"/>
  <c r="J38" i="67"/>
  <c r="F38" i="67" s="1"/>
  <c r="C39" i="87" s="1"/>
  <c r="C39" i="89" s="1"/>
  <c r="J34" i="67"/>
  <c r="J7" i="67"/>
  <c r="A59" i="67"/>
  <c r="J74" i="3"/>
  <c r="E74" i="3"/>
  <c r="O73" i="3"/>
  <c r="E73" i="3"/>
  <c r="O72" i="3"/>
  <c r="O71" i="3"/>
  <c r="O70" i="3"/>
  <c r="O69" i="3"/>
  <c r="O68" i="3"/>
  <c r="O67" i="3"/>
  <c r="O66" i="3"/>
  <c r="O65" i="3"/>
  <c r="O64" i="3"/>
  <c r="O63" i="3"/>
  <c r="O62" i="3"/>
  <c r="J62" i="3"/>
  <c r="O61" i="3"/>
  <c r="E61" i="3"/>
  <c r="O60" i="3"/>
  <c r="J60" i="3"/>
  <c r="E60" i="3"/>
  <c r="O59" i="3"/>
  <c r="E59" i="3"/>
  <c r="O58" i="3"/>
  <c r="E58" i="3"/>
  <c r="O57" i="3"/>
  <c r="J57" i="3"/>
  <c r="O56" i="3"/>
  <c r="O55" i="3"/>
  <c r="J55" i="3"/>
  <c r="E55" i="3"/>
  <c r="O54" i="3"/>
  <c r="J54" i="3"/>
  <c r="O53" i="3"/>
  <c r="J53" i="3"/>
  <c r="J52" i="3"/>
  <c r="E52" i="3"/>
  <c r="O51" i="3"/>
  <c r="J51" i="3"/>
  <c r="O50" i="3"/>
  <c r="J50" i="3"/>
  <c r="E50" i="3"/>
  <c r="V5" i="3"/>
  <c r="V6" i="3" s="1"/>
  <c r="V7" i="3" s="1"/>
  <c r="V8" i="3" s="1"/>
  <c r="V9" i="3" s="1"/>
  <c r="V10" i="3" s="1"/>
  <c r="V11" i="3" s="1"/>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V39" i="3" s="1"/>
  <c r="V40" i="3" s="1"/>
  <c r="V41" i="3" s="1"/>
  <c r="V42" i="3" s="1"/>
  <c r="V43" i="3" s="1"/>
  <c r="V44" i="3" s="1"/>
  <c r="V45" i="3" s="1"/>
  <c r="V46" i="3" s="1"/>
  <c r="V47" i="3" s="1"/>
  <c r="V48" i="3" s="1"/>
  <c r="V49" i="3" s="1"/>
  <c r="V50" i="3" s="1"/>
  <c r="O49" i="3"/>
  <c r="J49" i="3"/>
  <c r="E49" i="3"/>
  <c r="O48" i="3"/>
  <c r="E48" i="3"/>
  <c r="O47" i="3"/>
  <c r="E47" i="3"/>
  <c r="J46" i="3"/>
  <c r="O45" i="3"/>
  <c r="J45" i="3"/>
  <c r="E45" i="3"/>
  <c r="J44" i="3"/>
  <c r="E44" i="3"/>
  <c r="E43" i="3"/>
  <c r="J42" i="3"/>
  <c r="E42" i="3"/>
  <c r="J41" i="3"/>
  <c r="E41" i="3"/>
  <c r="O40" i="3"/>
  <c r="J40" i="3"/>
  <c r="E40" i="3"/>
  <c r="O39" i="3"/>
  <c r="J39" i="3"/>
  <c r="E39" i="3"/>
  <c r="J38" i="3"/>
  <c r="E38" i="3"/>
  <c r="J37" i="3"/>
  <c r="E37" i="3"/>
  <c r="J36" i="3"/>
  <c r="E36" i="3"/>
  <c r="J35" i="3"/>
  <c r="E35" i="3"/>
  <c r="J34" i="3"/>
  <c r="E34" i="3"/>
  <c r="J33" i="3"/>
  <c r="O32" i="3"/>
  <c r="J32" i="3"/>
  <c r="E31" i="3"/>
  <c r="E30" i="3"/>
  <c r="J29" i="3"/>
  <c r="E29" i="3"/>
  <c r="O28" i="3"/>
  <c r="J28" i="3"/>
  <c r="E28" i="3"/>
  <c r="O27" i="3"/>
  <c r="J27" i="3"/>
  <c r="E27" i="3"/>
  <c r="O26" i="3"/>
  <c r="J26" i="3"/>
  <c r="E26" i="3"/>
  <c r="O25" i="3"/>
  <c r="J25" i="3"/>
  <c r="E25" i="3"/>
  <c r="J24" i="3"/>
  <c r="E24" i="3"/>
  <c r="J23" i="3"/>
  <c r="E23" i="3"/>
  <c r="O22" i="3"/>
  <c r="J22" i="3"/>
  <c r="E22" i="3"/>
  <c r="O21" i="3"/>
  <c r="J21" i="3"/>
  <c r="E21" i="3"/>
  <c r="O20" i="3"/>
  <c r="E20" i="3"/>
  <c r="O19" i="3"/>
  <c r="J19" i="3"/>
  <c r="O18" i="3"/>
  <c r="J18" i="3"/>
  <c r="O17" i="3"/>
  <c r="J17" i="3"/>
  <c r="E17" i="3"/>
  <c r="O16" i="3"/>
  <c r="J16" i="3"/>
  <c r="E16" i="3"/>
  <c r="O15" i="3"/>
  <c r="J15" i="3"/>
  <c r="E15" i="3"/>
  <c r="O14" i="3"/>
  <c r="J14" i="3"/>
  <c r="E14" i="3"/>
  <c r="O13" i="3"/>
  <c r="J13" i="3"/>
  <c r="E13" i="3"/>
  <c r="O12" i="3"/>
  <c r="J12" i="3"/>
  <c r="E12" i="3"/>
  <c r="J11" i="3"/>
  <c r="E11" i="3"/>
  <c r="O10" i="3"/>
  <c r="J10" i="3"/>
  <c r="E10" i="3"/>
  <c r="J9" i="3"/>
  <c r="E9" i="3"/>
  <c r="O8" i="3"/>
  <c r="J8" i="3"/>
  <c r="E8" i="3"/>
  <c r="J7" i="3"/>
  <c r="E7" i="3"/>
  <c r="AA6" i="3"/>
  <c r="O6" i="73" s="1"/>
  <c r="J6" i="3"/>
  <c r="E6" i="3"/>
  <c r="O5" i="3"/>
  <c r="A7" i="79"/>
  <c r="A7" i="80"/>
  <c r="A6" i="81"/>
  <c r="A7" i="33"/>
  <c r="A7" i="34"/>
  <c r="A6" i="35"/>
  <c r="J5" i="37"/>
  <c r="H5" i="37"/>
  <c r="D144" i="36"/>
  <c r="D147" i="36" s="1"/>
  <c r="D138" i="36"/>
  <c r="D141" i="36" s="1"/>
  <c r="A7" i="35"/>
  <c r="A2" i="87"/>
  <c r="D2" i="87"/>
  <c r="F2" i="87"/>
  <c r="I2" i="87"/>
  <c r="L2" i="87"/>
  <c r="N2" i="87"/>
  <c r="A3" i="87"/>
  <c r="D3" i="87"/>
  <c r="I3" i="87"/>
  <c r="L3" i="87"/>
  <c r="I4" i="87"/>
  <c r="A7" i="87"/>
  <c r="I7" i="87"/>
  <c r="J7" i="87"/>
  <c r="J8" i="87" s="1"/>
  <c r="J9" i="87" s="1"/>
  <c r="J10" i="87" s="1"/>
  <c r="J11" i="87" s="1"/>
  <c r="J12" i="87" s="1"/>
  <c r="A8" i="87"/>
  <c r="I8" i="87"/>
  <c r="A2" i="88"/>
  <c r="B2" i="88"/>
  <c r="E2" i="88"/>
  <c r="A3" i="88"/>
  <c r="B3" i="88"/>
  <c r="A7" i="88"/>
  <c r="A8" i="88"/>
  <c r="A2" i="89"/>
  <c r="E2" i="89"/>
  <c r="G2" i="89"/>
  <c r="J2" i="89"/>
  <c r="N2" i="89"/>
  <c r="P2" i="89"/>
  <c r="A3" i="89"/>
  <c r="E3" i="89"/>
  <c r="J3" i="89"/>
  <c r="N3" i="89"/>
  <c r="J4" i="89"/>
  <c r="A7" i="89"/>
  <c r="J7" i="89"/>
  <c r="K7" i="89"/>
  <c r="K8" i="89" s="1"/>
  <c r="A8" i="89"/>
  <c r="J8" i="89"/>
  <c r="A2" i="90"/>
  <c r="B2" i="90"/>
  <c r="F2" i="90"/>
  <c r="A3" i="90"/>
  <c r="B3" i="90"/>
  <c r="A7" i="90"/>
  <c r="A8" i="90"/>
  <c r="A2" i="91"/>
  <c r="C2" i="91"/>
  <c r="F2" i="91"/>
  <c r="A3" i="91"/>
  <c r="C3" i="91"/>
  <c r="C4" i="91"/>
  <c r="F4" i="91"/>
  <c r="E7" i="91"/>
  <c r="I7" i="91" s="1"/>
  <c r="J7" i="91" s="1"/>
  <c r="J32" i="47"/>
  <c r="C19" i="92" s="1"/>
  <c r="E8" i="91"/>
  <c r="I8" i="91" s="1"/>
  <c r="J8" i="91" s="1"/>
  <c r="E9" i="91"/>
  <c r="I9" i="91" s="1"/>
  <c r="J9" i="91" s="1"/>
  <c r="E10" i="91"/>
  <c r="I10" i="91" s="1"/>
  <c r="J10" i="91" s="1"/>
  <c r="E11" i="91"/>
  <c r="I11" i="91" s="1"/>
  <c r="J11" i="91" s="1"/>
  <c r="E12" i="91"/>
  <c r="I12" i="91" s="1"/>
  <c r="J12" i="91" s="1"/>
  <c r="E13" i="91"/>
  <c r="I13" i="91" s="1"/>
  <c r="J13" i="91" s="1"/>
  <c r="E14" i="91"/>
  <c r="I14" i="91" s="1"/>
  <c r="J14" i="91" s="1"/>
  <c r="E16" i="91"/>
  <c r="I16" i="91" s="1"/>
  <c r="E17" i="91"/>
  <c r="I17" i="91" s="1"/>
  <c r="E18" i="91"/>
  <c r="I18" i="91" s="1"/>
  <c r="J19" i="91"/>
  <c r="E20" i="91"/>
  <c r="I20" i="91" s="1"/>
  <c r="E21" i="91"/>
  <c r="I21" i="91" s="1"/>
  <c r="E22" i="91"/>
  <c r="I22" i="91" s="1"/>
  <c r="E23" i="91"/>
  <c r="I23" i="91" s="1"/>
  <c r="E24" i="91"/>
  <c r="I24" i="91" s="1"/>
  <c r="E25" i="91"/>
  <c r="I25" i="91" s="1"/>
  <c r="J25" i="91" s="1"/>
  <c r="E26" i="91"/>
  <c r="I26" i="91" s="1"/>
  <c r="E28" i="91"/>
  <c r="I28" i="91" s="1"/>
  <c r="J28" i="91" s="1"/>
  <c r="E29" i="91"/>
  <c r="I29" i="91" s="1"/>
  <c r="J29" i="91" s="1"/>
  <c r="E30" i="91"/>
  <c r="I30" i="91" s="1"/>
  <c r="J30" i="91" s="1"/>
  <c r="E31" i="91"/>
  <c r="I31" i="91" s="1"/>
  <c r="J31" i="91" s="1"/>
  <c r="E32" i="91"/>
  <c r="I32" i="91" s="1"/>
  <c r="J32" i="91" s="1"/>
  <c r="E33" i="91"/>
  <c r="I33" i="91" s="1"/>
  <c r="J33" i="91" s="1"/>
  <c r="E35" i="91"/>
  <c r="I35" i="91" s="1"/>
  <c r="J35" i="91" s="1"/>
  <c r="E36" i="91"/>
  <c r="I36" i="91" s="1"/>
  <c r="J36" i="91" s="1"/>
  <c r="E37" i="91"/>
  <c r="I37" i="91" s="1"/>
  <c r="J37" i="91" s="1"/>
  <c r="G37" i="91"/>
  <c r="H37" i="91" s="1"/>
  <c r="E38" i="91"/>
  <c r="I38" i="91" s="1"/>
  <c r="J38" i="91" s="1"/>
  <c r="E39" i="91"/>
  <c r="I39" i="91" s="1"/>
  <c r="J39" i="91" s="1"/>
  <c r="E40" i="91"/>
  <c r="I40" i="91" s="1"/>
  <c r="J40" i="91" s="1"/>
  <c r="H40" i="91"/>
  <c r="E42" i="91"/>
  <c r="I42" i="91" s="1"/>
  <c r="J42" i="91" s="1"/>
  <c r="E43" i="91"/>
  <c r="I43" i="91" s="1"/>
  <c r="J43" i="91" s="1"/>
  <c r="E44" i="91"/>
  <c r="I44" i="91" s="1"/>
  <c r="J44" i="91" s="1"/>
  <c r="E45" i="91"/>
  <c r="I45" i="91" s="1"/>
  <c r="J45" i="91" s="1"/>
  <c r="A105" i="38"/>
  <c r="A66" i="38"/>
  <c r="A91" i="37"/>
  <c r="K77" i="38"/>
  <c r="K91" i="38" s="1"/>
  <c r="K76" i="38"/>
  <c r="K64" i="38"/>
  <c r="J31" i="47"/>
  <c r="D19" i="92" s="1"/>
  <c r="A2" i="84"/>
  <c r="A3" i="84"/>
  <c r="A5" i="84"/>
  <c r="A2" i="85"/>
  <c r="B2" i="85"/>
  <c r="F2" i="85"/>
  <c r="A3" i="85"/>
  <c r="B3" i="85"/>
  <c r="A6" i="85"/>
  <c r="A7" i="85"/>
  <c r="A67" i="85"/>
  <c r="A68" i="85"/>
  <c r="A69" i="85"/>
  <c r="A70" i="85"/>
  <c r="A71" i="85"/>
  <c r="A72" i="85"/>
  <c r="A73" i="85"/>
  <c r="A74" i="85"/>
  <c r="A75" i="85"/>
  <c r="A76" i="85"/>
  <c r="A77" i="85"/>
  <c r="A78" i="85"/>
  <c r="A79" i="85"/>
  <c r="A80" i="85"/>
  <c r="A81" i="85"/>
  <c r="A82" i="85"/>
  <c r="A83" i="85"/>
  <c r="A84" i="85"/>
  <c r="A85" i="85"/>
  <c r="A87" i="85"/>
  <c r="A88" i="85"/>
  <c r="A89" i="85"/>
  <c r="A90" i="85"/>
  <c r="A91" i="85"/>
  <c r="A92" i="85"/>
  <c r="A93" i="85"/>
  <c r="A94" i="85"/>
  <c r="A95" i="85"/>
  <c r="A96" i="85"/>
  <c r="A97" i="85"/>
  <c r="B3" i="83"/>
  <c r="B2" i="83"/>
  <c r="A71" i="83"/>
  <c r="A70" i="83"/>
  <c r="A69" i="83"/>
  <c r="A68" i="83"/>
  <c r="A67" i="83"/>
  <c r="A7" i="83"/>
  <c r="A6" i="83"/>
  <c r="A2" i="83"/>
  <c r="F2" i="83"/>
  <c r="A3" i="83"/>
  <c r="A5" i="82"/>
  <c r="A7" i="82"/>
  <c r="A6" i="82"/>
  <c r="A3" i="82"/>
  <c r="A2" i="82"/>
  <c r="K71" i="38"/>
  <c r="J3" i="38"/>
  <c r="A7" i="81"/>
  <c r="E7" i="81" s="1"/>
  <c r="J91" i="37"/>
  <c r="J3" i="37"/>
  <c r="J65" i="36"/>
  <c r="H65" i="36"/>
  <c r="E65" i="36"/>
  <c r="C65" i="36"/>
  <c r="J63" i="36"/>
  <c r="H60" i="36"/>
  <c r="J5" i="36"/>
  <c r="H5" i="36"/>
  <c r="H123" i="36"/>
  <c r="G123" i="36"/>
  <c r="G60" i="36"/>
  <c r="E5" i="36"/>
  <c r="C5" i="36"/>
  <c r="A2" i="76"/>
  <c r="E2" i="76"/>
  <c r="H2" i="76"/>
  <c r="A3" i="76"/>
  <c r="E3" i="76"/>
  <c r="A2" i="77"/>
  <c r="E2" i="77"/>
  <c r="H2" i="77"/>
  <c r="A3" i="77"/>
  <c r="E3" i="77"/>
  <c r="A2" i="78"/>
  <c r="E2" i="78"/>
  <c r="H2" i="78"/>
  <c r="A3" i="78"/>
  <c r="E3" i="78"/>
  <c r="A2" i="79"/>
  <c r="D2" i="79"/>
  <c r="F2" i="79"/>
  <c r="A3" i="79"/>
  <c r="D3" i="79"/>
  <c r="A6" i="79"/>
  <c r="A2" i="80"/>
  <c r="D2" i="80"/>
  <c r="G2" i="80"/>
  <c r="K2" i="80"/>
  <c r="A3" i="80"/>
  <c r="D3" i="80"/>
  <c r="G3" i="80"/>
  <c r="K3" i="80"/>
  <c r="A6" i="80"/>
  <c r="A2" i="81"/>
  <c r="D2" i="81"/>
  <c r="G2" i="81"/>
  <c r="K2" i="81"/>
  <c r="A3" i="81"/>
  <c r="D3" i="81"/>
  <c r="G3" i="81"/>
  <c r="K3" i="81"/>
  <c r="A2" i="75"/>
  <c r="A3" i="75"/>
  <c r="A5" i="75"/>
  <c r="A2" i="74"/>
  <c r="A3" i="74"/>
  <c r="A5" i="74"/>
  <c r="A96" i="62"/>
  <c r="A95" i="62"/>
  <c r="A93" i="62"/>
  <c r="F93" i="62"/>
  <c r="B93" i="62"/>
  <c r="H4" i="46"/>
  <c r="C3" i="46"/>
  <c r="A2" i="73"/>
  <c r="E2" i="73"/>
  <c r="H2" i="73"/>
  <c r="A3" i="73"/>
  <c r="E3" i="73"/>
  <c r="A3" i="67"/>
  <c r="A3" i="69"/>
  <c r="A7" i="69"/>
  <c r="A6" i="69"/>
  <c r="A5" i="69"/>
  <c r="A2" i="69"/>
  <c r="A62" i="70"/>
  <c r="A61" i="70"/>
  <c r="A7" i="70"/>
  <c r="A6" i="70"/>
  <c r="A5" i="70"/>
  <c r="A3" i="70"/>
  <c r="A2" i="70"/>
  <c r="A7" i="68"/>
  <c r="A6" i="68"/>
  <c r="A5" i="68"/>
  <c r="A3" i="68"/>
  <c r="A2" i="68"/>
  <c r="A2" i="67"/>
  <c r="J60" i="67"/>
  <c r="A62" i="67"/>
  <c r="A61" i="67"/>
  <c r="A6" i="67"/>
  <c r="A5" i="67"/>
  <c r="K7" i="54"/>
  <c r="K8" i="54" s="1"/>
  <c r="K9" i="54" s="1"/>
  <c r="K10" i="54" s="1"/>
  <c r="K11" i="54" s="1"/>
  <c r="K12" i="54" s="1"/>
  <c r="J7" i="52"/>
  <c r="J8" i="52" s="1"/>
  <c r="J9" i="52" s="1"/>
  <c r="J10" i="52" s="1"/>
  <c r="J11" i="52" s="1"/>
  <c r="J12" i="52" s="1"/>
  <c r="B63" i="46"/>
  <c r="E26" i="66"/>
  <c r="I26" i="66" s="1"/>
  <c r="E24" i="66"/>
  <c r="I24" i="66" s="1"/>
  <c r="E23" i="66"/>
  <c r="I23" i="66" s="1"/>
  <c r="E18" i="66"/>
  <c r="I18" i="66" s="1"/>
  <c r="E17" i="66"/>
  <c r="I17" i="66" s="1"/>
  <c r="E16" i="66"/>
  <c r="I16" i="66" s="1"/>
  <c r="F4" i="66"/>
  <c r="A2" i="66"/>
  <c r="C2" i="66"/>
  <c r="F2" i="66"/>
  <c r="A3" i="66"/>
  <c r="C3" i="66"/>
  <c r="C4" i="66"/>
  <c r="E7" i="66"/>
  <c r="I7" i="66" s="1"/>
  <c r="J7" i="66" s="1"/>
  <c r="E8" i="66"/>
  <c r="I8" i="66" s="1"/>
  <c r="J8" i="66" s="1"/>
  <c r="E9" i="66"/>
  <c r="I9" i="66" s="1"/>
  <c r="J9" i="66" s="1"/>
  <c r="E10" i="66"/>
  <c r="I10" i="66" s="1"/>
  <c r="J10" i="66" s="1"/>
  <c r="E11" i="66"/>
  <c r="I11" i="66" s="1"/>
  <c r="J11" i="66" s="1"/>
  <c r="E12" i="66"/>
  <c r="I12" i="66" s="1"/>
  <c r="J12" i="66" s="1"/>
  <c r="E13" i="66"/>
  <c r="I13" i="66" s="1"/>
  <c r="J13" i="66" s="1"/>
  <c r="E14" i="66"/>
  <c r="I14" i="66" s="1"/>
  <c r="J14" i="66" s="1"/>
  <c r="J19" i="66"/>
  <c r="E20" i="66"/>
  <c r="I20" i="66" s="1"/>
  <c r="E21" i="66"/>
  <c r="I21" i="66" s="1"/>
  <c r="E22" i="66"/>
  <c r="I22" i="66" s="1"/>
  <c r="E25" i="66"/>
  <c r="I25" i="66" s="1"/>
  <c r="J25" i="66" s="1"/>
  <c r="E28" i="66"/>
  <c r="I28" i="66" s="1"/>
  <c r="J28" i="66" s="1"/>
  <c r="E29" i="66"/>
  <c r="I29" i="66" s="1"/>
  <c r="J29" i="66" s="1"/>
  <c r="E30" i="66"/>
  <c r="I30" i="66" s="1"/>
  <c r="J30" i="66" s="1"/>
  <c r="E31" i="66"/>
  <c r="I31" i="66" s="1"/>
  <c r="J31" i="66" s="1"/>
  <c r="E32" i="66"/>
  <c r="I32" i="66" s="1"/>
  <c r="J32" i="66" s="1"/>
  <c r="E33" i="66"/>
  <c r="I33" i="66" s="1"/>
  <c r="J33" i="66" s="1"/>
  <c r="E35" i="66"/>
  <c r="I35" i="66" s="1"/>
  <c r="J35" i="66" s="1"/>
  <c r="E36" i="66"/>
  <c r="I36" i="66" s="1"/>
  <c r="J36" i="66" s="1"/>
  <c r="E37" i="66"/>
  <c r="I37" i="66" s="1"/>
  <c r="J37" i="66" s="1"/>
  <c r="G37" i="66"/>
  <c r="H37" i="66" s="1"/>
  <c r="E38" i="66"/>
  <c r="I38" i="66" s="1"/>
  <c r="J38" i="66" s="1"/>
  <c r="E39" i="66"/>
  <c r="I39" i="66" s="1"/>
  <c r="J39" i="66" s="1"/>
  <c r="E40" i="66"/>
  <c r="I40" i="66" s="1"/>
  <c r="J40" i="66" s="1"/>
  <c r="H40" i="66"/>
  <c r="E42" i="66"/>
  <c r="I42" i="66" s="1"/>
  <c r="J42" i="66" s="1"/>
  <c r="E43" i="66"/>
  <c r="I43" i="66" s="1"/>
  <c r="J43" i="66" s="1"/>
  <c r="E44" i="66"/>
  <c r="I44" i="66" s="1"/>
  <c r="J44" i="66" s="1"/>
  <c r="E45" i="66"/>
  <c r="I45" i="66" s="1"/>
  <c r="J45" i="66" s="1"/>
  <c r="A4" i="62"/>
  <c r="A7" i="62"/>
  <c r="A6" i="62"/>
  <c r="F4" i="62"/>
  <c r="B4" i="62"/>
  <c r="A8" i="55"/>
  <c r="A7" i="55"/>
  <c r="J8" i="54"/>
  <c r="A8" i="54"/>
  <c r="J7" i="54"/>
  <c r="A7" i="54"/>
  <c r="A8" i="53"/>
  <c r="A7" i="53"/>
  <c r="I8" i="52"/>
  <c r="A8" i="52"/>
  <c r="I7" i="52"/>
  <c r="A7" i="52"/>
  <c r="I4" i="52"/>
  <c r="A4" i="46"/>
  <c r="A3" i="53"/>
  <c r="A3" i="55"/>
  <c r="A2" i="52"/>
  <c r="D2" i="52"/>
  <c r="F2" i="52"/>
  <c r="I2" i="52"/>
  <c r="L2" i="52"/>
  <c r="N2" i="52"/>
  <c r="A3" i="52"/>
  <c r="D3" i="52"/>
  <c r="I3" i="52"/>
  <c r="L3" i="52"/>
  <c r="A2" i="53"/>
  <c r="B2" i="53"/>
  <c r="E2" i="53"/>
  <c r="B3" i="53"/>
  <c r="A2" i="54"/>
  <c r="E2" i="54"/>
  <c r="G2" i="54"/>
  <c r="J2" i="54"/>
  <c r="N2" i="54"/>
  <c r="P2" i="54"/>
  <c r="A3" i="54"/>
  <c r="E3" i="54"/>
  <c r="J3" i="54"/>
  <c r="N3" i="54"/>
  <c r="J4" i="54"/>
  <c r="A2" i="55"/>
  <c r="B2" i="55"/>
  <c r="F2" i="55"/>
  <c r="B3" i="55"/>
  <c r="A3" i="32"/>
  <c r="A2" i="32"/>
  <c r="A2" i="31"/>
  <c r="A7" i="46"/>
  <c r="A63" i="46"/>
  <c r="A8" i="46"/>
  <c r="A64" i="46"/>
  <c r="H91" i="37"/>
  <c r="A7" i="37"/>
  <c r="A6" i="37"/>
  <c r="A6" i="34"/>
  <c r="A6" i="33"/>
  <c r="A67" i="36"/>
  <c r="A66" i="36"/>
  <c r="A3" i="36"/>
  <c r="A63" i="36" s="1"/>
  <c r="G105" i="38"/>
  <c r="G66" i="38"/>
  <c r="A3" i="37"/>
  <c r="A71" i="38"/>
  <c r="A3" i="38"/>
  <c r="C123" i="36"/>
  <c r="A123" i="36"/>
  <c r="C60" i="36"/>
  <c r="A60" i="36"/>
  <c r="A7" i="36"/>
  <c r="J3" i="36"/>
  <c r="A70" i="38"/>
  <c r="G2" i="35"/>
  <c r="G2" i="34"/>
  <c r="D2" i="35"/>
  <c r="D2" i="34"/>
  <c r="F2" i="33"/>
  <c r="D2" i="33"/>
  <c r="A3" i="35"/>
  <c r="A3" i="34"/>
  <c r="A3" i="33"/>
  <c r="E3" i="32"/>
  <c r="E2" i="32"/>
  <c r="A2" i="35"/>
  <c r="A2" i="34"/>
  <c r="A2" i="33"/>
  <c r="E3" i="31"/>
  <c r="E2" i="31"/>
  <c r="A3" i="31"/>
  <c r="D3" i="33"/>
  <c r="K2" i="34"/>
  <c r="D3" i="34"/>
  <c r="G3" i="34"/>
  <c r="K3" i="34"/>
  <c r="K2" i="35"/>
  <c r="D3" i="35"/>
  <c r="G3" i="35"/>
  <c r="K3" i="35"/>
  <c r="H2" i="31"/>
  <c r="H2" i="32"/>
  <c r="A6" i="21"/>
  <c r="I6" i="21"/>
  <c r="E1" i="21"/>
  <c r="A8" i="21"/>
  <c r="L5" i="21" s="1"/>
  <c r="A7" i="21"/>
  <c r="H5" i="21"/>
  <c r="G5" i="21"/>
  <c r="F5" i="21"/>
  <c r="D5" i="21"/>
  <c r="C5" i="21"/>
  <c r="K5" i="21"/>
  <c r="U5" i="21"/>
  <c r="N6" i="21"/>
  <c r="Q5" i="21"/>
  <c r="S5" i="21"/>
  <c r="A3" i="21"/>
  <c r="B3" i="21" s="1"/>
  <c r="C3" i="21" s="1"/>
  <c r="C75" i="75"/>
  <c r="B75" i="75" s="1"/>
  <c r="C9" i="79" l="1"/>
  <c r="C57" i="80"/>
  <c r="C26" i="80"/>
  <c r="C17" i="79"/>
  <c r="C33" i="79"/>
  <c r="C23" i="79"/>
  <c r="C25" i="80"/>
  <c r="C19" i="79"/>
  <c r="C18" i="80"/>
  <c r="C17" i="80"/>
  <c r="C27" i="80"/>
  <c r="C8" i="80"/>
  <c r="C8" i="79"/>
  <c r="C10" i="80"/>
  <c r="C18" i="79"/>
  <c r="C28" i="80"/>
  <c r="C9" i="80"/>
  <c r="F19" i="79"/>
  <c r="D57" i="80"/>
  <c r="D28" i="80"/>
  <c r="D18" i="80"/>
  <c r="D17" i="80"/>
  <c r="D18" i="79"/>
  <c r="D8" i="80"/>
  <c r="D23" i="79"/>
  <c r="D26" i="80"/>
  <c r="D9" i="79"/>
  <c r="D27" i="80"/>
  <c r="D9" i="80"/>
  <c r="D33" i="79"/>
  <c r="D10" i="80"/>
  <c r="D17" i="79"/>
  <c r="D25" i="80"/>
  <c r="D8" i="79"/>
  <c r="D19" i="79"/>
  <c r="H23" i="79"/>
  <c r="H8" i="79"/>
  <c r="H18" i="79"/>
  <c r="H18" i="80"/>
  <c r="H9" i="79"/>
  <c r="H26" i="80"/>
  <c r="H8" i="80"/>
  <c r="H25" i="80"/>
  <c r="H33" i="79"/>
  <c r="H27" i="80"/>
  <c r="H10" i="80"/>
  <c r="H17" i="79"/>
  <c r="H17" i="80"/>
  <c r="H57" i="80"/>
  <c r="H9" i="80"/>
  <c r="H28" i="80"/>
  <c r="H19" i="79"/>
  <c r="F17" i="79"/>
  <c r="F8" i="80"/>
  <c r="F57" i="80"/>
  <c r="F28" i="80"/>
  <c r="F9" i="80"/>
  <c r="F10" i="80"/>
  <c r="F33" i="79"/>
  <c r="F9" i="79"/>
  <c r="F18" i="80"/>
  <c r="F23" i="79"/>
  <c r="F17" i="80"/>
  <c r="F26" i="80"/>
  <c r="F8" i="79"/>
  <c r="F18" i="79"/>
  <c r="F27" i="80"/>
  <c r="F25" i="80"/>
  <c r="G25" i="80"/>
  <c r="G9" i="79"/>
  <c r="G10" i="80"/>
  <c r="G9" i="80"/>
  <c r="G57" i="80"/>
  <c r="G8" i="80"/>
  <c r="G17" i="79"/>
  <c r="G8" i="79"/>
  <c r="G18" i="79"/>
  <c r="G23" i="79"/>
  <c r="G19" i="79"/>
  <c r="G17" i="80"/>
  <c r="G26" i="80"/>
  <c r="G33" i="79"/>
  <c r="G18" i="80"/>
  <c r="G27" i="80"/>
  <c r="G28" i="80"/>
  <c r="E18" i="80"/>
  <c r="E9" i="79"/>
  <c r="E8" i="79"/>
  <c r="E57" i="80"/>
  <c r="E26" i="80"/>
  <c r="E19" i="79"/>
  <c r="E33" i="79"/>
  <c r="E9" i="80"/>
  <c r="E8" i="80"/>
  <c r="E17" i="80"/>
  <c r="E25" i="80"/>
  <c r="E27" i="80"/>
  <c r="E28" i="80"/>
  <c r="E10" i="80"/>
  <c r="I10" i="80" s="1"/>
  <c r="K10" i="80" s="1"/>
  <c r="C70" i="36" s="1"/>
  <c r="L11" i="52" s="1"/>
  <c r="E23" i="79"/>
  <c r="E18" i="79"/>
  <c r="E17" i="79"/>
  <c r="H26" i="34"/>
  <c r="H19" i="33"/>
  <c r="H9" i="34"/>
  <c r="H33" i="33"/>
  <c r="H18" i="33"/>
  <c r="H8" i="34"/>
  <c r="H28" i="34"/>
  <c r="H18" i="34"/>
  <c r="H8" i="33"/>
  <c r="H23" i="33"/>
  <c r="H25" i="34"/>
  <c r="H27" i="34"/>
  <c r="H9" i="33"/>
  <c r="H17" i="34"/>
  <c r="H10" i="34"/>
  <c r="H57" i="34"/>
  <c r="H17" i="33"/>
  <c r="G8" i="34"/>
  <c r="G18" i="34"/>
  <c r="G18" i="33"/>
  <c r="G8" i="33"/>
  <c r="G17" i="33"/>
  <c r="G33" i="33"/>
  <c r="G28" i="34"/>
  <c r="G19" i="33"/>
  <c r="G25" i="34"/>
  <c r="G26" i="34"/>
  <c r="G27" i="34"/>
  <c r="G10" i="34"/>
  <c r="G57" i="34"/>
  <c r="G23" i="33"/>
  <c r="G17" i="34"/>
  <c r="G9" i="33"/>
  <c r="G9" i="34"/>
  <c r="C22" i="90"/>
  <c r="C37" i="88"/>
  <c r="C37" i="90" s="1"/>
  <c r="J36" i="37"/>
  <c r="J121" i="38" s="1"/>
  <c r="D125" i="62"/>
  <c r="F125" i="62" s="1"/>
  <c r="E125" i="62" s="1"/>
  <c r="E35" i="68"/>
  <c r="C36" i="88"/>
  <c r="C36" i="90" s="1"/>
  <c r="J35" i="37"/>
  <c r="D124" i="62"/>
  <c r="F124" i="62" s="1"/>
  <c r="E124" i="62" s="1"/>
  <c r="K59" i="87"/>
  <c r="H115" i="46"/>
  <c r="J115" i="46" s="1"/>
  <c r="I115" i="46" s="1"/>
  <c r="K30" i="87"/>
  <c r="H86" i="46"/>
  <c r="J86" i="46" s="1"/>
  <c r="I86" i="46" s="1"/>
  <c r="K20" i="87"/>
  <c r="H76" i="46"/>
  <c r="J76" i="46" s="1"/>
  <c r="I76" i="46" s="1"/>
  <c r="K12" i="87"/>
  <c r="H68" i="46"/>
  <c r="J68" i="46" s="1"/>
  <c r="I68" i="46" s="1"/>
  <c r="C11" i="87"/>
  <c r="H11" i="46"/>
  <c r="J11" i="46" s="1"/>
  <c r="I11" i="46" s="1"/>
  <c r="C21" i="87"/>
  <c r="H21" i="46"/>
  <c r="J21" i="46" s="1"/>
  <c r="I21" i="46" s="1"/>
  <c r="K9" i="89"/>
  <c r="K10" i="89" s="1"/>
  <c r="K11" i="89" s="1"/>
  <c r="K12" i="89" s="1"/>
  <c r="K13" i="89" s="1"/>
  <c r="K14" i="89" s="1"/>
  <c r="K15" i="89" s="1"/>
  <c r="K16" i="89" s="1"/>
  <c r="K17" i="89" s="1"/>
  <c r="E23" i="68"/>
  <c r="J23" i="37"/>
  <c r="C71" i="88"/>
  <c r="C71" i="90" s="1"/>
  <c r="J70" i="37"/>
  <c r="E22" i="68"/>
  <c r="J22" i="37"/>
  <c r="E55" i="68"/>
  <c r="B55" i="68" s="1"/>
  <c r="J55" i="37"/>
  <c r="C64" i="88"/>
  <c r="C64" i="90" s="1"/>
  <c r="J63" i="37"/>
  <c r="D152" i="62"/>
  <c r="F152" i="62" s="1"/>
  <c r="E152" i="62" s="1"/>
  <c r="E28" i="68"/>
  <c r="J28" i="37"/>
  <c r="E30" i="68"/>
  <c r="C31" i="88"/>
  <c r="C31" i="90" s="1"/>
  <c r="J30" i="37"/>
  <c r="J120" i="38" s="1"/>
  <c r="D119" i="62"/>
  <c r="F119" i="62" s="1"/>
  <c r="E119" i="62" s="1"/>
  <c r="E54" i="68"/>
  <c r="B54" i="68" s="1"/>
  <c r="E54" i="37" s="1"/>
  <c r="J54" i="37"/>
  <c r="C69" i="88"/>
  <c r="J68" i="37"/>
  <c r="C63" i="88"/>
  <c r="C63" i="90" s="1"/>
  <c r="J62" i="37"/>
  <c r="D151" i="62"/>
  <c r="F151" i="62" s="1"/>
  <c r="E151" i="62" s="1"/>
  <c r="E11" i="68"/>
  <c r="J11" i="37"/>
  <c r="C67" i="88"/>
  <c r="J66" i="37"/>
  <c r="E27" i="68"/>
  <c r="J27" i="37"/>
  <c r="C70" i="88"/>
  <c r="C70" i="90" s="1"/>
  <c r="J69" i="37"/>
  <c r="E21" i="68"/>
  <c r="J21" i="37"/>
  <c r="E29" i="68"/>
  <c r="B29" i="68" s="1"/>
  <c r="C30" i="88"/>
  <c r="C30" i="90" s="1"/>
  <c r="J29" i="37"/>
  <c r="D118" i="62"/>
  <c r="F118" i="62" s="1"/>
  <c r="E118" i="62" s="1"/>
  <c r="E24" i="68"/>
  <c r="B24" i="68" s="1"/>
  <c r="J24" i="37"/>
  <c r="C68" i="88"/>
  <c r="J67" i="37"/>
  <c r="F34" i="67"/>
  <c r="E34" i="67" s="1"/>
  <c r="J58" i="67"/>
  <c r="J123" i="67" s="1"/>
  <c r="J16" i="36"/>
  <c r="C17" i="87"/>
  <c r="C17" i="89" s="1"/>
  <c r="F63" i="81"/>
  <c r="E20" i="67"/>
  <c r="B20" i="67" s="1"/>
  <c r="J20" i="36"/>
  <c r="J80" i="36"/>
  <c r="H77" i="46"/>
  <c r="J77" i="46" s="1"/>
  <c r="I77" i="46" s="1"/>
  <c r="J71" i="36"/>
  <c r="K31" i="87"/>
  <c r="L31" i="89" s="1"/>
  <c r="J90" i="36"/>
  <c r="H87" i="46"/>
  <c r="J87" i="46" s="1"/>
  <c r="I87" i="46" s="1"/>
  <c r="C55" i="87"/>
  <c r="C55" i="89" s="1"/>
  <c r="J54" i="36"/>
  <c r="C27" i="87"/>
  <c r="C27" i="89" s="1"/>
  <c r="J26" i="36"/>
  <c r="J79" i="36"/>
  <c r="C58" i="87"/>
  <c r="J57" i="36"/>
  <c r="J30" i="36"/>
  <c r="H31" i="46"/>
  <c r="J31" i="46" s="1"/>
  <c r="I31" i="46" s="1"/>
  <c r="C56" i="87"/>
  <c r="C56" i="89" s="1"/>
  <c r="J55" i="36"/>
  <c r="C26" i="87"/>
  <c r="C26" i="89" s="1"/>
  <c r="J25" i="36"/>
  <c r="H14" i="46"/>
  <c r="J14" i="46" s="1"/>
  <c r="I14" i="46" s="1"/>
  <c r="J13" i="36"/>
  <c r="J89" i="36"/>
  <c r="E12" i="67"/>
  <c r="B12" i="67" s="1"/>
  <c r="J12" i="36"/>
  <c r="C57" i="87"/>
  <c r="C57" i="89" s="1"/>
  <c r="J56" i="36"/>
  <c r="E24" i="67"/>
  <c r="B24" i="67" s="1"/>
  <c r="D25" i="46" s="1"/>
  <c r="F25" i="46" s="1"/>
  <c r="E25" i="46" s="1"/>
  <c r="J24" i="36"/>
  <c r="J10" i="36"/>
  <c r="J81" i="36"/>
  <c r="H78" i="46"/>
  <c r="J78" i="46" s="1"/>
  <c r="I78" i="46" s="1"/>
  <c r="J82" i="36"/>
  <c r="H79" i="46"/>
  <c r="J79" i="46" s="1"/>
  <c r="I79" i="46" s="1"/>
  <c r="O103" i="31"/>
  <c r="O117" i="31"/>
  <c r="C62" i="81"/>
  <c r="F64" i="81"/>
  <c r="F61" i="81"/>
  <c r="F62" i="81"/>
  <c r="O102" i="31"/>
  <c r="O5" i="31"/>
  <c r="E9" i="73"/>
  <c r="N5" i="31"/>
  <c r="D61" i="81"/>
  <c r="D64" i="81"/>
  <c r="D62" i="81"/>
  <c r="H63" i="81"/>
  <c r="H64" i="81"/>
  <c r="H61" i="81"/>
  <c r="H62" i="81"/>
  <c r="G64" i="81"/>
  <c r="G62" i="81"/>
  <c r="G61" i="81"/>
  <c r="G63" i="81"/>
  <c r="E63" i="81"/>
  <c r="E62" i="81"/>
  <c r="E61" i="81"/>
  <c r="E64" i="81"/>
  <c r="H63" i="35"/>
  <c r="H61" i="35"/>
  <c r="H64" i="35"/>
  <c r="H62" i="35"/>
  <c r="O6" i="31"/>
  <c r="D63" i="81"/>
  <c r="O116" i="31"/>
  <c r="C61" i="81"/>
  <c r="C64" i="81"/>
  <c r="C63" i="81"/>
  <c r="G64" i="35"/>
  <c r="G61" i="35"/>
  <c r="G63" i="35"/>
  <c r="G62" i="35"/>
  <c r="J13" i="52"/>
  <c r="J14" i="52" s="1"/>
  <c r="J15" i="52" s="1"/>
  <c r="C87" i="81"/>
  <c r="C84" i="81"/>
  <c r="C85" i="81"/>
  <c r="C88" i="81"/>
  <c r="C81" i="81"/>
  <c r="C86" i="81"/>
  <c r="D87" i="81"/>
  <c r="D86" i="81"/>
  <c r="D84" i="81"/>
  <c r="D88" i="81"/>
  <c r="D85" i="81"/>
  <c r="H88" i="81"/>
  <c r="H84" i="81"/>
  <c r="H87" i="81"/>
  <c r="H86" i="81"/>
  <c r="H85" i="81"/>
  <c r="F85" i="81"/>
  <c r="F88" i="81"/>
  <c r="F87" i="81"/>
  <c r="F86" i="81"/>
  <c r="F84" i="81"/>
  <c r="G85" i="81"/>
  <c r="G88" i="81"/>
  <c r="G84" i="81"/>
  <c r="G87" i="81"/>
  <c r="G86" i="81"/>
  <c r="E87" i="81"/>
  <c r="E86" i="81"/>
  <c r="E88" i="81"/>
  <c r="E85" i="81"/>
  <c r="E84" i="81"/>
  <c r="C79" i="81"/>
  <c r="C76" i="81"/>
  <c r="C77" i="81"/>
  <c r="C80" i="81"/>
  <c r="C50" i="81"/>
  <c r="C82" i="81"/>
  <c r="D81" i="81"/>
  <c r="D50" i="81"/>
  <c r="D76" i="81"/>
  <c r="D79" i="81"/>
  <c r="D80" i="81"/>
  <c r="D82" i="81"/>
  <c r="D77" i="81"/>
  <c r="H50" i="81"/>
  <c r="H77" i="81"/>
  <c r="H79" i="81"/>
  <c r="H82" i="81"/>
  <c r="H80" i="81"/>
  <c r="H33" i="81"/>
  <c r="H76" i="81"/>
  <c r="H81" i="81"/>
  <c r="F79" i="81"/>
  <c r="F82" i="81"/>
  <c r="F76" i="81"/>
  <c r="F81" i="81"/>
  <c r="F50" i="81"/>
  <c r="F80" i="81"/>
  <c r="F77" i="81"/>
  <c r="G77" i="81"/>
  <c r="G50" i="81"/>
  <c r="G76" i="81"/>
  <c r="G82" i="81"/>
  <c r="G80" i="81"/>
  <c r="G79" i="81"/>
  <c r="G81" i="81"/>
  <c r="E81" i="81"/>
  <c r="E77" i="81"/>
  <c r="E50" i="81"/>
  <c r="E79" i="81"/>
  <c r="E80" i="81"/>
  <c r="E82" i="81"/>
  <c r="E76" i="81"/>
  <c r="H85" i="35"/>
  <c r="H82" i="35"/>
  <c r="H87" i="35"/>
  <c r="H88" i="35"/>
  <c r="H86" i="35"/>
  <c r="H84" i="35"/>
  <c r="H81" i="35"/>
  <c r="G85" i="35"/>
  <c r="G82" i="35"/>
  <c r="G88" i="35"/>
  <c r="G86" i="35"/>
  <c r="G87" i="35"/>
  <c r="G84" i="35"/>
  <c r="G81" i="35"/>
  <c r="G33" i="81"/>
  <c r="G26" i="79"/>
  <c r="G12" i="80"/>
  <c r="G11" i="79"/>
  <c r="G15" i="79"/>
  <c r="G38" i="80"/>
  <c r="G25" i="79"/>
  <c r="G29" i="81"/>
  <c r="G37" i="79"/>
  <c r="G36" i="79"/>
  <c r="G35" i="81"/>
  <c r="G15" i="80"/>
  <c r="G35" i="79"/>
  <c r="G34" i="81"/>
  <c r="G14" i="79"/>
  <c r="G30" i="81"/>
  <c r="E30" i="81"/>
  <c r="E15" i="79"/>
  <c r="E34" i="81"/>
  <c r="E25" i="79"/>
  <c r="E12" i="80"/>
  <c r="E14" i="79"/>
  <c r="E26" i="79"/>
  <c r="E33" i="81"/>
  <c r="E36" i="79"/>
  <c r="E29" i="81"/>
  <c r="E38" i="80"/>
  <c r="E35" i="79"/>
  <c r="E35" i="81"/>
  <c r="E11" i="79"/>
  <c r="E37" i="79"/>
  <c r="E15" i="80"/>
  <c r="D29" i="81"/>
  <c r="D36" i="79"/>
  <c r="D26" i="79"/>
  <c r="D33" i="81"/>
  <c r="D11" i="79"/>
  <c r="D34" i="81"/>
  <c r="D35" i="79"/>
  <c r="D15" i="80"/>
  <c r="D12" i="80"/>
  <c r="D37" i="79"/>
  <c r="D35" i="81"/>
  <c r="D14" i="79"/>
  <c r="D25" i="79"/>
  <c r="D15" i="79"/>
  <c r="D38" i="80"/>
  <c r="D30" i="81"/>
  <c r="H25" i="79"/>
  <c r="H37" i="79"/>
  <c r="H15" i="79"/>
  <c r="H36" i="79"/>
  <c r="H12" i="80"/>
  <c r="H29" i="81"/>
  <c r="H30" i="81"/>
  <c r="H34" i="81"/>
  <c r="H35" i="81"/>
  <c r="H35" i="79"/>
  <c r="H11" i="79"/>
  <c r="H14" i="79"/>
  <c r="H26" i="79"/>
  <c r="H38" i="80"/>
  <c r="H15" i="80"/>
  <c r="F34" i="81"/>
  <c r="F26" i="79"/>
  <c r="F38" i="80"/>
  <c r="F15" i="80"/>
  <c r="F11" i="79"/>
  <c r="F15" i="79"/>
  <c r="F35" i="79"/>
  <c r="F25" i="79"/>
  <c r="F35" i="81"/>
  <c r="F12" i="80"/>
  <c r="F29" i="81"/>
  <c r="F36" i="79"/>
  <c r="F37" i="79"/>
  <c r="F33" i="81"/>
  <c r="F30" i="81"/>
  <c r="F14" i="79"/>
  <c r="C15" i="80"/>
  <c r="C36" i="79"/>
  <c r="C11" i="79"/>
  <c r="C30" i="81"/>
  <c r="C15" i="79"/>
  <c r="C12" i="80"/>
  <c r="C37" i="79"/>
  <c r="C29" i="81"/>
  <c r="C33" i="81"/>
  <c r="C38" i="80"/>
  <c r="C14" i="79"/>
  <c r="C25" i="79"/>
  <c r="C35" i="81"/>
  <c r="C35" i="79"/>
  <c r="C34" i="81"/>
  <c r="C26" i="79"/>
  <c r="H79" i="35"/>
  <c r="G79" i="35"/>
  <c r="H35" i="35"/>
  <c r="H30" i="35"/>
  <c r="H50" i="35"/>
  <c r="H34" i="35"/>
  <c r="H33" i="35"/>
  <c r="G35" i="35"/>
  <c r="G30" i="35"/>
  <c r="G33" i="35"/>
  <c r="G50" i="35"/>
  <c r="G34" i="35"/>
  <c r="H29" i="35"/>
  <c r="H25" i="33"/>
  <c r="H37" i="33"/>
  <c r="H14" i="33"/>
  <c r="H38" i="34"/>
  <c r="H26" i="33"/>
  <c r="H15" i="33"/>
  <c r="H12" i="34"/>
  <c r="H11" i="33"/>
  <c r="H15" i="34"/>
  <c r="H35" i="33"/>
  <c r="G37" i="33"/>
  <c r="G29" i="35"/>
  <c r="G15" i="33"/>
  <c r="G12" i="34"/>
  <c r="G35" i="33"/>
  <c r="G14" i="33"/>
  <c r="G11" i="33"/>
  <c r="G38" i="34"/>
  <c r="G26" i="33"/>
  <c r="G15" i="34"/>
  <c r="G25" i="33"/>
  <c r="F31" i="68"/>
  <c r="E36" i="68"/>
  <c r="J87" i="67"/>
  <c r="J125" i="67" s="1"/>
  <c r="F7" i="67"/>
  <c r="J7" i="36" s="1"/>
  <c r="J122" i="67"/>
  <c r="B64" i="46"/>
  <c r="C51" i="88"/>
  <c r="C51" i="90" s="1"/>
  <c r="E50" i="68"/>
  <c r="B50" i="68" s="1"/>
  <c r="E50" i="37" s="1"/>
  <c r="E25" i="68"/>
  <c r="B25" i="68" s="1"/>
  <c r="E25" i="37" s="1"/>
  <c r="E26" i="68"/>
  <c r="B26" i="68" s="1"/>
  <c r="E26" i="37" s="1"/>
  <c r="J38" i="68"/>
  <c r="J93" i="68" s="1"/>
  <c r="C44" i="87"/>
  <c r="C44" i="89" s="1"/>
  <c r="E47" i="67"/>
  <c r="B47" i="67" s="1"/>
  <c r="C48" i="52" s="1"/>
  <c r="C48" i="54" s="1"/>
  <c r="C48" i="87"/>
  <c r="C48" i="89" s="1"/>
  <c r="H52" i="46"/>
  <c r="J52" i="46" s="1"/>
  <c r="I52" i="46" s="1"/>
  <c r="C52" i="87"/>
  <c r="C52" i="89" s="1"/>
  <c r="G124" i="84"/>
  <c r="K49" i="52"/>
  <c r="L49" i="54" s="1"/>
  <c r="C49" i="84"/>
  <c r="B49" i="84" s="1"/>
  <c r="B49" i="85" s="1"/>
  <c r="G49" i="85" s="1"/>
  <c r="I49" i="85" s="1"/>
  <c r="C49" i="38" s="1"/>
  <c r="H49" i="38"/>
  <c r="C12" i="90"/>
  <c r="C43" i="88"/>
  <c r="C43" i="90" s="1"/>
  <c r="J42" i="37"/>
  <c r="C28" i="87"/>
  <c r="C28" i="89" s="1"/>
  <c r="H28" i="46"/>
  <c r="J28" i="46" s="1"/>
  <c r="I28" i="46" s="1"/>
  <c r="G36" i="34"/>
  <c r="E36" i="34"/>
  <c r="D36" i="34"/>
  <c r="H36" i="34"/>
  <c r="F36" i="34"/>
  <c r="C36" i="34"/>
  <c r="H37" i="80"/>
  <c r="F37" i="80"/>
  <c r="D37" i="80"/>
  <c r="G37" i="80"/>
  <c r="E37" i="80"/>
  <c r="C37" i="80"/>
  <c r="H51" i="80"/>
  <c r="D51" i="80"/>
  <c r="G51" i="80"/>
  <c r="C51" i="80"/>
  <c r="F51" i="80"/>
  <c r="E51" i="80"/>
  <c r="C67" i="90"/>
  <c r="E78" i="68"/>
  <c r="B78" i="68" s="1"/>
  <c r="D78" i="62" s="1"/>
  <c r="F78" i="62" s="1"/>
  <c r="E78" i="62" s="1"/>
  <c r="J44" i="36"/>
  <c r="C45" i="87"/>
  <c r="C45" i="89" s="1"/>
  <c r="E48" i="67"/>
  <c r="B48" i="67" s="1"/>
  <c r="D49" i="46" s="1"/>
  <c r="F49" i="46" s="1"/>
  <c r="E49" i="46" s="1"/>
  <c r="C49" i="87"/>
  <c r="C49" i="89" s="1"/>
  <c r="C54" i="87"/>
  <c r="C54" i="89" s="1"/>
  <c r="H29" i="46"/>
  <c r="J29" i="46" s="1"/>
  <c r="I29" i="46" s="1"/>
  <c r="C29" i="87"/>
  <c r="C29" i="89" s="1"/>
  <c r="E104" i="36"/>
  <c r="K45" i="52"/>
  <c r="L45" i="54" s="1"/>
  <c r="K57" i="52"/>
  <c r="L57" i="54" s="1"/>
  <c r="C35" i="84"/>
  <c r="B35" i="84" s="1"/>
  <c r="B35" i="85" s="1"/>
  <c r="G35" i="85" s="1"/>
  <c r="I35" i="85" s="1"/>
  <c r="C35" i="38" s="1"/>
  <c r="H35" i="38"/>
  <c r="C18" i="84"/>
  <c r="B18" i="84" s="1"/>
  <c r="B18" i="85" s="1"/>
  <c r="G18" i="85" s="1"/>
  <c r="I18" i="85" s="1"/>
  <c r="C18" i="38" s="1"/>
  <c r="H18" i="38"/>
  <c r="B27" i="68"/>
  <c r="E27" i="37" s="1"/>
  <c r="E122" i="38" s="1"/>
  <c r="C41" i="88"/>
  <c r="C41" i="90" s="1"/>
  <c r="J40" i="37"/>
  <c r="D112" i="62"/>
  <c r="F112" i="62" s="1"/>
  <c r="E112" i="62" s="1"/>
  <c r="C27" i="79"/>
  <c r="C19" i="80"/>
  <c r="C65" i="81"/>
  <c r="C56" i="81"/>
  <c r="C57" i="81"/>
  <c r="E39" i="67"/>
  <c r="B39" i="67" s="1"/>
  <c r="C40" i="87"/>
  <c r="C40" i="89" s="1"/>
  <c r="E96" i="36"/>
  <c r="K37" i="52"/>
  <c r="L37" i="54" s="1"/>
  <c r="E102" i="36"/>
  <c r="K43" i="52"/>
  <c r="L43" i="54" s="1"/>
  <c r="K55" i="52"/>
  <c r="L55" i="54" s="1"/>
  <c r="H36" i="80"/>
  <c r="F36" i="80"/>
  <c r="D36" i="80"/>
  <c r="G36" i="80"/>
  <c r="E36" i="80"/>
  <c r="C36" i="80"/>
  <c r="F50" i="80"/>
  <c r="E50" i="80"/>
  <c r="H50" i="80"/>
  <c r="D50" i="80"/>
  <c r="G50" i="80"/>
  <c r="C50" i="80"/>
  <c r="C56" i="88"/>
  <c r="C56" i="90" s="1"/>
  <c r="D158" i="62"/>
  <c r="F158" i="62" s="1"/>
  <c r="E158" i="62" s="1"/>
  <c r="E75" i="68"/>
  <c r="B75" i="68" s="1"/>
  <c r="E75" i="37" s="1"/>
  <c r="D168" i="62"/>
  <c r="F168" i="62" s="1"/>
  <c r="E168" i="62" s="1"/>
  <c r="J79" i="37"/>
  <c r="J34" i="36"/>
  <c r="C35" i="87"/>
  <c r="C35" i="89" s="1"/>
  <c r="E41" i="67"/>
  <c r="B41" i="67" s="1"/>
  <c r="E41" i="36" s="1"/>
  <c r="C42" i="87"/>
  <c r="C42" i="89" s="1"/>
  <c r="H46" i="46"/>
  <c r="J46" i="46" s="1"/>
  <c r="I46" i="46" s="1"/>
  <c r="C46" i="87"/>
  <c r="C46" i="89" s="1"/>
  <c r="J49" i="36"/>
  <c r="C50" i="87"/>
  <c r="C50" i="89" s="1"/>
  <c r="B87" i="70"/>
  <c r="B125" i="70" s="1"/>
  <c r="C45" i="82"/>
  <c r="B28" i="68"/>
  <c r="E28" i="37" s="1"/>
  <c r="C40" i="88"/>
  <c r="C40" i="90" s="1"/>
  <c r="J39" i="37"/>
  <c r="B35" i="68"/>
  <c r="B22" i="68"/>
  <c r="E22" i="37" s="1"/>
  <c r="G57" i="81"/>
  <c r="G65" i="81"/>
  <c r="G19" i="80"/>
  <c r="G27" i="79"/>
  <c r="G56" i="81"/>
  <c r="E19" i="80"/>
  <c r="E56" i="81"/>
  <c r="E27" i="79"/>
  <c r="E65" i="81"/>
  <c r="E57" i="81"/>
  <c r="C72" i="88"/>
  <c r="C72" i="90" s="1"/>
  <c r="E51" i="34"/>
  <c r="F51" i="34"/>
  <c r="H51" i="34"/>
  <c r="D51" i="34"/>
  <c r="G51" i="34"/>
  <c r="C51" i="34"/>
  <c r="C55" i="88"/>
  <c r="C55" i="90" s="1"/>
  <c r="C69" i="90"/>
  <c r="E62" i="68"/>
  <c r="B62" i="68" s="1"/>
  <c r="D165" i="62"/>
  <c r="F165" i="62" s="1"/>
  <c r="E165" i="62" s="1"/>
  <c r="C77" i="88"/>
  <c r="C77" i="90" s="1"/>
  <c r="E81" i="68"/>
  <c r="B81" i="68" s="1"/>
  <c r="J81" i="37"/>
  <c r="E86" i="68"/>
  <c r="B86" i="68" s="1"/>
  <c r="J86" i="37"/>
  <c r="C43" i="87"/>
  <c r="C43" i="89" s="1"/>
  <c r="J46" i="36"/>
  <c r="C47" i="87"/>
  <c r="C47" i="89" s="1"/>
  <c r="E120" i="36"/>
  <c r="D17" i="92" s="1"/>
  <c r="K61" i="52"/>
  <c r="L61" i="54" s="1"/>
  <c r="C44" i="88"/>
  <c r="C44" i="90" s="1"/>
  <c r="D19" i="80"/>
  <c r="D56" i="81"/>
  <c r="D65" i="81"/>
  <c r="D27" i="79"/>
  <c r="D57" i="81"/>
  <c r="H19" i="80"/>
  <c r="H65" i="81"/>
  <c r="H57" i="81"/>
  <c r="H56" i="81"/>
  <c r="H27" i="79"/>
  <c r="F56" i="81"/>
  <c r="F27" i="79"/>
  <c r="F19" i="80"/>
  <c r="F65" i="81"/>
  <c r="F57" i="81"/>
  <c r="H65" i="35"/>
  <c r="H56" i="35"/>
  <c r="H57" i="35"/>
  <c r="G65" i="35"/>
  <c r="G56" i="35"/>
  <c r="G57" i="35"/>
  <c r="D13" i="46"/>
  <c r="F13" i="46" s="1"/>
  <c r="E13" i="46" s="1"/>
  <c r="D108" i="46"/>
  <c r="F108" i="46" s="1"/>
  <c r="E108" i="46" s="1"/>
  <c r="K52" i="52"/>
  <c r="L52" i="54" s="1"/>
  <c r="C37" i="34"/>
  <c r="G37" i="34"/>
  <c r="H37" i="34"/>
  <c r="F37" i="34"/>
  <c r="D37" i="34"/>
  <c r="E37" i="34"/>
  <c r="G50" i="34"/>
  <c r="C50" i="34"/>
  <c r="H50" i="34"/>
  <c r="F50" i="34"/>
  <c r="E50" i="34"/>
  <c r="D50" i="34"/>
  <c r="C61" i="88"/>
  <c r="C61" i="90" s="1"/>
  <c r="C68" i="90"/>
  <c r="C31" i="87"/>
  <c r="E77" i="68"/>
  <c r="B77" i="68" s="1"/>
  <c r="D77" i="62" s="1"/>
  <c r="F77" i="62" s="1"/>
  <c r="E77" i="62" s="1"/>
  <c r="C78" i="88"/>
  <c r="C78" i="90" s="1"/>
  <c r="D171" i="62"/>
  <c r="F171" i="62" s="1"/>
  <c r="E171" i="62" s="1"/>
  <c r="J82" i="37"/>
  <c r="E87" i="68"/>
  <c r="B87" i="68" s="1"/>
  <c r="E87" i="37" s="1"/>
  <c r="J87" i="37"/>
  <c r="B44" i="82"/>
  <c r="I116" i="74"/>
  <c r="I129" i="74" s="1"/>
  <c r="I128" i="74"/>
  <c r="E116" i="74"/>
  <c r="E129" i="74" s="1"/>
  <c r="E128" i="74"/>
  <c r="N116" i="74"/>
  <c r="N129" i="74" s="1"/>
  <c r="N128" i="74"/>
  <c r="C59" i="82"/>
  <c r="B52" i="82"/>
  <c r="B76" i="83"/>
  <c r="G76" i="83" s="1"/>
  <c r="I76" i="83" s="1"/>
  <c r="C76" i="84" s="1"/>
  <c r="B76" i="84" s="1"/>
  <c r="B76" i="85" s="1"/>
  <c r="G76" i="85" s="1"/>
  <c r="I76" i="85" s="1"/>
  <c r="C82" i="38" s="1"/>
  <c r="B113" i="82"/>
  <c r="B94" i="83"/>
  <c r="G94" i="83" s="1"/>
  <c r="I94" i="83" s="1"/>
  <c r="I98" i="83" s="1"/>
  <c r="B30" i="82"/>
  <c r="C31" i="82"/>
  <c r="B20" i="82"/>
  <c r="B43" i="68"/>
  <c r="C44" i="53" s="1"/>
  <c r="C44" i="55" s="1"/>
  <c r="C116" i="67"/>
  <c r="C129" i="67" s="1"/>
  <c r="C128" i="67"/>
  <c r="A48" i="80"/>
  <c r="D48" i="80" s="1"/>
  <c r="I63" i="87"/>
  <c r="J48" i="89"/>
  <c r="A116" i="67"/>
  <c r="E74" i="67"/>
  <c r="B74" i="67" s="1"/>
  <c r="D76" i="46" s="1"/>
  <c r="F76" i="46" s="1"/>
  <c r="E76" i="46" s="1"/>
  <c r="G121" i="84"/>
  <c r="E85" i="67"/>
  <c r="B85" i="67" s="1"/>
  <c r="E84" i="67"/>
  <c r="B84" i="67" s="1"/>
  <c r="G27" i="33"/>
  <c r="G19" i="34"/>
  <c r="H19" i="34"/>
  <c r="H27" i="33"/>
  <c r="B114" i="70"/>
  <c r="B128" i="70" s="1"/>
  <c r="C128" i="70"/>
  <c r="C126" i="70"/>
  <c r="B100" i="70"/>
  <c r="B126" i="70" s="1"/>
  <c r="B31" i="70"/>
  <c r="B122" i="70" s="1"/>
  <c r="B58" i="70"/>
  <c r="B123" i="70" s="1"/>
  <c r="B34" i="33"/>
  <c r="B58" i="33" s="1"/>
  <c r="B34" i="34"/>
  <c r="B7" i="34"/>
  <c r="B32" i="34" s="1"/>
  <c r="B7" i="33"/>
  <c r="B31" i="33" s="1"/>
  <c r="B60" i="35"/>
  <c r="F108" i="67"/>
  <c r="J113" i="36" s="1"/>
  <c r="J114" i="67"/>
  <c r="J128" i="67" s="1"/>
  <c r="F89" i="67"/>
  <c r="K35" i="87" s="1"/>
  <c r="L35" i="89" s="1"/>
  <c r="F62" i="67"/>
  <c r="J67" i="36" s="1"/>
  <c r="F12" i="68"/>
  <c r="E25" i="81"/>
  <c r="C25" i="81"/>
  <c r="C53" i="79"/>
  <c r="C37" i="81"/>
  <c r="G25" i="81"/>
  <c r="G53" i="79"/>
  <c r="G37" i="81"/>
  <c r="G54" i="33"/>
  <c r="G55" i="33"/>
  <c r="G37" i="35"/>
  <c r="E57" i="67"/>
  <c r="B57" i="67" s="1"/>
  <c r="D25" i="81"/>
  <c r="D53" i="79"/>
  <c r="D37" i="81"/>
  <c r="H53" i="79"/>
  <c r="H37" i="81"/>
  <c r="F53" i="79"/>
  <c r="F37" i="81"/>
  <c r="E53" i="79"/>
  <c r="E37" i="81"/>
  <c r="H54" i="33"/>
  <c r="H55" i="33"/>
  <c r="H37" i="35"/>
  <c r="H57" i="46"/>
  <c r="J57" i="46" s="1"/>
  <c r="I57" i="46" s="1"/>
  <c r="F71" i="67"/>
  <c r="G123" i="84"/>
  <c r="F70" i="67"/>
  <c r="K16" i="87" s="1"/>
  <c r="B55" i="83"/>
  <c r="G55" i="83" s="1"/>
  <c r="I55" i="83" s="1"/>
  <c r="H55" i="38" s="1"/>
  <c r="F6" i="68"/>
  <c r="H25" i="81"/>
  <c r="F25" i="81"/>
  <c r="H25" i="35"/>
  <c r="G25" i="35"/>
  <c r="H21" i="31"/>
  <c r="E68" i="81"/>
  <c r="G68" i="81"/>
  <c r="F68" i="81"/>
  <c r="G55" i="81"/>
  <c r="F55" i="81"/>
  <c r="E55" i="81"/>
  <c r="F67" i="81"/>
  <c r="E67" i="81"/>
  <c r="G67" i="81"/>
  <c r="F60" i="81"/>
  <c r="E60" i="81"/>
  <c r="G60" i="81"/>
  <c r="E54" i="81"/>
  <c r="G54" i="81"/>
  <c r="F54" i="81"/>
  <c r="G70" i="81"/>
  <c r="F70" i="81"/>
  <c r="E70" i="81"/>
  <c r="G66" i="81"/>
  <c r="F66" i="81"/>
  <c r="E66" i="81"/>
  <c r="G69" i="81"/>
  <c r="F69" i="81"/>
  <c r="E69" i="81"/>
  <c r="G58" i="81"/>
  <c r="F58" i="81"/>
  <c r="E58" i="81"/>
  <c r="H7" i="35"/>
  <c r="D7" i="35"/>
  <c r="G7" i="35"/>
  <c r="F7" i="35"/>
  <c r="E7" i="35"/>
  <c r="C7" i="35"/>
  <c r="B6" i="35"/>
  <c r="O116" i="70"/>
  <c r="O129" i="70" s="1"/>
  <c r="K116" i="70"/>
  <c r="K129" i="70" s="1"/>
  <c r="G116" i="70"/>
  <c r="G129" i="70" s="1"/>
  <c r="N116" i="70"/>
  <c r="N129" i="70" s="1"/>
  <c r="J116" i="70"/>
  <c r="J129" i="70" s="1"/>
  <c r="B53" i="34"/>
  <c r="B59" i="34" s="1"/>
  <c r="B61" i="34" s="1"/>
  <c r="M116" i="70"/>
  <c r="M129" i="70" s="1"/>
  <c r="I116" i="70"/>
  <c r="I129" i="70" s="1"/>
  <c r="L116" i="70"/>
  <c r="L129" i="70" s="1"/>
  <c r="H116" i="70"/>
  <c r="H129" i="70" s="1"/>
  <c r="G69" i="35"/>
  <c r="G67" i="35"/>
  <c r="G60" i="35"/>
  <c r="G55" i="35"/>
  <c r="G70" i="35"/>
  <c r="G68" i="35"/>
  <c r="G66" i="35"/>
  <c r="G58" i="35"/>
  <c r="G54" i="35"/>
  <c r="H69" i="35"/>
  <c r="H67" i="35"/>
  <c r="H60" i="35"/>
  <c r="H55" i="35"/>
  <c r="H70" i="35"/>
  <c r="H68" i="35"/>
  <c r="H66" i="35"/>
  <c r="H58" i="35"/>
  <c r="H54" i="35"/>
  <c r="D67" i="81"/>
  <c r="J46" i="35"/>
  <c r="J47" i="35" s="1"/>
  <c r="E84" i="68"/>
  <c r="B84" i="68" s="1"/>
  <c r="D177" i="62"/>
  <c r="F177" i="62" s="1"/>
  <c r="E177" i="62" s="1"/>
  <c r="G116" i="74"/>
  <c r="G129" i="74" s="1"/>
  <c r="D159" i="62"/>
  <c r="F159" i="62" s="1"/>
  <c r="E159" i="62" s="1"/>
  <c r="J46" i="80"/>
  <c r="J62" i="80" s="1"/>
  <c r="M116" i="67"/>
  <c r="M129" i="67" s="1"/>
  <c r="L101" i="70"/>
  <c r="E88" i="68"/>
  <c r="B88" i="68" s="1"/>
  <c r="E88" i="37" s="1"/>
  <c r="G101" i="74"/>
  <c r="G127" i="74" s="1"/>
  <c r="D173" i="62"/>
  <c r="F173" i="62" s="1"/>
  <c r="E173" i="62" s="1"/>
  <c r="D167" i="62"/>
  <c r="F167" i="62" s="1"/>
  <c r="E167" i="62" s="1"/>
  <c r="D147" i="62"/>
  <c r="F147" i="62" s="1"/>
  <c r="E147" i="62" s="1"/>
  <c r="Y116" i="67"/>
  <c r="Y129" i="67" s="1"/>
  <c r="AB101" i="67"/>
  <c r="AB127" i="67" s="1"/>
  <c r="B30" i="68"/>
  <c r="D117" i="62"/>
  <c r="F117" i="62" s="1"/>
  <c r="E117" i="62" s="1"/>
  <c r="B21" i="68"/>
  <c r="E21" i="37" s="1"/>
  <c r="C29" i="88"/>
  <c r="C29" i="90" s="1"/>
  <c r="E43" i="37"/>
  <c r="D110" i="62"/>
  <c r="F110" i="62" s="1"/>
  <c r="E110" i="62" s="1"/>
  <c r="D52" i="75"/>
  <c r="D51" i="75" s="1"/>
  <c r="T101" i="67"/>
  <c r="T127" i="67" s="1"/>
  <c r="B39" i="68"/>
  <c r="G21" i="81"/>
  <c r="H98" i="46"/>
  <c r="J98" i="46" s="1"/>
  <c r="I98" i="46" s="1"/>
  <c r="D131" i="62"/>
  <c r="F131" i="62" s="1"/>
  <c r="E131" i="62" s="1"/>
  <c r="D113" i="46"/>
  <c r="F113" i="46" s="1"/>
  <c r="E113" i="46" s="1"/>
  <c r="H10" i="73"/>
  <c r="H40" i="46"/>
  <c r="J40" i="46" s="1"/>
  <c r="I40" i="46" s="1"/>
  <c r="J110" i="36"/>
  <c r="D111" i="46"/>
  <c r="F111" i="46" s="1"/>
  <c r="E111" i="46" s="1"/>
  <c r="K101" i="67"/>
  <c r="K127" i="67" s="1"/>
  <c r="E114" i="36"/>
  <c r="E13" i="81"/>
  <c r="D143" i="62"/>
  <c r="F143" i="62" s="1"/>
  <c r="E143" i="62" s="1"/>
  <c r="AG52" i="68"/>
  <c r="AG97" i="68" s="1"/>
  <c r="AC52" i="68"/>
  <c r="AC51" i="68" s="1"/>
  <c r="U52" i="68"/>
  <c r="U97" i="68" s="1"/>
  <c r="E68" i="68"/>
  <c r="B68" i="68" s="1"/>
  <c r="E68" i="37" s="1"/>
  <c r="M52" i="75"/>
  <c r="M97" i="75" s="1"/>
  <c r="C28" i="88"/>
  <c r="C28" i="90" s="1"/>
  <c r="J51" i="36"/>
  <c r="X101" i="67"/>
  <c r="X127" i="67" s="1"/>
  <c r="J108" i="36"/>
  <c r="K41" i="68"/>
  <c r="K44" i="68" s="1"/>
  <c r="K49" i="68" s="1"/>
  <c r="K80" i="68" s="1"/>
  <c r="K83" i="68" s="1"/>
  <c r="K89" i="68" s="1"/>
  <c r="C82" i="84"/>
  <c r="B82" i="84" s="1"/>
  <c r="B82" i="85" s="1"/>
  <c r="G82" i="85" s="1"/>
  <c r="I82" i="85" s="1"/>
  <c r="C88" i="38" s="1"/>
  <c r="E28" i="35"/>
  <c r="N52" i="68"/>
  <c r="N97" i="68" s="1"/>
  <c r="C33" i="84"/>
  <c r="B33" i="84" s="1"/>
  <c r="B33" i="85" s="1"/>
  <c r="G33" i="85" s="1"/>
  <c r="I33" i="85" s="1"/>
  <c r="C33" i="38" s="1"/>
  <c r="K52" i="87"/>
  <c r="L52" i="89" s="1"/>
  <c r="C116" i="70"/>
  <c r="S116" i="67"/>
  <c r="S129" i="67" s="1"/>
  <c r="AF52" i="68"/>
  <c r="AF51" i="68" s="1"/>
  <c r="P52" i="68"/>
  <c r="P51" i="68" s="1"/>
  <c r="L52" i="68"/>
  <c r="L51" i="68" s="1"/>
  <c r="D41" i="75"/>
  <c r="D44" i="75" s="1"/>
  <c r="D111" i="84" s="1"/>
  <c r="H80" i="38"/>
  <c r="H146" i="38" s="1"/>
  <c r="AE101" i="67"/>
  <c r="AE127" i="67" s="1"/>
  <c r="AA101" i="67"/>
  <c r="AA127" i="67" s="1"/>
  <c r="C81" i="84"/>
  <c r="B81" i="84" s="1"/>
  <c r="B81" i="85" s="1"/>
  <c r="G81" i="85" s="1"/>
  <c r="I81" i="85" s="1"/>
  <c r="C87" i="38" s="1"/>
  <c r="J116" i="36"/>
  <c r="F13" i="81"/>
  <c r="C26" i="88"/>
  <c r="C26" i="90" s="1"/>
  <c r="G7" i="81"/>
  <c r="Z116" i="67"/>
  <c r="Z129" i="67" s="1"/>
  <c r="H13" i="81"/>
  <c r="F27" i="81"/>
  <c r="AH116" i="67"/>
  <c r="AH129" i="67" s="1"/>
  <c r="G27" i="81"/>
  <c r="L41" i="69"/>
  <c r="L44" i="69" s="1"/>
  <c r="L111" i="82" s="1"/>
  <c r="I116" i="67"/>
  <c r="I129" i="67" s="1"/>
  <c r="M95" i="68"/>
  <c r="D59" i="67"/>
  <c r="D124" i="67" s="1"/>
  <c r="E27" i="67"/>
  <c r="B27" i="67" s="1"/>
  <c r="E27" i="36" s="1"/>
  <c r="AC41" i="68"/>
  <c r="AC44" i="68" s="1"/>
  <c r="AC95" i="68" s="1"/>
  <c r="AD101" i="67"/>
  <c r="AD127" i="67" s="1"/>
  <c r="J97" i="36"/>
  <c r="H94" i="46"/>
  <c r="J94" i="46" s="1"/>
  <c r="I94" i="46" s="1"/>
  <c r="E104" i="67"/>
  <c r="B104" i="67" s="1"/>
  <c r="K50" i="87"/>
  <c r="L50" i="89" s="1"/>
  <c r="D128" i="62"/>
  <c r="F128" i="62" s="1"/>
  <c r="E128" i="62" s="1"/>
  <c r="K52" i="69"/>
  <c r="K97" i="69" s="1"/>
  <c r="K52" i="68"/>
  <c r="K51" i="68" s="1"/>
  <c r="I52" i="68"/>
  <c r="I51" i="68" s="1"/>
  <c r="D22" i="62"/>
  <c r="F22" i="62" s="1"/>
  <c r="E22" i="62" s="1"/>
  <c r="J111" i="36"/>
  <c r="J101" i="36"/>
  <c r="D170" i="62"/>
  <c r="F170" i="62" s="1"/>
  <c r="E170" i="62" s="1"/>
  <c r="D111" i="62"/>
  <c r="F111" i="62" s="1"/>
  <c r="E111" i="62" s="1"/>
  <c r="E111" i="36"/>
  <c r="D175" i="62"/>
  <c r="F175" i="62" s="1"/>
  <c r="E175" i="62" s="1"/>
  <c r="H117" i="46"/>
  <c r="J117" i="46" s="1"/>
  <c r="I117" i="46" s="1"/>
  <c r="H108" i="46"/>
  <c r="J108" i="46" s="1"/>
  <c r="I108" i="46" s="1"/>
  <c r="C23" i="88"/>
  <c r="C23" i="90" s="1"/>
  <c r="G41" i="69"/>
  <c r="G44" i="69" s="1"/>
  <c r="G49" i="69" s="1"/>
  <c r="G80" i="69" s="1"/>
  <c r="G83" i="69" s="1"/>
  <c r="G89" i="69" s="1"/>
  <c r="D157" i="62"/>
  <c r="F157" i="62" s="1"/>
  <c r="E157" i="62" s="1"/>
  <c r="D116" i="67"/>
  <c r="D129" i="67" s="1"/>
  <c r="A62" i="34"/>
  <c r="E116" i="70"/>
  <c r="E129" i="70" s="1"/>
  <c r="V101" i="67"/>
  <c r="V127" i="67" s="1"/>
  <c r="C28" i="53"/>
  <c r="C28" i="55" s="1"/>
  <c r="C13" i="88"/>
  <c r="C13" i="90" s="1"/>
  <c r="V116" i="67"/>
  <c r="V129" i="67" s="1"/>
  <c r="H58" i="46"/>
  <c r="J58" i="46" s="1"/>
  <c r="I58" i="46" s="1"/>
  <c r="D176" i="62"/>
  <c r="F176" i="62" s="1"/>
  <c r="E176" i="62" s="1"/>
  <c r="I59" i="70"/>
  <c r="I124" i="70" s="1"/>
  <c r="E25" i="67"/>
  <c r="B25" i="67" s="1"/>
  <c r="E25" i="36" s="1"/>
  <c r="K95" i="38"/>
  <c r="K82" i="38"/>
  <c r="D132" i="62"/>
  <c r="F132" i="62" s="1"/>
  <c r="E132" i="62" s="1"/>
  <c r="N59" i="70"/>
  <c r="N124" i="70" s="1"/>
  <c r="J123" i="38"/>
  <c r="C59" i="70"/>
  <c r="G44" i="75"/>
  <c r="G111" i="84" s="1"/>
  <c r="D58" i="46"/>
  <c r="F58" i="46" s="1"/>
  <c r="E58" i="46" s="1"/>
  <c r="E27" i="81"/>
  <c r="D149" i="62"/>
  <c r="F149" i="62" s="1"/>
  <c r="E149" i="62" s="1"/>
  <c r="AD116" i="67"/>
  <c r="AD129" i="67" s="1"/>
  <c r="O45" i="84"/>
  <c r="O103" i="84" s="1"/>
  <c r="I31" i="84"/>
  <c r="I102" i="84" s="1"/>
  <c r="T59" i="67"/>
  <c r="T124" i="67" s="1"/>
  <c r="P59" i="67"/>
  <c r="P124" i="67" s="1"/>
  <c r="D43" i="62"/>
  <c r="F43" i="62" s="1"/>
  <c r="E43" i="62" s="1"/>
  <c r="E116" i="36"/>
  <c r="E79" i="68"/>
  <c r="B79" i="68" s="1"/>
  <c r="E79" i="37" s="1"/>
  <c r="E82" i="68"/>
  <c r="B82" i="68" s="1"/>
  <c r="E82" i="37" s="1"/>
  <c r="E8" i="73"/>
  <c r="C84" i="84"/>
  <c r="B84" i="84" s="1"/>
  <c r="B84" i="85" s="1"/>
  <c r="G84" i="85" s="1"/>
  <c r="I84" i="85" s="1"/>
  <c r="C90" i="38" s="1"/>
  <c r="C37" i="84"/>
  <c r="B37" i="84" s="1"/>
  <c r="B37" i="85" s="1"/>
  <c r="G37" i="85" s="1"/>
  <c r="I37" i="85" s="1"/>
  <c r="C37" i="38" s="1"/>
  <c r="K90" i="38"/>
  <c r="J43" i="37"/>
  <c r="K57" i="87"/>
  <c r="L57" i="89" s="1"/>
  <c r="AF116" i="67"/>
  <c r="AF129" i="67" s="1"/>
  <c r="H27" i="81"/>
  <c r="J116" i="74"/>
  <c r="J129" i="74" s="1"/>
  <c r="G13" i="81"/>
  <c r="O101" i="67"/>
  <c r="O127" i="67" s="1"/>
  <c r="J118" i="36"/>
  <c r="E113" i="67"/>
  <c r="B113" i="67" s="1"/>
  <c r="D44" i="68"/>
  <c r="D49" i="68" s="1"/>
  <c r="D94" i="68"/>
  <c r="C83" i="84"/>
  <c r="H89" i="38"/>
  <c r="W101" i="67"/>
  <c r="W127" i="67" s="1"/>
  <c r="J109" i="36"/>
  <c r="H106" i="46"/>
  <c r="J106" i="46" s="1"/>
  <c r="I106" i="46" s="1"/>
  <c r="H101" i="70"/>
  <c r="S101" i="67"/>
  <c r="M101" i="67"/>
  <c r="M127" i="67" s="1"/>
  <c r="H116" i="74"/>
  <c r="H129" i="74" s="1"/>
  <c r="AB116" i="67"/>
  <c r="AE41" i="68"/>
  <c r="AE94" i="68" s="1"/>
  <c r="A47" i="80"/>
  <c r="C36" i="92"/>
  <c r="Y59" i="67"/>
  <c r="Y124" i="67" s="1"/>
  <c r="Q59" i="67"/>
  <c r="Q124" i="67" s="1"/>
  <c r="B116" i="82"/>
  <c r="X59" i="67"/>
  <c r="X124" i="67" s="1"/>
  <c r="AB59" i="67"/>
  <c r="AB124" i="67" s="1"/>
  <c r="C13" i="35"/>
  <c r="G101" i="67"/>
  <c r="G127" i="67" s="1"/>
  <c r="G59" i="67"/>
  <c r="G124" i="67" s="1"/>
  <c r="D160" i="62"/>
  <c r="A47" i="34"/>
  <c r="H105" i="46"/>
  <c r="J105" i="46" s="1"/>
  <c r="I105" i="46" s="1"/>
  <c r="K101" i="38"/>
  <c r="D59" i="74"/>
  <c r="D124" i="74" s="1"/>
  <c r="AI94" i="68"/>
  <c r="D105" i="46"/>
  <c r="F105" i="46" s="1"/>
  <c r="E105" i="46" s="1"/>
  <c r="A104" i="46"/>
  <c r="I48" i="52"/>
  <c r="J44" i="75"/>
  <c r="J95" i="75" s="1"/>
  <c r="J94" i="75"/>
  <c r="C39" i="84"/>
  <c r="B39" i="84" s="1"/>
  <c r="B39" i="85" s="1"/>
  <c r="G39" i="85" s="1"/>
  <c r="I39" i="85" s="1"/>
  <c r="C39" i="38" s="1"/>
  <c r="D27" i="62"/>
  <c r="F27" i="62" s="1"/>
  <c r="E27" i="62" s="1"/>
  <c r="A118" i="46"/>
  <c r="E51" i="67"/>
  <c r="B51" i="67" s="1"/>
  <c r="H27" i="46"/>
  <c r="J27" i="46" s="1"/>
  <c r="I27" i="46" s="1"/>
  <c r="H93" i="46"/>
  <c r="J93" i="46" s="1"/>
  <c r="I93" i="46" s="1"/>
  <c r="C29" i="84"/>
  <c r="B29" i="84" s="1"/>
  <c r="B29" i="85" s="1"/>
  <c r="G29" i="85" s="1"/>
  <c r="I29" i="85" s="1"/>
  <c r="C29" i="38" s="1"/>
  <c r="J74" i="68"/>
  <c r="F74" i="68" s="1"/>
  <c r="J74" i="37" s="1"/>
  <c r="I52" i="75"/>
  <c r="I97" i="75" s="1"/>
  <c r="D52" i="68"/>
  <c r="D97" i="68" s="1"/>
  <c r="X52" i="68"/>
  <c r="X97" i="68" s="1"/>
  <c r="T52" i="68"/>
  <c r="T97" i="68" s="1"/>
  <c r="F41" i="75"/>
  <c r="F94" i="75" s="1"/>
  <c r="AE59" i="67"/>
  <c r="AE124" i="67" s="1"/>
  <c r="D113" i="62"/>
  <c r="F113" i="62" s="1"/>
  <c r="E113" i="62" s="1"/>
  <c r="E55" i="67"/>
  <c r="B55" i="67" s="1"/>
  <c r="E55" i="36" s="1"/>
  <c r="U101" i="67"/>
  <c r="U117" i="67" s="1"/>
  <c r="O59" i="67"/>
  <c r="O124" i="67" s="1"/>
  <c r="H94" i="75"/>
  <c r="J41" i="36"/>
  <c r="H113" i="46"/>
  <c r="J113" i="46" s="1"/>
  <c r="I113" i="46" s="1"/>
  <c r="U59" i="67"/>
  <c r="U124" i="67" s="1"/>
  <c r="H42" i="46"/>
  <c r="J42" i="46" s="1"/>
  <c r="I42" i="46" s="1"/>
  <c r="I101" i="70"/>
  <c r="O59" i="82"/>
  <c r="O104" i="82" s="1"/>
  <c r="K45" i="82"/>
  <c r="K103" i="82" s="1"/>
  <c r="I31" i="82"/>
  <c r="I109" i="82" s="1"/>
  <c r="G31" i="82"/>
  <c r="G102" i="82" s="1"/>
  <c r="F31" i="83"/>
  <c r="E45" i="83"/>
  <c r="C45" i="83"/>
  <c r="H59" i="83"/>
  <c r="H31" i="83"/>
  <c r="J31" i="38"/>
  <c r="J110" i="38" s="1"/>
  <c r="B138" i="84"/>
  <c r="B74" i="85"/>
  <c r="G74" i="85" s="1"/>
  <c r="I74" i="85" s="1"/>
  <c r="C80" i="38" s="1"/>
  <c r="C146" i="38" s="1"/>
  <c r="D155" i="62"/>
  <c r="F155" i="62" s="1"/>
  <c r="E155" i="62" s="1"/>
  <c r="D87" i="62"/>
  <c r="F87" i="62" s="1"/>
  <c r="E87" i="62" s="1"/>
  <c r="D117" i="46"/>
  <c r="F117" i="46" s="1"/>
  <c r="E117" i="46" s="1"/>
  <c r="H10" i="31"/>
  <c r="B42" i="68"/>
  <c r="K89" i="38"/>
  <c r="F7" i="81"/>
  <c r="K42" i="87"/>
  <c r="L42" i="89" s="1"/>
  <c r="H41" i="69"/>
  <c r="H94" i="69" s="1"/>
  <c r="D28" i="35"/>
  <c r="M94" i="68"/>
  <c r="P129" i="67"/>
  <c r="F21" i="35"/>
  <c r="E11" i="81"/>
  <c r="G59" i="70"/>
  <c r="G124" i="70" s="1"/>
  <c r="AG41" i="68"/>
  <c r="AG44" i="68" s="1"/>
  <c r="AG49" i="68" s="1"/>
  <c r="O101" i="74"/>
  <c r="O127" i="74" s="1"/>
  <c r="E108" i="36"/>
  <c r="D116" i="74"/>
  <c r="D129" i="74" s="1"/>
  <c r="H41" i="68"/>
  <c r="H44" i="68" s="1"/>
  <c r="H49" i="68" s="1"/>
  <c r="H80" i="68" s="1"/>
  <c r="H83" i="68" s="1"/>
  <c r="H89" i="68" s="1"/>
  <c r="A102" i="74"/>
  <c r="A107" i="36"/>
  <c r="I48" i="87"/>
  <c r="J45" i="36"/>
  <c r="J43" i="36"/>
  <c r="J120" i="36"/>
  <c r="C25" i="88"/>
  <c r="C25" i="90" s="1"/>
  <c r="J48" i="54"/>
  <c r="F28" i="79"/>
  <c r="O94" i="69"/>
  <c r="K61" i="87"/>
  <c r="L61" i="89" s="1"/>
  <c r="D36" i="92"/>
  <c r="G45" i="92" s="1"/>
  <c r="AF59" i="67"/>
  <c r="AF124" i="67" s="1"/>
  <c r="Y41" i="68"/>
  <c r="Y94" i="68" s="1"/>
  <c r="J42" i="36"/>
  <c r="A122" i="36"/>
  <c r="D100" i="62"/>
  <c r="F100" i="62" s="1"/>
  <c r="E100" i="62" s="1"/>
  <c r="AC59" i="67"/>
  <c r="AC124" i="67" s="1"/>
  <c r="AD52" i="68"/>
  <c r="AD97" i="68" s="1"/>
  <c r="Z52" i="68"/>
  <c r="Z97" i="68" s="1"/>
  <c r="I63" i="52"/>
  <c r="J63" i="89"/>
  <c r="J6" i="21"/>
  <c r="D26" i="92"/>
  <c r="D45" i="92" s="1"/>
  <c r="C52" i="62"/>
  <c r="C51" i="62" s="1"/>
  <c r="C72" i="62" s="1"/>
  <c r="C141" i="62"/>
  <c r="C140" i="62" s="1"/>
  <c r="C161" i="62" s="1"/>
  <c r="K43" i="87"/>
  <c r="L43" i="89" s="1"/>
  <c r="D99" i="46"/>
  <c r="F99" i="46" s="1"/>
  <c r="E99" i="46" s="1"/>
  <c r="AD44" i="68"/>
  <c r="AD95" i="68" s="1"/>
  <c r="H101" i="46"/>
  <c r="J101" i="46" s="1"/>
  <c r="I101" i="46" s="1"/>
  <c r="H95" i="38"/>
  <c r="D101" i="46"/>
  <c r="F101" i="46" s="1"/>
  <c r="E101" i="46" s="1"/>
  <c r="W59" i="67"/>
  <c r="W124" i="67" s="1"/>
  <c r="D164" i="62"/>
  <c r="F164" i="62" s="1"/>
  <c r="E164" i="62" s="1"/>
  <c r="AA129" i="67"/>
  <c r="K129" i="67"/>
  <c r="AH101" i="67"/>
  <c r="AH127" i="67" s="1"/>
  <c r="B23" i="68"/>
  <c r="E23" i="37" s="1"/>
  <c r="W116" i="67"/>
  <c r="H54" i="46"/>
  <c r="J54" i="46" s="1"/>
  <c r="I54" i="46" s="1"/>
  <c r="A117" i="67"/>
  <c r="C60" i="46"/>
  <c r="R101" i="67"/>
  <c r="R127" i="67" s="1"/>
  <c r="H52" i="68"/>
  <c r="H51" i="68" s="1"/>
  <c r="E19" i="31"/>
  <c r="J96" i="36"/>
  <c r="J102" i="36"/>
  <c r="K55" i="87"/>
  <c r="L55" i="89" s="1"/>
  <c r="A116" i="74"/>
  <c r="H26" i="46"/>
  <c r="J26" i="46" s="1"/>
  <c r="I26" i="46" s="1"/>
  <c r="K51" i="87"/>
  <c r="L51" i="89" s="1"/>
  <c r="K45" i="87"/>
  <c r="L45" i="89" s="1"/>
  <c r="N59" i="67"/>
  <c r="N124" i="67" s="1"/>
  <c r="AH94" i="68"/>
  <c r="F11" i="81"/>
  <c r="AA59" i="67"/>
  <c r="AA124" i="67" s="1"/>
  <c r="M116" i="74"/>
  <c r="M129" i="74" s="1"/>
  <c r="E101" i="74"/>
  <c r="E127" i="74" s="1"/>
  <c r="C52" i="68"/>
  <c r="C97" i="68" s="1"/>
  <c r="L101" i="67"/>
  <c r="L117" i="67" s="1"/>
  <c r="AI116" i="67"/>
  <c r="AI129" i="67" s="1"/>
  <c r="C24" i="88"/>
  <c r="C24" i="90" s="1"/>
  <c r="H13" i="46"/>
  <c r="J13" i="46" s="1"/>
  <c r="I13" i="46" s="1"/>
  <c r="AD59" i="67"/>
  <c r="AD124" i="67" s="1"/>
  <c r="N101" i="70"/>
  <c r="N127" i="70" s="1"/>
  <c r="AH52" i="68"/>
  <c r="AH51" i="68" s="1"/>
  <c r="AH72" i="68" s="1"/>
  <c r="R52" i="68"/>
  <c r="F22" i="81"/>
  <c r="J39" i="36"/>
  <c r="E6" i="73"/>
  <c r="A121" i="36"/>
  <c r="H107" i="46"/>
  <c r="J107" i="46" s="1"/>
  <c r="I107" i="46" s="1"/>
  <c r="J104" i="36"/>
  <c r="F101" i="70"/>
  <c r="F127" i="70" s="1"/>
  <c r="V41" i="68"/>
  <c r="Z59" i="67"/>
  <c r="Z124" i="67" s="1"/>
  <c r="F116" i="74"/>
  <c r="F129" i="74" s="1"/>
  <c r="D144" i="62"/>
  <c r="F144" i="62" s="1"/>
  <c r="E144" i="62" s="1"/>
  <c r="C30" i="89"/>
  <c r="C53" i="89"/>
  <c r="Z101" i="67"/>
  <c r="Z127" i="67" s="1"/>
  <c r="H99" i="46"/>
  <c r="J99" i="46" s="1"/>
  <c r="I99" i="46" s="1"/>
  <c r="H111" i="46"/>
  <c r="J111" i="46" s="1"/>
  <c r="I111" i="46" s="1"/>
  <c r="M45" i="82"/>
  <c r="M103" i="82" s="1"/>
  <c r="E59" i="84"/>
  <c r="E104" i="84" s="1"/>
  <c r="K45" i="84"/>
  <c r="K103" i="84" s="1"/>
  <c r="O31" i="84"/>
  <c r="O102" i="84" s="1"/>
  <c r="H45" i="85"/>
  <c r="N101" i="67"/>
  <c r="N127" i="67" s="1"/>
  <c r="AI52" i="68"/>
  <c r="AI51" i="68" s="1"/>
  <c r="AI72" i="68" s="1"/>
  <c r="AI98" i="68" s="1"/>
  <c r="AG101" i="67"/>
  <c r="AG127" i="67" s="1"/>
  <c r="E90" i="67"/>
  <c r="B90" i="67" s="1"/>
  <c r="K36" i="87"/>
  <c r="L36" i="89" s="1"/>
  <c r="E43" i="79"/>
  <c r="H49" i="75"/>
  <c r="H80" i="75" s="1"/>
  <c r="H83" i="75" s="1"/>
  <c r="H89" i="75" s="1"/>
  <c r="H111" i="84"/>
  <c r="E26" i="67"/>
  <c r="B26" i="67" s="1"/>
  <c r="M59" i="70"/>
  <c r="M124" i="70" s="1"/>
  <c r="E60" i="68"/>
  <c r="B60" i="68" s="1"/>
  <c r="E60" i="37" s="1"/>
  <c r="D156" i="62"/>
  <c r="F156" i="62" s="1"/>
  <c r="E156" i="62" s="1"/>
  <c r="E67" i="68"/>
  <c r="B67" i="68" s="1"/>
  <c r="E67" i="37" s="1"/>
  <c r="E63" i="68"/>
  <c r="B63" i="68" s="1"/>
  <c r="R59" i="67"/>
  <c r="R124" i="67" s="1"/>
  <c r="H101" i="67"/>
  <c r="H127" i="67" s="1"/>
  <c r="P101" i="67"/>
  <c r="P127" i="67" s="1"/>
  <c r="E11" i="35"/>
  <c r="F11" i="35"/>
  <c r="B40" i="68"/>
  <c r="H59" i="67"/>
  <c r="H124" i="67" s="1"/>
  <c r="L59" i="67"/>
  <c r="L124" i="67" s="1"/>
  <c r="E40" i="67"/>
  <c r="B40" i="67" s="1"/>
  <c r="C41" i="52" s="1"/>
  <c r="J40" i="36"/>
  <c r="H41" i="46"/>
  <c r="J41" i="46" s="1"/>
  <c r="I41" i="46" s="1"/>
  <c r="E46" i="67"/>
  <c r="B46" i="67" s="1"/>
  <c r="H47" i="46"/>
  <c r="J47" i="46" s="1"/>
  <c r="I47" i="46" s="1"/>
  <c r="F50" i="67"/>
  <c r="H55" i="46"/>
  <c r="J55" i="46" s="1"/>
  <c r="I55" i="46" s="1"/>
  <c r="E54" i="67"/>
  <c r="B54" i="67" s="1"/>
  <c r="E28" i="67"/>
  <c r="B28" i="67" s="1"/>
  <c r="E28" i="36" s="1"/>
  <c r="L41" i="68"/>
  <c r="F28" i="81"/>
  <c r="G28" i="81"/>
  <c r="H76" i="38"/>
  <c r="H142" i="38" s="1"/>
  <c r="C70" i="84"/>
  <c r="I59" i="74"/>
  <c r="I124" i="74" s="1"/>
  <c r="J122" i="38"/>
  <c r="D116" i="62"/>
  <c r="F116" i="62" s="1"/>
  <c r="E116" i="62" s="1"/>
  <c r="T129" i="67"/>
  <c r="D116" i="70"/>
  <c r="D129" i="70" s="1"/>
  <c r="D174" i="62"/>
  <c r="F174" i="62" s="1"/>
  <c r="E174" i="62" s="1"/>
  <c r="K88" i="38"/>
  <c r="C96" i="84"/>
  <c r="B96" i="84" s="1"/>
  <c r="B96" i="85" s="1"/>
  <c r="G96" i="85" s="1"/>
  <c r="I96" i="85" s="1"/>
  <c r="C101" i="38" s="1"/>
  <c r="D129" i="62"/>
  <c r="F129" i="62" s="1"/>
  <c r="E129" i="62" s="1"/>
  <c r="H25" i="46"/>
  <c r="J25" i="46" s="1"/>
  <c r="I25" i="46" s="1"/>
  <c r="E22" i="80"/>
  <c r="F39" i="81"/>
  <c r="E16" i="67"/>
  <c r="B16" i="67" s="1"/>
  <c r="H17" i="46"/>
  <c r="J17" i="46" s="1"/>
  <c r="I17" i="46" s="1"/>
  <c r="F98" i="67"/>
  <c r="E98" i="67" s="1"/>
  <c r="B98" i="67" s="1"/>
  <c r="K44" i="52" s="1"/>
  <c r="G117" i="84"/>
  <c r="K41" i="75"/>
  <c r="K94" i="75" s="1"/>
  <c r="B36" i="68"/>
  <c r="E92" i="67"/>
  <c r="B92" i="67" s="1"/>
  <c r="K38" i="52" s="1"/>
  <c r="K38" i="87"/>
  <c r="L38" i="89" s="1"/>
  <c r="I59" i="67"/>
  <c r="I124" i="67" s="1"/>
  <c r="H37" i="46"/>
  <c r="J37" i="46" s="1"/>
  <c r="I37" i="46" s="1"/>
  <c r="E42" i="67"/>
  <c r="B42" i="67" s="1"/>
  <c r="C43" i="52" s="1"/>
  <c r="H43" i="46"/>
  <c r="J43" i="46" s="1"/>
  <c r="I43" i="46" s="1"/>
  <c r="E66" i="67"/>
  <c r="B66" i="67" s="1"/>
  <c r="J112" i="36"/>
  <c r="K53" i="87"/>
  <c r="L53" i="89" s="1"/>
  <c r="Z41" i="68"/>
  <c r="Z94" i="68" s="1"/>
  <c r="C88" i="84"/>
  <c r="B88" i="84" s="1"/>
  <c r="B88" i="85" s="1"/>
  <c r="G88" i="85" s="1"/>
  <c r="I88" i="85" s="1"/>
  <c r="C94" i="38" s="1"/>
  <c r="H94" i="38"/>
  <c r="B35" i="34"/>
  <c r="D114" i="62"/>
  <c r="F114" i="62" s="1"/>
  <c r="E114" i="62" s="1"/>
  <c r="E56" i="67"/>
  <c r="B56" i="67" s="1"/>
  <c r="E77" i="67"/>
  <c r="B77" i="67" s="1"/>
  <c r="K20" i="52" s="1"/>
  <c r="C80" i="84"/>
  <c r="B80" i="84" s="1"/>
  <c r="B80" i="85" s="1"/>
  <c r="G80" i="85" s="1"/>
  <c r="I80" i="85" s="1"/>
  <c r="C86" i="38" s="1"/>
  <c r="J100" i="67"/>
  <c r="J126" i="67" s="1"/>
  <c r="J95" i="36"/>
  <c r="E46" i="79"/>
  <c r="E40" i="79"/>
  <c r="F59" i="82"/>
  <c r="F104" i="82" s="1"/>
  <c r="N45" i="82"/>
  <c r="N103" i="82" s="1"/>
  <c r="L45" i="82"/>
  <c r="L103" i="82" s="1"/>
  <c r="H45" i="82"/>
  <c r="H103" i="82" s="1"/>
  <c r="F45" i="83"/>
  <c r="C31" i="83"/>
  <c r="H101" i="74"/>
  <c r="H127" i="74" s="1"/>
  <c r="F59" i="84"/>
  <c r="F104" i="84" s="1"/>
  <c r="J45" i="84"/>
  <c r="J103" i="84" s="1"/>
  <c r="H45" i="84"/>
  <c r="H31" i="84"/>
  <c r="H102" i="84" s="1"/>
  <c r="F31" i="84"/>
  <c r="F102" i="84" s="1"/>
  <c r="C59" i="85"/>
  <c r="G59" i="74"/>
  <c r="G124" i="74" s="1"/>
  <c r="J59" i="70"/>
  <c r="J124" i="70" s="1"/>
  <c r="O59" i="70"/>
  <c r="O124" i="70" s="1"/>
  <c r="G52" i="68"/>
  <c r="G97" i="68" s="1"/>
  <c r="H7" i="81"/>
  <c r="AH59" i="67"/>
  <c r="AH124" i="67" s="1"/>
  <c r="AF101" i="67"/>
  <c r="AF127" i="67" s="1"/>
  <c r="U41" i="68"/>
  <c r="K49" i="87"/>
  <c r="L49" i="89" s="1"/>
  <c r="L32" i="89"/>
  <c r="H56" i="46"/>
  <c r="J56" i="46" s="1"/>
  <c r="I56" i="46" s="1"/>
  <c r="A119" i="46"/>
  <c r="J46" i="34"/>
  <c r="M59" i="84"/>
  <c r="M104" i="84" s="1"/>
  <c r="E31" i="85"/>
  <c r="H11" i="73"/>
  <c r="J114" i="36"/>
  <c r="K86" i="38"/>
  <c r="H84" i="38"/>
  <c r="C78" i="84"/>
  <c r="B78" i="84" s="1"/>
  <c r="B78" i="85" s="1"/>
  <c r="G78" i="85" s="1"/>
  <c r="I78" i="85" s="1"/>
  <c r="C84" i="38" s="1"/>
  <c r="K81" i="38"/>
  <c r="H79" i="38"/>
  <c r="H145" i="38" s="1"/>
  <c r="C73" i="84"/>
  <c r="C137" i="84" s="1"/>
  <c r="C56" i="84"/>
  <c r="B56" i="84" s="1"/>
  <c r="B56" i="85" s="1"/>
  <c r="G56" i="85" s="1"/>
  <c r="I56" i="85" s="1"/>
  <c r="C56" i="38" s="1"/>
  <c r="G53" i="83"/>
  <c r="C42" i="84"/>
  <c r="B42" i="84" s="1"/>
  <c r="B42" i="85" s="1"/>
  <c r="G42" i="85" s="1"/>
  <c r="I42" i="85" s="1"/>
  <c r="C42" i="38" s="1"/>
  <c r="G7" i="83"/>
  <c r="B20" i="83"/>
  <c r="C57" i="84"/>
  <c r="B57" i="84" s="1"/>
  <c r="B57" i="85" s="1"/>
  <c r="G57" i="85" s="1"/>
  <c r="I57" i="85" s="1"/>
  <c r="C57" i="38" s="1"/>
  <c r="C47" i="84"/>
  <c r="B47" i="84" s="1"/>
  <c r="B47" i="85" s="1"/>
  <c r="G47" i="85" s="1"/>
  <c r="I47" i="85" s="1"/>
  <c r="C47" i="38" s="1"/>
  <c r="C28" i="84"/>
  <c r="B28" i="84" s="1"/>
  <c r="B28" i="85" s="1"/>
  <c r="G28" i="85" s="1"/>
  <c r="I28" i="85" s="1"/>
  <c r="C28" i="38" s="1"/>
  <c r="C27" i="88"/>
  <c r="C27" i="90" s="1"/>
  <c r="D115" i="62"/>
  <c r="F115" i="62" s="1"/>
  <c r="E115" i="62" s="1"/>
  <c r="E94" i="67"/>
  <c r="B94" i="67" s="1"/>
  <c r="K40" i="52" s="1"/>
  <c r="L40" i="54" s="1"/>
  <c r="J99" i="36"/>
  <c r="H96" i="46"/>
  <c r="J96" i="46" s="1"/>
  <c r="I96" i="46" s="1"/>
  <c r="H112" i="46"/>
  <c r="J112" i="46" s="1"/>
  <c r="I112" i="46" s="1"/>
  <c r="E110" i="67"/>
  <c r="B110" i="67" s="1"/>
  <c r="K56" i="52" s="1"/>
  <c r="K56" i="87"/>
  <c r="L56" i="89" s="1"/>
  <c r="J115" i="36"/>
  <c r="C69" i="84"/>
  <c r="B69" i="84" s="1"/>
  <c r="B69" i="85" s="1"/>
  <c r="K75" i="38"/>
  <c r="H75" i="38"/>
  <c r="C63" i="84"/>
  <c r="B63" i="84" s="1"/>
  <c r="B63" i="85" s="1"/>
  <c r="G63" i="85" s="1"/>
  <c r="I63" i="85" s="1"/>
  <c r="C63" i="38" s="1"/>
  <c r="G36" i="83"/>
  <c r="I36" i="83" s="1"/>
  <c r="H36" i="38" s="1"/>
  <c r="B38" i="83"/>
  <c r="N44" i="68"/>
  <c r="N49" i="68" s="1"/>
  <c r="H49" i="46"/>
  <c r="J49" i="46" s="1"/>
  <c r="I49" i="46" s="1"/>
  <c r="H44" i="46"/>
  <c r="J44" i="46" s="1"/>
  <c r="I44" i="46" s="1"/>
  <c r="H39" i="46"/>
  <c r="J39" i="46" s="1"/>
  <c r="I39" i="46" s="1"/>
  <c r="AF41" i="68"/>
  <c r="M59" i="82"/>
  <c r="M104" i="82" s="1"/>
  <c r="I59" i="82"/>
  <c r="I104" i="82" s="1"/>
  <c r="G59" i="82"/>
  <c r="G104" i="82" s="1"/>
  <c r="I59" i="84"/>
  <c r="I104" i="84" s="1"/>
  <c r="G59" i="84"/>
  <c r="G104" i="84" s="1"/>
  <c r="D59" i="84"/>
  <c r="D104" i="84" s="1"/>
  <c r="L45" i="84"/>
  <c r="L103" i="84" s="1"/>
  <c r="D45" i="84"/>
  <c r="D103" i="84" s="1"/>
  <c r="D31" i="85"/>
  <c r="F45" i="85"/>
  <c r="D59" i="85"/>
  <c r="E59" i="38"/>
  <c r="E112" i="38" s="1"/>
  <c r="J45" i="38"/>
  <c r="J111" i="38" s="1"/>
  <c r="K59" i="70"/>
  <c r="K124" i="70" s="1"/>
  <c r="D59" i="70"/>
  <c r="D124" i="70" s="1"/>
  <c r="J59" i="68"/>
  <c r="F59" i="68" s="1"/>
  <c r="J59" i="37" s="1"/>
  <c r="C103" i="82"/>
  <c r="J31" i="82"/>
  <c r="J109" i="82" s="1"/>
  <c r="D31" i="82"/>
  <c r="D109" i="82" s="1"/>
  <c r="J53" i="68"/>
  <c r="F53" i="68" s="1"/>
  <c r="D101" i="74"/>
  <c r="D127" i="74" s="1"/>
  <c r="D45" i="85"/>
  <c r="E45" i="85"/>
  <c r="B54" i="83"/>
  <c r="G54" i="83" s="1"/>
  <c r="I54" i="83" s="1"/>
  <c r="H54" i="38" s="1"/>
  <c r="N59" i="74"/>
  <c r="N124" i="74" s="1"/>
  <c r="J59" i="74"/>
  <c r="J124" i="74" s="1"/>
  <c r="F59" i="74"/>
  <c r="F124" i="74" s="1"/>
  <c r="E59" i="70"/>
  <c r="E124" i="70" s="1"/>
  <c r="K37" i="87"/>
  <c r="L37" i="89" s="1"/>
  <c r="J52" i="75"/>
  <c r="J51" i="75" s="1"/>
  <c r="I101" i="74"/>
  <c r="I127" i="74" s="1"/>
  <c r="J59" i="84"/>
  <c r="J104" i="84" s="1"/>
  <c r="I45" i="84"/>
  <c r="F6" i="81"/>
  <c r="E35" i="80"/>
  <c r="E49" i="69"/>
  <c r="E96" i="69" s="1"/>
  <c r="E94" i="69"/>
  <c r="B115" i="82"/>
  <c r="H52" i="69"/>
  <c r="H97" i="69" s="1"/>
  <c r="F52" i="69"/>
  <c r="F51" i="69" s="1"/>
  <c r="B100" i="69"/>
  <c r="E111" i="82"/>
  <c r="B112" i="82"/>
  <c r="B11" i="35"/>
  <c r="N52" i="69"/>
  <c r="J52" i="69"/>
  <c r="J97" i="69" s="1"/>
  <c r="J109" i="77"/>
  <c r="D57" i="79"/>
  <c r="E16" i="79"/>
  <c r="E10" i="79"/>
  <c r="F14" i="80"/>
  <c r="F35" i="80"/>
  <c r="E21" i="80"/>
  <c r="D29" i="79"/>
  <c r="D43" i="79"/>
  <c r="D42" i="79"/>
  <c r="F39" i="79"/>
  <c r="E53" i="80"/>
  <c r="E34" i="80"/>
  <c r="E56" i="80"/>
  <c r="F10" i="79"/>
  <c r="F56" i="80"/>
  <c r="J187" i="76"/>
  <c r="J32" i="78"/>
  <c r="J130" i="78"/>
  <c r="J137" i="78"/>
  <c r="D54" i="79"/>
  <c r="E51" i="79"/>
  <c r="E52" i="79"/>
  <c r="F41" i="79"/>
  <c r="F29" i="79"/>
  <c r="D16" i="80"/>
  <c r="J110" i="76"/>
  <c r="J60" i="77"/>
  <c r="J102" i="77"/>
  <c r="D29" i="80"/>
  <c r="E45" i="79"/>
  <c r="D40" i="80"/>
  <c r="E13" i="80"/>
  <c r="F34" i="80"/>
  <c r="F51" i="79"/>
  <c r="F30" i="80"/>
  <c r="E30" i="79"/>
  <c r="F49" i="80"/>
  <c r="E55" i="79"/>
  <c r="D35" i="80"/>
  <c r="D55" i="79"/>
  <c r="D44" i="79"/>
  <c r="D40" i="79"/>
  <c r="D20" i="79"/>
  <c r="D46" i="79"/>
  <c r="D10" i="79"/>
  <c r="D54" i="80"/>
  <c r="E7" i="79"/>
  <c r="E47" i="79"/>
  <c r="E50" i="79"/>
  <c r="E39" i="79"/>
  <c r="F34" i="79"/>
  <c r="F57" i="79"/>
  <c r="F47" i="79"/>
  <c r="F42" i="79"/>
  <c r="F24" i="79"/>
  <c r="F11" i="80"/>
  <c r="F55" i="79"/>
  <c r="D14" i="80"/>
  <c r="E43" i="80"/>
  <c r="F52" i="80"/>
  <c r="D52" i="80"/>
  <c r="D12" i="79"/>
  <c r="D7" i="80"/>
  <c r="D24" i="79"/>
  <c r="D28" i="79"/>
  <c r="D43" i="80"/>
  <c r="D21" i="80"/>
  <c r="D52" i="79"/>
  <c r="D39" i="81"/>
  <c r="D11" i="80"/>
  <c r="E6" i="81"/>
  <c r="E13" i="79"/>
  <c r="E57" i="79"/>
  <c r="E28" i="79"/>
  <c r="E54" i="80"/>
  <c r="E20" i="79"/>
  <c r="F39" i="80"/>
  <c r="F54" i="80"/>
  <c r="F42" i="81"/>
  <c r="F41" i="80"/>
  <c r="F7" i="80"/>
  <c r="F46" i="79"/>
  <c r="F40" i="79"/>
  <c r="F40" i="81"/>
  <c r="D51" i="79"/>
  <c r="D34" i="80"/>
  <c r="J25" i="78"/>
  <c r="J81" i="78"/>
  <c r="J158" i="78"/>
  <c r="J151" i="77"/>
  <c r="J172" i="77"/>
  <c r="F12" i="79"/>
  <c r="F54" i="79"/>
  <c r="F71" i="81"/>
  <c r="D13" i="79"/>
  <c r="D56" i="80"/>
  <c r="D41" i="80"/>
  <c r="D24" i="81"/>
  <c r="D13" i="80"/>
  <c r="D45" i="79"/>
  <c r="D6" i="81"/>
  <c r="F12" i="81"/>
  <c r="E7" i="80"/>
  <c r="E34" i="79"/>
  <c r="E12" i="81"/>
  <c r="E11" i="80"/>
  <c r="F42" i="80"/>
  <c r="F40" i="80"/>
  <c r="F45" i="79"/>
  <c r="F7" i="79"/>
  <c r="E40" i="80"/>
  <c r="F29" i="80"/>
  <c r="E29" i="79"/>
  <c r="E14" i="80"/>
  <c r="D31" i="80"/>
  <c r="E49" i="79"/>
  <c r="D44" i="80"/>
  <c r="D49" i="80"/>
  <c r="D53" i="80"/>
  <c r="D42" i="81"/>
  <c r="D7" i="79"/>
  <c r="D30" i="80"/>
  <c r="D48" i="79"/>
  <c r="D22" i="81"/>
  <c r="E42" i="81"/>
  <c r="E52" i="80"/>
  <c r="E41" i="80"/>
  <c r="E41" i="79"/>
  <c r="E29" i="80"/>
  <c r="E30" i="80"/>
  <c r="F44" i="79"/>
  <c r="F53" i="80"/>
  <c r="F43" i="80"/>
  <c r="F52" i="79"/>
  <c r="F31" i="80"/>
  <c r="F21" i="80"/>
  <c r="F38" i="79"/>
  <c r="F16" i="80"/>
  <c r="J40" i="76"/>
  <c r="J47" i="76"/>
  <c r="J117" i="76"/>
  <c r="J138" i="76"/>
  <c r="J194" i="76"/>
  <c r="D12" i="92"/>
  <c r="C31" i="85"/>
  <c r="H59" i="85"/>
  <c r="F31" i="85"/>
  <c r="H31" i="85"/>
  <c r="E5" i="21"/>
  <c r="E71" i="81"/>
  <c r="E43" i="81"/>
  <c r="F43" i="81"/>
  <c r="D71" i="81"/>
  <c r="E39" i="81"/>
  <c r="E22" i="81"/>
  <c r="G11" i="81"/>
  <c r="D20" i="80"/>
  <c r="D50" i="79"/>
  <c r="E54" i="79"/>
  <c r="E12" i="79"/>
  <c r="F50" i="79"/>
  <c r="F16" i="79"/>
  <c r="J59" i="79"/>
  <c r="E24" i="79"/>
  <c r="J18" i="78"/>
  <c r="J39" i="78"/>
  <c r="J53" i="78"/>
  <c r="J60" i="78"/>
  <c r="J67" i="78"/>
  <c r="J74" i="78"/>
  <c r="J88" i="78"/>
  <c r="J95" i="78"/>
  <c r="J102" i="78"/>
  <c r="J109" i="78"/>
  <c r="J116" i="78"/>
  <c r="J123" i="78"/>
  <c r="J144" i="78"/>
  <c r="J151" i="78"/>
  <c r="J165" i="78"/>
  <c r="J172" i="78"/>
  <c r="J186" i="78"/>
  <c r="J193" i="78"/>
  <c r="J200" i="78"/>
  <c r="J207" i="78"/>
  <c r="L3" i="77"/>
  <c r="J32" i="77"/>
  <c r="E36" i="81" s="1"/>
  <c r="J39" i="77"/>
  <c r="J46" i="77"/>
  <c r="J53" i="77"/>
  <c r="J67" i="77"/>
  <c r="J74" i="77"/>
  <c r="J81" i="77"/>
  <c r="J88" i="77"/>
  <c r="J95" i="77"/>
  <c r="J116" i="77"/>
  <c r="J123" i="77"/>
  <c r="J130" i="77"/>
  <c r="J137" i="77"/>
  <c r="J144" i="77"/>
  <c r="J158" i="77"/>
  <c r="J165" i="77"/>
  <c r="J179" i="77"/>
  <c r="J186" i="77"/>
  <c r="J193" i="77"/>
  <c r="J200" i="77"/>
  <c r="J207" i="77"/>
  <c r="J54" i="76"/>
  <c r="J75" i="76"/>
  <c r="J103" i="76"/>
  <c r="J152" i="76"/>
  <c r="J166" i="76"/>
  <c r="J180" i="76"/>
  <c r="J61" i="76"/>
  <c r="J82" i="76"/>
  <c r="J124" i="76"/>
  <c r="J145" i="76"/>
  <c r="J173" i="76"/>
  <c r="J208" i="76"/>
  <c r="J68" i="76"/>
  <c r="J96" i="76"/>
  <c r="J131" i="76"/>
  <c r="J159" i="76"/>
  <c r="J201" i="76"/>
  <c r="C138" i="84"/>
  <c r="N59" i="84"/>
  <c r="N104" i="84" s="1"/>
  <c r="E31" i="84"/>
  <c r="O59" i="84"/>
  <c r="O104" i="84" s="1"/>
  <c r="H59" i="84"/>
  <c r="H104" i="84" s="1"/>
  <c r="M45" i="84"/>
  <c r="M103" i="84" s="1"/>
  <c r="M31" i="84"/>
  <c r="M109" i="84" s="1"/>
  <c r="G45" i="84"/>
  <c r="G103" i="84" s="1"/>
  <c r="E45" i="84"/>
  <c r="E103" i="84" s="1"/>
  <c r="L31" i="84"/>
  <c r="L102" i="84" s="1"/>
  <c r="J31" i="84"/>
  <c r="J109" i="84" s="1"/>
  <c r="M94" i="75"/>
  <c r="M44" i="75"/>
  <c r="M111" i="84" s="1"/>
  <c r="L41" i="75"/>
  <c r="F52" i="75"/>
  <c r="F97" i="75" s="1"/>
  <c r="H95" i="75"/>
  <c r="F101" i="74"/>
  <c r="K59" i="74"/>
  <c r="K124" i="74" s="1"/>
  <c r="K116" i="74"/>
  <c r="K129" i="74" s="1"/>
  <c r="J101" i="74"/>
  <c r="N123" i="74"/>
  <c r="O59" i="74"/>
  <c r="O124" i="74" s="1"/>
  <c r="F123" i="74"/>
  <c r="L116" i="74"/>
  <c r="L129" i="74" s="1"/>
  <c r="L101" i="74"/>
  <c r="L127" i="74" s="1"/>
  <c r="D31" i="83"/>
  <c r="E31" i="83"/>
  <c r="D45" i="83"/>
  <c r="C59" i="83"/>
  <c r="H11" i="35"/>
  <c r="G11" i="35"/>
  <c r="D11" i="35"/>
  <c r="C11" i="35"/>
  <c r="J123" i="32"/>
  <c r="J118" i="73"/>
  <c r="B85" i="82"/>
  <c r="B107" i="82" s="1"/>
  <c r="J45" i="82"/>
  <c r="J103" i="82" s="1"/>
  <c r="E59" i="82"/>
  <c r="E104" i="82" s="1"/>
  <c r="O45" i="82"/>
  <c r="O103" i="82" s="1"/>
  <c r="F45" i="82"/>
  <c r="F103" i="82" s="1"/>
  <c r="N31" i="82"/>
  <c r="N102" i="82" s="1"/>
  <c r="L31" i="82"/>
  <c r="L109" i="82" s="1"/>
  <c r="B38" i="82"/>
  <c r="J41" i="69"/>
  <c r="L52" i="69"/>
  <c r="L97" i="69" s="1"/>
  <c r="B53" i="69"/>
  <c r="B53" i="35" s="1"/>
  <c r="E52" i="69"/>
  <c r="E97" i="69" s="1"/>
  <c r="I52" i="69"/>
  <c r="F59" i="70"/>
  <c r="F124" i="70" s="1"/>
  <c r="G101" i="70"/>
  <c r="D101" i="70"/>
  <c r="C101" i="70"/>
  <c r="E101" i="70"/>
  <c r="M101" i="70"/>
  <c r="M127" i="70" s="1"/>
  <c r="G60" i="46"/>
  <c r="G103" i="46"/>
  <c r="G119" i="46" s="1"/>
  <c r="B11" i="68"/>
  <c r="AA52" i="68"/>
  <c r="O52" i="68"/>
  <c r="O97" i="68" s="1"/>
  <c r="E70" i="68"/>
  <c r="B70" i="68" s="1"/>
  <c r="E70" i="37" s="1"/>
  <c r="X95" i="68"/>
  <c r="Y52" i="68"/>
  <c r="Y51" i="68" s="1"/>
  <c r="M52" i="68"/>
  <c r="M73" i="68" s="1"/>
  <c r="E85" i="68"/>
  <c r="B85" i="68" s="1"/>
  <c r="E85" i="37" s="1"/>
  <c r="E43" i="67"/>
  <c r="B43" i="67" s="1"/>
  <c r="C44" i="52" s="1"/>
  <c r="AI59" i="67"/>
  <c r="AI124" i="67" s="1"/>
  <c r="AC101" i="67"/>
  <c r="AC117" i="67" s="1"/>
  <c r="E45" i="38"/>
  <c r="E111" i="38" s="1"/>
  <c r="F59" i="85"/>
  <c r="E59" i="85"/>
  <c r="D40" i="81"/>
  <c r="E40" i="81"/>
  <c r="E26" i="81"/>
  <c r="F26" i="81"/>
  <c r="D23" i="81"/>
  <c r="E23" i="81"/>
  <c r="F23" i="81"/>
  <c r="D26" i="81"/>
  <c r="D22" i="80"/>
  <c r="D60" i="80"/>
  <c r="E42" i="80"/>
  <c r="F60" i="80"/>
  <c r="F13" i="80"/>
  <c r="D42" i="80"/>
  <c r="E55" i="80"/>
  <c r="E16" i="80"/>
  <c r="E49" i="80"/>
  <c r="F55" i="80"/>
  <c r="F22" i="80"/>
  <c r="F20" i="80"/>
  <c r="E60" i="80"/>
  <c r="E20" i="80"/>
  <c r="F49" i="79"/>
  <c r="D56" i="79"/>
  <c r="E38" i="79"/>
  <c r="F20" i="79"/>
  <c r="F30" i="79"/>
  <c r="D30" i="79"/>
  <c r="E56" i="79"/>
  <c r="F56" i="79"/>
  <c r="D49" i="79"/>
  <c r="D38" i="79"/>
  <c r="F43" i="79"/>
  <c r="L2" i="77"/>
  <c r="K59" i="84"/>
  <c r="K104" i="84" s="1"/>
  <c r="N45" i="84"/>
  <c r="N103" i="84" s="1"/>
  <c r="F45" i="84"/>
  <c r="F103" i="84" s="1"/>
  <c r="D31" i="84"/>
  <c r="K31" i="84"/>
  <c r="L59" i="84"/>
  <c r="L104" i="84" s="1"/>
  <c r="N31" i="84"/>
  <c r="G31" i="84"/>
  <c r="O95" i="75"/>
  <c r="I44" i="75"/>
  <c r="I111" i="84" s="1"/>
  <c r="O94" i="75"/>
  <c r="E44" i="75"/>
  <c r="E95" i="75" s="1"/>
  <c r="L52" i="75"/>
  <c r="H52" i="75"/>
  <c r="E52" i="75"/>
  <c r="O52" i="75"/>
  <c r="K52" i="75"/>
  <c r="E59" i="74"/>
  <c r="E124" i="74" s="1"/>
  <c r="L59" i="74"/>
  <c r="L124" i="74" s="1"/>
  <c r="H59" i="74"/>
  <c r="K101" i="74"/>
  <c r="N101" i="74"/>
  <c r="O116" i="74"/>
  <c r="G30" i="83"/>
  <c r="I30" i="83" s="1"/>
  <c r="H30" i="38" s="1"/>
  <c r="I21" i="83"/>
  <c r="H21" i="38" s="1"/>
  <c r="I34" i="83"/>
  <c r="H34" i="38" s="1"/>
  <c r="B30" i="83"/>
  <c r="E59" i="83"/>
  <c r="D59" i="83"/>
  <c r="F59" i="83"/>
  <c r="H45" i="83"/>
  <c r="B44" i="83"/>
  <c r="E21" i="35"/>
  <c r="H28" i="35"/>
  <c r="C28" i="35"/>
  <c r="H21" i="35"/>
  <c r="G28" i="35"/>
  <c r="C21" i="35"/>
  <c r="G21" i="35"/>
  <c r="J18" i="32"/>
  <c r="J60" i="32"/>
  <c r="J95" i="32"/>
  <c r="J102" i="32"/>
  <c r="J137" i="32"/>
  <c r="J153" i="73"/>
  <c r="D45" i="82"/>
  <c r="D103" i="82" s="1"/>
  <c r="N59" i="82"/>
  <c r="N104" i="82" s="1"/>
  <c r="G45" i="82"/>
  <c r="E45" i="82"/>
  <c r="E103" i="82" s="1"/>
  <c r="H31" i="82"/>
  <c r="B98" i="82"/>
  <c r="B108" i="82" s="1"/>
  <c r="L59" i="82"/>
  <c r="L104" i="82" s="1"/>
  <c r="H59" i="82"/>
  <c r="H104" i="82" s="1"/>
  <c r="D59" i="82"/>
  <c r="D104" i="82" s="1"/>
  <c r="I45" i="82"/>
  <c r="M31" i="82"/>
  <c r="K31" i="82"/>
  <c r="F31" i="82"/>
  <c r="O49" i="69"/>
  <c r="O80" i="69" s="1"/>
  <c r="O83" i="69" s="1"/>
  <c r="O89" i="69" s="1"/>
  <c r="O95" i="69"/>
  <c r="K94" i="69"/>
  <c r="K44" i="69"/>
  <c r="K111" i="82" s="1"/>
  <c r="M44" i="69"/>
  <c r="M111" i="82" s="1"/>
  <c r="M94" i="69"/>
  <c r="F44" i="69"/>
  <c r="N41" i="69"/>
  <c r="I44" i="69"/>
  <c r="I111" i="82" s="1"/>
  <c r="M52" i="69"/>
  <c r="C52" i="69"/>
  <c r="F116" i="70"/>
  <c r="J101" i="70"/>
  <c r="J127" i="70" s="1"/>
  <c r="L59" i="70"/>
  <c r="L124" i="70" s="1"/>
  <c r="K101" i="70"/>
  <c r="K127" i="70" s="1"/>
  <c r="O101" i="70"/>
  <c r="C138" i="62"/>
  <c r="C103" i="46"/>
  <c r="C119" i="46" s="1"/>
  <c r="T49" i="68"/>
  <c r="AA44" i="68"/>
  <c r="AA49" i="68" s="1"/>
  <c r="AA94" i="68"/>
  <c r="P41" i="68"/>
  <c r="P94" i="68" s="1"/>
  <c r="C41" i="68"/>
  <c r="AH95" i="68"/>
  <c r="AH49" i="68"/>
  <c r="AH80" i="68" s="1"/>
  <c r="AH83" i="68" s="1"/>
  <c r="AH89" i="68" s="1"/>
  <c r="S41" i="68"/>
  <c r="S44" i="68" s="1"/>
  <c r="O41" i="68"/>
  <c r="G41" i="68"/>
  <c r="G44" i="68" s="1"/>
  <c r="F7" i="68"/>
  <c r="J100" i="68"/>
  <c r="Q52" i="68"/>
  <c r="AB41" i="68"/>
  <c r="F13" i="68"/>
  <c r="J13" i="37" s="1"/>
  <c r="J101" i="68"/>
  <c r="T94" i="68"/>
  <c r="E76" i="68"/>
  <c r="B76" i="68" s="1"/>
  <c r="E76" i="37" s="1"/>
  <c r="R41" i="68"/>
  <c r="T95" i="68"/>
  <c r="X94" i="68"/>
  <c r="W44" i="68"/>
  <c r="W94" i="68"/>
  <c r="Q41" i="68"/>
  <c r="I41" i="68"/>
  <c r="AE52" i="68"/>
  <c r="W52" i="68"/>
  <c r="S52" i="68"/>
  <c r="S97" i="68" s="1"/>
  <c r="V52" i="68"/>
  <c r="AB52" i="68"/>
  <c r="G129" i="67"/>
  <c r="B105" i="67"/>
  <c r="K51" i="52" s="1"/>
  <c r="E10" i="67"/>
  <c r="B10" i="67" s="1"/>
  <c r="C32" i="87"/>
  <c r="C32" i="89" s="1"/>
  <c r="E107" i="67"/>
  <c r="B107" i="67" s="1"/>
  <c r="V59" i="67"/>
  <c r="U129" i="67"/>
  <c r="K59" i="67"/>
  <c r="M59" i="67"/>
  <c r="AE116" i="67"/>
  <c r="L129" i="67"/>
  <c r="C101" i="67"/>
  <c r="E45" i="67"/>
  <c r="B45" i="67" s="1"/>
  <c r="AI101" i="67"/>
  <c r="S59" i="67"/>
  <c r="Y101" i="67"/>
  <c r="Q116" i="67"/>
  <c r="Q129" i="67" s="1"/>
  <c r="X129" i="67"/>
  <c r="Q101" i="67"/>
  <c r="I101" i="67"/>
  <c r="D101" i="67"/>
  <c r="AG59" i="67"/>
  <c r="E53" i="67"/>
  <c r="B53" i="67" s="1"/>
  <c r="E101" i="36"/>
  <c r="D98" i="46"/>
  <c r="F98" i="46" s="1"/>
  <c r="E98" i="46" s="1"/>
  <c r="L42" i="54"/>
  <c r="AI80" i="68"/>
  <c r="AI83" i="68" s="1"/>
  <c r="AI89" i="68" s="1"/>
  <c r="X96" i="68"/>
  <c r="X80" i="68"/>
  <c r="X83" i="68" s="1"/>
  <c r="X89" i="68" s="1"/>
  <c r="M80" i="68"/>
  <c r="J109" i="46"/>
  <c r="I109" i="46" s="1"/>
  <c r="H99" i="38"/>
  <c r="AI95" i="68"/>
  <c r="C80" i="62"/>
  <c r="E39" i="36"/>
  <c r="D40" i="46"/>
  <c r="F40" i="46" s="1"/>
  <c r="E40" i="46" s="1"/>
  <c r="D93" i="46"/>
  <c r="F93" i="46" s="1"/>
  <c r="E93" i="46" s="1"/>
  <c r="O49" i="75"/>
  <c r="C78" i="53"/>
  <c r="C78" i="55" s="1"/>
  <c r="H129" i="67"/>
  <c r="J48" i="36"/>
  <c r="E75" i="67"/>
  <c r="B75" i="67" s="1"/>
  <c r="K18" i="52" s="1"/>
  <c r="F94" i="69"/>
  <c r="H35" i="46"/>
  <c r="H48" i="46"/>
  <c r="J48" i="46" s="1"/>
  <c r="I48" i="46" s="1"/>
  <c r="J47" i="36"/>
  <c r="E13" i="67"/>
  <c r="B13" i="67" s="1"/>
  <c r="N41" i="75"/>
  <c r="C59" i="67"/>
  <c r="H45" i="46"/>
  <c r="J45" i="46" s="1"/>
  <c r="I45" i="46" s="1"/>
  <c r="E44" i="67"/>
  <c r="B44" i="67" s="1"/>
  <c r="C45" i="52" s="1"/>
  <c r="E71" i="68"/>
  <c r="B71" i="68" s="1"/>
  <c r="E71" i="37" s="1"/>
  <c r="J38" i="36"/>
  <c r="E38" i="67"/>
  <c r="H50" i="46"/>
  <c r="J50" i="46" s="1"/>
  <c r="I50" i="46" s="1"/>
  <c r="E49" i="67"/>
  <c r="B49" i="67" s="1"/>
  <c r="C50" i="52" s="1"/>
  <c r="E76" i="67"/>
  <c r="B76" i="67" s="1"/>
  <c r="K19" i="52" s="1"/>
  <c r="J59" i="82"/>
  <c r="J104" i="82" s="1"/>
  <c r="O31" i="82"/>
  <c r="E31" i="82"/>
  <c r="J59" i="33"/>
  <c r="J27" i="73"/>
  <c r="J41" i="73"/>
  <c r="J69" i="73"/>
  <c r="J172" i="32"/>
  <c r="K59" i="82"/>
  <c r="K104" i="82" s="1"/>
  <c r="M101" i="74"/>
  <c r="B77" i="83"/>
  <c r="G77" i="83" s="1"/>
  <c r="I77" i="83" s="1"/>
  <c r="H83" i="38" s="1"/>
  <c r="B114" i="82"/>
  <c r="J125" i="73"/>
  <c r="B74" i="69"/>
  <c r="J100" i="36"/>
  <c r="K41" i="87"/>
  <c r="E95" i="67"/>
  <c r="B95" i="67" s="1"/>
  <c r="K41" i="52" s="1"/>
  <c r="H97" i="46"/>
  <c r="J97" i="46" s="1"/>
  <c r="I97" i="46" s="1"/>
  <c r="J59" i="38"/>
  <c r="J112" i="38" s="1"/>
  <c r="J179" i="78"/>
  <c r="B59" i="69"/>
  <c r="B59" i="35" s="1"/>
  <c r="N52" i="75"/>
  <c r="D166" i="62"/>
  <c r="F166" i="62" s="1"/>
  <c r="E166" i="62" s="1"/>
  <c r="B48" i="83"/>
  <c r="M59" i="74"/>
  <c r="H59" i="70"/>
  <c r="B12" i="35"/>
  <c r="B101" i="69"/>
  <c r="D43" i="81"/>
  <c r="J90" i="73"/>
  <c r="J167" i="73"/>
  <c r="J195" i="73"/>
  <c r="O52" i="69"/>
  <c r="C45" i="85"/>
  <c r="E31" i="38"/>
  <c r="J76" i="73"/>
  <c r="J104" i="73"/>
  <c r="J132" i="73"/>
  <c r="J146" i="73"/>
  <c r="J46" i="32"/>
  <c r="J74" i="32"/>
  <c r="J207" i="32"/>
  <c r="E69" i="68"/>
  <c r="B69" i="68" s="1"/>
  <c r="E69" i="37" s="1"/>
  <c r="J158" i="32"/>
  <c r="J200" i="32"/>
  <c r="J39" i="31"/>
  <c r="J46" i="31"/>
  <c r="J53" i="31"/>
  <c r="J60" i="31"/>
  <c r="J67" i="31"/>
  <c r="J74" i="31"/>
  <c r="J81" i="31"/>
  <c r="J88" i="31"/>
  <c r="J95" i="31"/>
  <c r="J102" i="31"/>
  <c r="J109" i="31"/>
  <c r="J116" i="31"/>
  <c r="J123" i="31"/>
  <c r="J130" i="31"/>
  <c r="J137" i="31"/>
  <c r="J144" i="31"/>
  <c r="J151" i="31"/>
  <c r="J158" i="31"/>
  <c r="J165" i="31"/>
  <c r="J172" i="31"/>
  <c r="J179" i="31"/>
  <c r="J186" i="31"/>
  <c r="J193" i="31"/>
  <c r="J200" i="31"/>
  <c r="J207" i="31"/>
  <c r="E7" i="73"/>
  <c r="E66" i="68"/>
  <c r="B66" i="68" s="1"/>
  <c r="E66" i="37" s="1"/>
  <c r="E31" i="80"/>
  <c r="J55" i="73"/>
  <c r="J181" i="73"/>
  <c r="J139" i="73"/>
  <c r="J202" i="73"/>
  <c r="G52" i="75"/>
  <c r="D52" i="69"/>
  <c r="E30" i="67"/>
  <c r="B30" i="67" s="1"/>
  <c r="G52" i="69"/>
  <c r="G29" i="33"/>
  <c r="H29" i="33"/>
  <c r="I40" i="83"/>
  <c r="H40" i="38" s="1"/>
  <c r="G44" i="83"/>
  <c r="J20" i="73"/>
  <c r="H16" i="34"/>
  <c r="H22" i="34"/>
  <c r="H28" i="33"/>
  <c r="H6" i="35"/>
  <c r="H38" i="33"/>
  <c r="H45" i="33"/>
  <c r="H77" i="35"/>
  <c r="H42" i="33"/>
  <c r="H52" i="33"/>
  <c r="H35" i="34"/>
  <c r="H12" i="33"/>
  <c r="H36" i="33"/>
  <c r="H56" i="34"/>
  <c r="H13" i="34"/>
  <c r="H76" i="35"/>
  <c r="H11" i="34"/>
  <c r="H26" i="35"/>
  <c r="H10" i="33"/>
  <c r="H22" i="35"/>
  <c r="H41" i="34"/>
  <c r="H56" i="33"/>
  <c r="H34" i="33"/>
  <c r="L3" i="32"/>
  <c r="H52" i="34"/>
  <c r="H40" i="34"/>
  <c r="H16" i="33"/>
  <c r="H44" i="34"/>
  <c r="H46" i="33"/>
  <c r="H50" i="33"/>
  <c r="H7" i="34"/>
  <c r="H49" i="33"/>
  <c r="H20" i="33"/>
  <c r="H24" i="35"/>
  <c r="H30" i="33"/>
  <c r="H13" i="33"/>
  <c r="H21" i="34"/>
  <c r="H60" i="34"/>
  <c r="H31" i="34"/>
  <c r="H20" i="34"/>
  <c r="H14" i="34"/>
  <c r="H49" i="34"/>
  <c r="H43" i="34"/>
  <c r="H29" i="34"/>
  <c r="H54" i="34"/>
  <c r="C41" i="89"/>
  <c r="G30" i="34"/>
  <c r="G7" i="34"/>
  <c r="G21" i="34"/>
  <c r="G38" i="33"/>
  <c r="G28" i="33"/>
  <c r="G40" i="34"/>
  <c r="G40" i="33"/>
  <c r="G41" i="33"/>
  <c r="G56" i="33"/>
  <c r="G60" i="34"/>
  <c r="G57" i="33"/>
  <c r="G7" i="33"/>
  <c r="G22" i="34"/>
  <c r="G53" i="34"/>
  <c r="G13" i="34"/>
  <c r="G24" i="33"/>
  <c r="G30" i="33"/>
  <c r="G12" i="35"/>
  <c r="G47" i="33"/>
  <c r="G52" i="34"/>
  <c r="G42" i="33"/>
  <c r="G39" i="34"/>
  <c r="G44" i="34"/>
  <c r="J11" i="32"/>
  <c r="H36" i="35" s="1"/>
  <c r="G24" i="35"/>
  <c r="G14" i="34"/>
  <c r="G36" i="33"/>
  <c r="G49" i="33"/>
  <c r="G29" i="34"/>
  <c r="G43" i="34"/>
  <c r="L2" i="32"/>
  <c r="G13" i="33"/>
  <c r="G39" i="33"/>
  <c r="G45" i="33"/>
  <c r="G6" i="35"/>
  <c r="G71" i="35"/>
  <c r="G77" i="35"/>
  <c r="G20" i="33"/>
  <c r="G55" i="34"/>
  <c r="G41" i="34"/>
  <c r="G56" i="34"/>
  <c r="G76" i="35"/>
  <c r="G46" i="33"/>
  <c r="G51" i="33"/>
  <c r="G34" i="34"/>
  <c r="G31" i="34"/>
  <c r="G43" i="33"/>
  <c r="G39" i="35"/>
  <c r="G44" i="33"/>
  <c r="G20" i="34"/>
  <c r="G16" i="34"/>
  <c r="G52" i="33"/>
  <c r="G43" i="35"/>
  <c r="G48" i="33"/>
  <c r="G50" i="33"/>
  <c r="G34" i="33"/>
  <c r="G42" i="35"/>
  <c r="G49" i="34"/>
  <c r="G26" i="35"/>
  <c r="G12" i="33"/>
  <c r="G35" i="34"/>
  <c r="G10" i="33"/>
  <c r="G23" i="35"/>
  <c r="G11" i="34"/>
  <c r="G40" i="35"/>
  <c r="G53" i="33"/>
  <c r="C50" i="84"/>
  <c r="B50" i="84" s="1"/>
  <c r="B50" i="85" s="1"/>
  <c r="G50" i="85" s="1"/>
  <c r="I50" i="85" s="1"/>
  <c r="C50" i="38" s="1"/>
  <c r="J49" i="35"/>
  <c r="J72" i="35"/>
  <c r="E27" i="35"/>
  <c r="C27" i="35"/>
  <c r="H27" i="35"/>
  <c r="F27" i="35"/>
  <c r="D27" i="35"/>
  <c r="G27" i="35"/>
  <c r="G22" i="35"/>
  <c r="G71" i="83"/>
  <c r="F48" i="79"/>
  <c r="E48" i="79"/>
  <c r="E44" i="79"/>
  <c r="E42" i="79"/>
  <c r="F13" i="79"/>
  <c r="F44" i="80"/>
  <c r="E44" i="80"/>
  <c r="D39" i="80"/>
  <c r="E39" i="80"/>
  <c r="F24" i="81"/>
  <c r="E24" i="81"/>
  <c r="C51" i="84"/>
  <c r="B51" i="84" s="1"/>
  <c r="B51" i="85" s="1"/>
  <c r="G51" i="85" s="1"/>
  <c r="I51" i="85" s="1"/>
  <c r="C51" i="38" s="1"/>
  <c r="K83" i="38"/>
  <c r="C75" i="84"/>
  <c r="H81" i="38"/>
  <c r="H147" i="38" s="1"/>
  <c r="C61" i="84"/>
  <c r="B61" i="84" s="1"/>
  <c r="B61" i="85" s="1"/>
  <c r="G61" i="85" s="1"/>
  <c r="I61" i="85" s="1"/>
  <c r="C61" i="38" s="1"/>
  <c r="H42" i="34"/>
  <c r="H24" i="33"/>
  <c r="H39" i="35"/>
  <c r="H7" i="33"/>
  <c r="H48" i="33"/>
  <c r="H44" i="33"/>
  <c r="H53" i="34"/>
  <c r="H41" i="33"/>
  <c r="H34" i="34"/>
  <c r="H12" i="35"/>
  <c r="H53" i="33"/>
  <c r="H43" i="35"/>
  <c r="H42" i="35"/>
  <c r="H40" i="35"/>
  <c r="H71" i="35"/>
  <c r="H23" i="35"/>
  <c r="H57" i="33"/>
  <c r="H43" i="33"/>
  <c r="H39" i="33"/>
  <c r="H51" i="33"/>
  <c r="H55" i="34"/>
  <c r="H40" i="33"/>
  <c r="F21" i="81"/>
  <c r="H21" i="81"/>
  <c r="E21" i="81"/>
  <c r="C19" i="84"/>
  <c r="G16" i="33"/>
  <c r="J32" i="32"/>
  <c r="J39" i="32"/>
  <c r="J67" i="32"/>
  <c r="J88" i="32"/>
  <c r="J116" i="32"/>
  <c r="J130" i="32"/>
  <c r="J151" i="32"/>
  <c r="J165" i="32"/>
  <c r="J186" i="32"/>
  <c r="J193" i="32"/>
  <c r="A105" i="46"/>
  <c r="A108" i="36"/>
  <c r="A103" i="70"/>
  <c r="A48" i="34"/>
  <c r="I49" i="87"/>
  <c r="A103" i="67"/>
  <c r="J49" i="89"/>
  <c r="J49" i="54"/>
  <c r="I49" i="52"/>
  <c r="H102" i="38"/>
  <c r="K102" i="38"/>
  <c r="E13" i="35"/>
  <c r="F13" i="35"/>
  <c r="H13" i="35"/>
  <c r="D13" i="35"/>
  <c r="H96" i="38"/>
  <c r="C90" i="84"/>
  <c r="B90" i="84" s="1"/>
  <c r="B90" i="85" s="1"/>
  <c r="G90" i="85" s="1"/>
  <c r="I90" i="85" s="1"/>
  <c r="C96" i="38" s="1"/>
  <c r="C79" i="84"/>
  <c r="K87" i="38"/>
  <c r="H78" i="38"/>
  <c r="H144" i="38" s="1"/>
  <c r="C72" i="84"/>
  <c r="K80" i="38"/>
  <c r="C43" i="84"/>
  <c r="B43" i="84" s="1"/>
  <c r="B43" i="85" s="1"/>
  <c r="G43" i="85" s="1"/>
  <c r="I43" i="85" s="1"/>
  <c r="C43" i="38" s="1"/>
  <c r="H30" i="34"/>
  <c r="H47" i="33"/>
  <c r="H39" i="34"/>
  <c r="J33" i="76"/>
  <c r="J62" i="73"/>
  <c r="J111" i="73"/>
  <c r="J188" i="73"/>
  <c r="J144" i="32"/>
  <c r="A116" i="70"/>
  <c r="A61" i="34"/>
  <c r="J62" i="54"/>
  <c r="I62" i="87"/>
  <c r="J62" i="89"/>
  <c r="A61" i="80"/>
  <c r="I62" i="52"/>
  <c r="H97" i="38"/>
  <c r="K97" i="38"/>
  <c r="C91" i="84"/>
  <c r="B91" i="84" s="1"/>
  <c r="B91" i="85" s="1"/>
  <c r="G91" i="85" s="1"/>
  <c r="I91" i="85" s="1"/>
  <c r="C97" i="38" s="1"/>
  <c r="H28" i="81"/>
  <c r="E28" i="81"/>
  <c r="H100" i="38"/>
  <c r="K100" i="38"/>
  <c r="C95" i="84"/>
  <c r="C27" i="84"/>
  <c r="A103" i="74"/>
  <c r="C97" i="84"/>
  <c r="B97" i="84" s="1"/>
  <c r="B97" i="85" s="1"/>
  <c r="G97" i="85" s="1"/>
  <c r="I97" i="85" s="1"/>
  <c r="C102" i="38" s="1"/>
  <c r="J89" i="76"/>
  <c r="J46" i="78"/>
  <c r="J34" i="73"/>
  <c r="J48" i="73"/>
  <c r="J83" i="73"/>
  <c r="J97" i="73"/>
  <c r="J160" i="73"/>
  <c r="J174" i="73"/>
  <c r="J209" i="73"/>
  <c r="J25" i="32"/>
  <c r="G36" i="35" s="1"/>
  <c r="J53" i="32"/>
  <c r="J81" i="32"/>
  <c r="J109" i="32"/>
  <c r="J179" i="32"/>
  <c r="G54" i="34"/>
  <c r="G42" i="34"/>
  <c r="A62" i="80"/>
  <c r="A102" i="67"/>
  <c r="A117" i="74"/>
  <c r="J63" i="54"/>
  <c r="A102" i="70"/>
  <c r="A117" i="70"/>
  <c r="D9" i="34" l="1"/>
  <c r="D17" i="34"/>
  <c r="D9" i="33"/>
  <c r="D25" i="34"/>
  <c r="D17" i="33"/>
  <c r="D19" i="33"/>
  <c r="D57" i="34"/>
  <c r="D33" i="33"/>
  <c r="D26" i="34"/>
  <c r="D27" i="34"/>
  <c r="D28" i="34"/>
  <c r="D23" i="33"/>
  <c r="D18" i="33"/>
  <c r="D8" i="33"/>
  <c r="D10" i="34"/>
  <c r="D18" i="34"/>
  <c r="D8" i="34"/>
  <c r="N11" i="54"/>
  <c r="N11" i="52"/>
  <c r="M11" i="52"/>
  <c r="F36" i="81"/>
  <c r="F90" i="81" s="1"/>
  <c r="I8" i="80"/>
  <c r="K8" i="80" s="1"/>
  <c r="C68" i="36" s="1"/>
  <c r="L9" i="52" s="1"/>
  <c r="I9" i="80"/>
  <c r="K9" i="80" s="1"/>
  <c r="C69" i="36" s="1"/>
  <c r="L10" i="52" s="1"/>
  <c r="G58" i="33"/>
  <c r="G117" i="70"/>
  <c r="E11" i="37"/>
  <c r="D11" i="62"/>
  <c r="F11" i="62" s="1"/>
  <c r="E11" i="62" s="1"/>
  <c r="K59" i="52"/>
  <c r="D115" i="46"/>
  <c r="F115" i="46" s="1"/>
  <c r="E115" i="46" s="1"/>
  <c r="L59" i="89"/>
  <c r="L18" i="54"/>
  <c r="L20" i="54"/>
  <c r="K30" i="52"/>
  <c r="D86" i="46"/>
  <c r="F86" i="46" s="1"/>
  <c r="E86" i="46" s="1"/>
  <c r="L19" i="54"/>
  <c r="L20" i="89"/>
  <c r="K12" i="52"/>
  <c r="D68" i="46"/>
  <c r="F68" i="46" s="1"/>
  <c r="E68" i="46" s="1"/>
  <c r="L12" i="89"/>
  <c r="L30" i="89"/>
  <c r="C11" i="52"/>
  <c r="D11" i="46"/>
  <c r="F11" i="46" s="1"/>
  <c r="E11" i="46" s="1"/>
  <c r="C21" i="89"/>
  <c r="C21" i="52"/>
  <c r="D21" i="46"/>
  <c r="F21" i="46" s="1"/>
  <c r="E21" i="46" s="1"/>
  <c r="C11" i="89"/>
  <c r="E58" i="79"/>
  <c r="F58" i="79"/>
  <c r="H58" i="33"/>
  <c r="J35" i="46"/>
  <c r="I35" i="46" s="1"/>
  <c r="C122" i="46"/>
  <c r="K18" i="89"/>
  <c r="K19" i="89" s="1"/>
  <c r="K20" i="89" s="1"/>
  <c r="K21" i="89" s="1"/>
  <c r="K22" i="89" s="1"/>
  <c r="K23" i="89" s="1"/>
  <c r="K24" i="89" s="1"/>
  <c r="K25" i="89" s="1"/>
  <c r="C55" i="84"/>
  <c r="B55" i="84" s="1"/>
  <c r="C140" i="84"/>
  <c r="H82" i="38"/>
  <c r="H148" i="38" s="1"/>
  <c r="K84" i="38"/>
  <c r="C94" i="84"/>
  <c r="B94" i="84" s="1"/>
  <c r="B94" i="85" s="1"/>
  <c r="G98" i="83"/>
  <c r="K99" i="38"/>
  <c r="K103" i="38" s="1"/>
  <c r="B98" i="83"/>
  <c r="B65" i="46"/>
  <c r="B66" i="46" s="1"/>
  <c r="B67" i="46" s="1"/>
  <c r="B68" i="46" s="1"/>
  <c r="B69" i="46" s="1"/>
  <c r="B70" i="46" s="1"/>
  <c r="B71" i="46" s="1"/>
  <c r="B72" i="46" s="1"/>
  <c r="B73" i="46" s="1"/>
  <c r="E24" i="37"/>
  <c r="D24" i="62"/>
  <c r="F24" i="62" s="1"/>
  <c r="E24" i="62" s="1"/>
  <c r="C37" i="53"/>
  <c r="C37" i="55" s="1"/>
  <c r="E36" i="37"/>
  <c r="E121" i="38" s="1"/>
  <c r="D36" i="62"/>
  <c r="F36" i="62" s="1"/>
  <c r="E36" i="62" s="1"/>
  <c r="C64" i="53"/>
  <c r="C64" i="55" s="1"/>
  <c r="E63" i="37"/>
  <c r="D63" i="62"/>
  <c r="F63" i="62" s="1"/>
  <c r="E63" i="62" s="1"/>
  <c r="D28" i="62"/>
  <c r="F28" i="62" s="1"/>
  <c r="E28" i="62" s="1"/>
  <c r="C36" i="53"/>
  <c r="C36" i="55" s="1"/>
  <c r="E35" i="37"/>
  <c r="D35" i="62"/>
  <c r="F35" i="62" s="1"/>
  <c r="E35" i="62" s="1"/>
  <c r="D55" i="62"/>
  <c r="F55" i="62" s="1"/>
  <c r="E55" i="62" s="1"/>
  <c r="E55" i="37"/>
  <c r="C31" i="53"/>
  <c r="C31" i="55" s="1"/>
  <c r="E30" i="37"/>
  <c r="D30" i="62"/>
  <c r="F30" i="62" s="1"/>
  <c r="E30" i="62" s="1"/>
  <c r="E12" i="68"/>
  <c r="J12" i="37"/>
  <c r="J102" i="37" s="1"/>
  <c r="C30" i="53"/>
  <c r="C30" i="55" s="1"/>
  <c r="E29" i="37"/>
  <c r="D29" i="62"/>
  <c r="F29" i="62" s="1"/>
  <c r="E29" i="62" s="1"/>
  <c r="E53" i="68"/>
  <c r="J53" i="37"/>
  <c r="C63" i="53"/>
  <c r="C63" i="55" s="1"/>
  <c r="E62" i="37"/>
  <c r="D62" i="62"/>
  <c r="F62" i="62" s="1"/>
  <c r="E62" i="62" s="1"/>
  <c r="C32" i="88"/>
  <c r="C32" i="90" s="1"/>
  <c r="J31" i="37"/>
  <c r="D120" i="62"/>
  <c r="F120" i="62" s="1"/>
  <c r="E120" i="62" s="1"/>
  <c r="F58" i="67"/>
  <c r="C8" i="87"/>
  <c r="C8" i="89" s="1"/>
  <c r="N16" i="87"/>
  <c r="L16" i="89"/>
  <c r="M16" i="87"/>
  <c r="E7" i="67"/>
  <c r="E122" i="67" s="1"/>
  <c r="H73" i="46"/>
  <c r="J73" i="46" s="1"/>
  <c r="I73" i="46" s="1"/>
  <c r="K17" i="87"/>
  <c r="L17" i="89" s="1"/>
  <c r="J13" i="87"/>
  <c r="J14" i="87" s="1"/>
  <c r="J15" i="87" s="1"/>
  <c r="J16" i="87" s="1"/>
  <c r="J17" i="87" s="1"/>
  <c r="K13" i="54"/>
  <c r="K14" i="54" s="1"/>
  <c r="K15" i="54" s="1"/>
  <c r="K16" i="54" s="1"/>
  <c r="K17" i="54" s="1"/>
  <c r="N117" i="74"/>
  <c r="N130" i="74" s="1"/>
  <c r="E71" i="36"/>
  <c r="E30" i="36"/>
  <c r="D31" i="46"/>
  <c r="F31" i="46" s="1"/>
  <c r="E31" i="46" s="1"/>
  <c r="E81" i="36"/>
  <c r="D78" i="46"/>
  <c r="F78" i="46" s="1"/>
  <c r="E78" i="46" s="1"/>
  <c r="E10" i="36"/>
  <c r="E82" i="36"/>
  <c r="D79" i="46"/>
  <c r="F79" i="46" s="1"/>
  <c r="E79" i="46" s="1"/>
  <c r="C55" i="52"/>
  <c r="C55" i="54" s="1"/>
  <c r="E54" i="36"/>
  <c r="C58" i="52"/>
  <c r="E57" i="36"/>
  <c r="D17" i="46"/>
  <c r="F17" i="46" s="1"/>
  <c r="E17" i="46" s="1"/>
  <c r="C17" i="52"/>
  <c r="C17" i="54" s="1"/>
  <c r="E16" i="36"/>
  <c r="D27" i="46"/>
  <c r="F27" i="46" s="1"/>
  <c r="E27" i="46" s="1"/>
  <c r="E26" i="36"/>
  <c r="K21" i="52"/>
  <c r="L21" i="54" s="1"/>
  <c r="E80" i="36"/>
  <c r="D77" i="46"/>
  <c r="F77" i="46" s="1"/>
  <c r="E77" i="46" s="1"/>
  <c r="C57" i="52"/>
  <c r="C57" i="54" s="1"/>
  <c r="E56" i="36"/>
  <c r="K17" i="52"/>
  <c r="L17" i="54" s="1"/>
  <c r="E79" i="36"/>
  <c r="C25" i="52"/>
  <c r="C25" i="54" s="1"/>
  <c r="E24" i="36"/>
  <c r="C13" i="52"/>
  <c r="C13" i="54" s="1"/>
  <c r="E12" i="36"/>
  <c r="C54" i="52"/>
  <c r="C54" i="54" s="1"/>
  <c r="E53" i="36"/>
  <c r="E90" i="36"/>
  <c r="D87" i="46"/>
  <c r="F87" i="46" s="1"/>
  <c r="E87" i="46" s="1"/>
  <c r="D14" i="46"/>
  <c r="F14" i="46" s="1"/>
  <c r="E14" i="46" s="1"/>
  <c r="C14" i="52"/>
  <c r="C14" i="54" s="1"/>
  <c r="E13" i="36"/>
  <c r="J75" i="36"/>
  <c r="H72" i="46"/>
  <c r="J72" i="46" s="1"/>
  <c r="I72" i="46" s="1"/>
  <c r="E89" i="36"/>
  <c r="E20" i="36"/>
  <c r="D62" i="35"/>
  <c r="D63" i="35"/>
  <c r="D61" i="35"/>
  <c r="D64" i="35"/>
  <c r="E26" i="31"/>
  <c r="H27" i="31"/>
  <c r="J16" i="52"/>
  <c r="J17" i="52" s="1"/>
  <c r="J126" i="38"/>
  <c r="J31" i="36"/>
  <c r="J127" i="36" s="1"/>
  <c r="E90" i="81"/>
  <c r="H90" i="35"/>
  <c r="H60" i="33"/>
  <c r="G60" i="33"/>
  <c r="G90" i="35"/>
  <c r="F60" i="79"/>
  <c r="E60" i="79"/>
  <c r="D81" i="35"/>
  <c r="D85" i="35"/>
  <c r="D86" i="35"/>
  <c r="D88" i="35"/>
  <c r="D84" i="35"/>
  <c r="D82" i="35"/>
  <c r="D87" i="35"/>
  <c r="E38" i="81"/>
  <c r="D79" i="35"/>
  <c r="E32" i="80"/>
  <c r="F32" i="80"/>
  <c r="D32" i="80"/>
  <c r="I15" i="80"/>
  <c r="K15" i="80" s="1"/>
  <c r="C75" i="36" s="1"/>
  <c r="L16" i="52" s="1"/>
  <c r="N16" i="54" s="1"/>
  <c r="I12" i="80"/>
  <c r="K12" i="80" s="1"/>
  <c r="C72" i="36" s="1"/>
  <c r="L13" i="52" s="1"/>
  <c r="N13" i="54" s="1"/>
  <c r="I37" i="79"/>
  <c r="K37" i="79" s="1"/>
  <c r="C37" i="36" s="1"/>
  <c r="D38" i="52" s="1"/>
  <c r="E38" i="54" s="1"/>
  <c r="I35" i="79"/>
  <c r="K35" i="79" s="1"/>
  <c r="C35" i="36" s="1"/>
  <c r="D36" i="52" s="1"/>
  <c r="E36" i="54" s="1"/>
  <c r="F48" i="80"/>
  <c r="F63" i="80" s="1"/>
  <c r="E48" i="80"/>
  <c r="E63" i="80" s="1"/>
  <c r="F31" i="79"/>
  <c r="E31" i="79"/>
  <c r="G38" i="35"/>
  <c r="H38" i="35"/>
  <c r="D29" i="35"/>
  <c r="D11" i="33"/>
  <c r="D14" i="33"/>
  <c r="D12" i="34"/>
  <c r="D26" i="33"/>
  <c r="D37" i="33"/>
  <c r="D50" i="35"/>
  <c r="D33" i="35"/>
  <c r="D35" i="35"/>
  <c r="D15" i="33"/>
  <c r="D34" i="35"/>
  <c r="D30" i="35"/>
  <c r="D25" i="33"/>
  <c r="D15" i="34"/>
  <c r="D38" i="34"/>
  <c r="D35" i="33"/>
  <c r="H31" i="33"/>
  <c r="G32" i="34"/>
  <c r="H32" i="34"/>
  <c r="G31" i="33"/>
  <c r="I22" i="33"/>
  <c r="K22" i="33" s="1"/>
  <c r="I21" i="33"/>
  <c r="K21" i="33" s="1"/>
  <c r="D50" i="62"/>
  <c r="F50" i="62" s="1"/>
  <c r="E50" i="62" s="1"/>
  <c r="E31" i="68"/>
  <c r="H8" i="46"/>
  <c r="J8" i="46" s="1"/>
  <c r="I8" i="46" s="1"/>
  <c r="F122" i="67"/>
  <c r="F87" i="67"/>
  <c r="F125" i="67" s="1"/>
  <c r="E13" i="68"/>
  <c r="J7" i="37"/>
  <c r="E7" i="68"/>
  <c r="J6" i="37"/>
  <c r="E6" i="68"/>
  <c r="B6" i="68" s="1"/>
  <c r="E6" i="37" s="1"/>
  <c r="F38" i="68"/>
  <c r="E38" i="68" s="1"/>
  <c r="B38" i="68" s="1"/>
  <c r="E77" i="37"/>
  <c r="C29" i="53"/>
  <c r="C29" i="55" s="1"/>
  <c r="J116" i="67"/>
  <c r="J129" i="67" s="1"/>
  <c r="H110" i="46"/>
  <c r="J110" i="46" s="1"/>
  <c r="I110" i="46" s="1"/>
  <c r="K54" i="87"/>
  <c r="L54" i="89" s="1"/>
  <c r="D48" i="46"/>
  <c r="F48" i="46" s="1"/>
  <c r="E48" i="46" s="1"/>
  <c r="E47" i="36"/>
  <c r="J94" i="36"/>
  <c r="J76" i="36"/>
  <c r="H91" i="46"/>
  <c r="J91" i="46" s="1"/>
  <c r="I91" i="46" s="1"/>
  <c r="H117" i="70"/>
  <c r="H130" i="70" s="1"/>
  <c r="C31" i="52"/>
  <c r="K22" i="52"/>
  <c r="L22" i="54" s="1"/>
  <c r="E45" i="36"/>
  <c r="C46" i="52"/>
  <c r="C46" i="54" s="1"/>
  <c r="C41" i="53"/>
  <c r="C41" i="55" s="1"/>
  <c r="E40" i="37"/>
  <c r="K36" i="52"/>
  <c r="L36" i="54" s="1"/>
  <c r="C56" i="52"/>
  <c r="C56" i="54" s="1"/>
  <c r="E118" i="36"/>
  <c r="C69" i="53"/>
  <c r="C69" i="55" s="1"/>
  <c r="D84" i="62"/>
  <c r="F84" i="62" s="1"/>
  <c r="E84" i="62" s="1"/>
  <c r="E84" i="37"/>
  <c r="K31" i="52"/>
  <c r="L31" i="54" s="1"/>
  <c r="D86" i="62"/>
  <c r="F86" i="62" s="1"/>
  <c r="E86" i="62" s="1"/>
  <c r="E86" i="37"/>
  <c r="C23" i="53"/>
  <c r="C23" i="55" s="1"/>
  <c r="C40" i="52"/>
  <c r="C40" i="54" s="1"/>
  <c r="C25" i="53"/>
  <c r="C25" i="55" s="1"/>
  <c r="C54" i="88"/>
  <c r="C54" i="90" s="1"/>
  <c r="E99" i="36"/>
  <c r="K23" i="52"/>
  <c r="L23" i="54" s="1"/>
  <c r="F59" i="67"/>
  <c r="C51" i="87"/>
  <c r="C51" i="89" s="1"/>
  <c r="C61" i="53"/>
  <c r="C61" i="55" s="1"/>
  <c r="C75" i="88"/>
  <c r="C75" i="90" s="1"/>
  <c r="C28" i="52"/>
  <c r="C28" i="54" s="1"/>
  <c r="D28" i="46"/>
  <c r="F28" i="46" s="1"/>
  <c r="E28" i="46" s="1"/>
  <c r="C40" i="53"/>
  <c r="C40" i="55" s="1"/>
  <c r="E39" i="37"/>
  <c r="E123" i="38"/>
  <c r="C67" i="53"/>
  <c r="C67" i="55" s="1"/>
  <c r="D66" i="62"/>
  <c r="F66" i="62" s="1"/>
  <c r="E66" i="62" s="1"/>
  <c r="K53" i="52"/>
  <c r="L53" i="54" s="1"/>
  <c r="C60" i="88"/>
  <c r="C60" i="90" s="1"/>
  <c r="D29" i="46"/>
  <c r="F29" i="46" s="1"/>
  <c r="E29" i="46" s="1"/>
  <c r="C29" i="52"/>
  <c r="C29" i="54" s="1"/>
  <c r="C55" i="53"/>
  <c r="C55" i="55" s="1"/>
  <c r="D81" i="62"/>
  <c r="F81" i="62" s="1"/>
  <c r="E81" i="62" s="1"/>
  <c r="E81" i="37"/>
  <c r="E120" i="38"/>
  <c r="D42" i="46"/>
  <c r="F42" i="46" s="1"/>
  <c r="E42" i="46" s="1"/>
  <c r="C42" i="52"/>
  <c r="C42" i="54" s="1"/>
  <c r="C56" i="53"/>
  <c r="C56" i="55" s="1"/>
  <c r="E48" i="36"/>
  <c r="C49" i="52"/>
  <c r="C49" i="54" s="1"/>
  <c r="C70" i="53"/>
  <c r="C70" i="55" s="1"/>
  <c r="C71" i="53"/>
  <c r="C71" i="55" s="1"/>
  <c r="C47" i="52"/>
  <c r="C47" i="54" s="1"/>
  <c r="C68" i="53"/>
  <c r="C68" i="55" s="1"/>
  <c r="C43" i="53"/>
  <c r="C43" i="55" s="1"/>
  <c r="E42" i="37"/>
  <c r="E51" i="36"/>
  <c r="C52" i="52"/>
  <c r="C52" i="54" s="1"/>
  <c r="K50" i="52"/>
  <c r="L50" i="54" s="1"/>
  <c r="C51" i="53"/>
  <c r="C51" i="55" s="1"/>
  <c r="I28" i="35"/>
  <c r="K28" i="35" s="1"/>
  <c r="H28" i="37" s="1"/>
  <c r="D65" i="35"/>
  <c r="D56" i="35"/>
  <c r="D57" i="35"/>
  <c r="D27" i="33"/>
  <c r="D19" i="34"/>
  <c r="C148" i="38"/>
  <c r="B83" i="84"/>
  <c r="B45" i="34"/>
  <c r="B46" i="34" s="1"/>
  <c r="B62" i="34" s="1"/>
  <c r="B45" i="82"/>
  <c r="B103" i="82" s="1"/>
  <c r="C62" i="82"/>
  <c r="B31" i="82"/>
  <c r="C104" i="82"/>
  <c r="B59" i="82"/>
  <c r="B104" i="82" s="1"/>
  <c r="C44" i="68"/>
  <c r="C95" i="68" s="1"/>
  <c r="E71" i="67"/>
  <c r="B71" i="67" s="1"/>
  <c r="K8" i="87"/>
  <c r="L8" i="89" s="1"/>
  <c r="E70" i="67"/>
  <c r="B70" i="67" s="1"/>
  <c r="H64" i="46"/>
  <c r="C26" i="52"/>
  <c r="C26" i="54" s="1"/>
  <c r="D26" i="46"/>
  <c r="F26" i="46" s="1"/>
  <c r="E26" i="46" s="1"/>
  <c r="L32" i="54"/>
  <c r="E62" i="67"/>
  <c r="B101" i="70"/>
  <c r="C129" i="70"/>
  <c r="B116" i="70"/>
  <c r="B129" i="70" s="1"/>
  <c r="C124" i="70"/>
  <c r="B59" i="70"/>
  <c r="D95" i="62"/>
  <c r="E108" i="67"/>
  <c r="F114" i="67"/>
  <c r="F116" i="67" s="1"/>
  <c r="E89" i="67"/>
  <c r="E100" i="67" s="1"/>
  <c r="B100" i="67" s="1"/>
  <c r="K46" i="52" s="1"/>
  <c r="L46" i="54" s="1"/>
  <c r="B34" i="67"/>
  <c r="D35" i="46" s="1"/>
  <c r="D101" i="62"/>
  <c r="F101" i="62" s="1"/>
  <c r="E101" i="62" s="1"/>
  <c r="L117" i="70"/>
  <c r="L130" i="70" s="1"/>
  <c r="D54" i="33"/>
  <c r="D55" i="33"/>
  <c r="D37" i="35"/>
  <c r="B58" i="83"/>
  <c r="C7" i="88"/>
  <c r="C7" i="90" s="1"/>
  <c r="D25" i="35"/>
  <c r="I117" i="70"/>
  <c r="I130" i="70" s="1"/>
  <c r="J26" i="76"/>
  <c r="H20" i="31"/>
  <c r="J25" i="31" s="1"/>
  <c r="D60" i="81"/>
  <c r="D45" i="80"/>
  <c r="D54" i="81"/>
  <c r="D68" i="81"/>
  <c r="D69" i="81"/>
  <c r="D55" i="81"/>
  <c r="D58" i="81"/>
  <c r="D66" i="81"/>
  <c r="D70" i="81"/>
  <c r="H66" i="81"/>
  <c r="H54" i="81"/>
  <c r="H60" i="81"/>
  <c r="H55" i="81"/>
  <c r="H58" i="81"/>
  <c r="H70" i="81"/>
  <c r="H67" i="81"/>
  <c r="H68" i="81"/>
  <c r="H69" i="81"/>
  <c r="D47" i="79"/>
  <c r="D12" i="81"/>
  <c r="D34" i="79"/>
  <c r="D39" i="79"/>
  <c r="D16" i="79"/>
  <c r="D31" i="79" s="1"/>
  <c r="D55" i="80"/>
  <c r="D63" i="80" s="1"/>
  <c r="D41" i="79"/>
  <c r="D67" i="35"/>
  <c r="D11" i="81"/>
  <c r="D28" i="81"/>
  <c r="D13" i="81"/>
  <c r="D7" i="81"/>
  <c r="D21" i="81"/>
  <c r="D27" i="81"/>
  <c r="E42" i="33"/>
  <c r="L127" i="70"/>
  <c r="AB117" i="67"/>
  <c r="AB130" i="67" s="1"/>
  <c r="G71" i="81"/>
  <c r="G40" i="80"/>
  <c r="G10" i="79"/>
  <c r="G23" i="81"/>
  <c r="G13" i="79"/>
  <c r="G24" i="81"/>
  <c r="G49" i="79"/>
  <c r="G22" i="80"/>
  <c r="G42" i="81"/>
  <c r="G39" i="80"/>
  <c r="G12" i="81"/>
  <c r="G29" i="80"/>
  <c r="G38" i="79"/>
  <c r="G44" i="80"/>
  <c r="G45" i="79"/>
  <c r="G13" i="80"/>
  <c r="G55" i="80"/>
  <c r="L2" i="78"/>
  <c r="G22" i="81"/>
  <c r="G34" i="80"/>
  <c r="G52" i="79"/>
  <c r="G56" i="79"/>
  <c r="G39" i="79"/>
  <c r="G55" i="79"/>
  <c r="G7" i="79"/>
  <c r="G56" i="80"/>
  <c r="G12" i="79"/>
  <c r="G29" i="79"/>
  <c r="G28" i="79"/>
  <c r="G11" i="80"/>
  <c r="G47" i="79"/>
  <c r="G43" i="80"/>
  <c r="G57" i="79"/>
  <c r="G53" i="80"/>
  <c r="G42" i="80"/>
  <c r="G60" i="80"/>
  <c r="G26" i="81"/>
  <c r="G43" i="81"/>
  <c r="G39" i="81"/>
  <c r="G7" i="80"/>
  <c r="G50" i="79"/>
  <c r="G51" i="79"/>
  <c r="G14" i="80"/>
  <c r="G34" i="79"/>
  <c r="G20" i="79"/>
  <c r="G46" i="79"/>
  <c r="G30" i="80"/>
  <c r="G52" i="80"/>
  <c r="G35" i="80"/>
  <c r="G21" i="80"/>
  <c r="G16" i="79"/>
  <c r="G41" i="80"/>
  <c r="G48" i="80"/>
  <c r="G41" i="79"/>
  <c r="G24" i="79"/>
  <c r="G42" i="79"/>
  <c r="G48" i="79"/>
  <c r="G30" i="79"/>
  <c r="G20" i="80"/>
  <c r="G49" i="80"/>
  <c r="G43" i="79"/>
  <c r="G16" i="80"/>
  <c r="G6" i="81"/>
  <c r="G54" i="80"/>
  <c r="G44" i="79"/>
  <c r="G54" i="79"/>
  <c r="G31" i="80"/>
  <c r="G40" i="79"/>
  <c r="G40" i="81"/>
  <c r="H50" i="79"/>
  <c r="H29" i="79"/>
  <c r="H10" i="79"/>
  <c r="H16" i="79"/>
  <c r="H55" i="79"/>
  <c r="H54" i="79"/>
  <c r="H43" i="80"/>
  <c r="H31" i="80"/>
  <c r="H40" i="79"/>
  <c r="H42" i="79"/>
  <c r="H44" i="80"/>
  <c r="H11" i="80"/>
  <c r="H53" i="80"/>
  <c r="H41" i="80"/>
  <c r="H48" i="79"/>
  <c r="H40" i="80"/>
  <c r="H23" i="81"/>
  <c r="H14" i="80"/>
  <c r="H52" i="80"/>
  <c r="H71" i="81"/>
  <c r="H43" i="81"/>
  <c r="H16" i="80"/>
  <c r="H28" i="79"/>
  <c r="H57" i="79"/>
  <c r="H52" i="79"/>
  <c r="H60" i="80"/>
  <c r="H22" i="81"/>
  <c r="H30" i="79"/>
  <c r="H38" i="79"/>
  <c r="H21" i="80"/>
  <c r="L3" i="78"/>
  <c r="H13" i="79"/>
  <c r="H39" i="79"/>
  <c r="H54" i="80"/>
  <c r="H48" i="80"/>
  <c r="H40" i="81"/>
  <c r="H30" i="80"/>
  <c r="H39" i="81"/>
  <c r="H20" i="80"/>
  <c r="H43" i="79"/>
  <c r="H24" i="79"/>
  <c r="H41" i="79"/>
  <c r="H46" i="79"/>
  <c r="H42" i="81"/>
  <c r="H7" i="79"/>
  <c r="H56" i="79"/>
  <c r="H24" i="81"/>
  <c r="H56" i="80"/>
  <c r="H45" i="79"/>
  <c r="H7" i="80"/>
  <c r="H51" i="79"/>
  <c r="H29" i="80"/>
  <c r="H39" i="80"/>
  <c r="J11" i="78"/>
  <c r="H42" i="80"/>
  <c r="H49" i="80"/>
  <c r="H26" i="81"/>
  <c r="H55" i="80"/>
  <c r="H22" i="80"/>
  <c r="H20" i="79"/>
  <c r="H49" i="79"/>
  <c r="H35" i="80"/>
  <c r="H12" i="79"/>
  <c r="H44" i="79"/>
  <c r="H12" i="81"/>
  <c r="H34" i="79"/>
  <c r="H13" i="80"/>
  <c r="H6" i="81"/>
  <c r="H34" i="80"/>
  <c r="H47" i="79"/>
  <c r="G117" i="74"/>
  <c r="G130" i="74" s="1"/>
  <c r="D88" i="62"/>
  <c r="F88" i="62" s="1"/>
  <c r="E88" i="62" s="1"/>
  <c r="C22" i="53"/>
  <c r="C22" i="55" s="1"/>
  <c r="D97" i="75"/>
  <c r="D21" i="62"/>
  <c r="F21" i="62" s="1"/>
  <c r="E21" i="62" s="1"/>
  <c r="T117" i="67"/>
  <c r="T121" i="67" s="1"/>
  <c r="D39" i="62"/>
  <c r="F39" i="62" s="1"/>
  <c r="E39" i="62" s="1"/>
  <c r="K95" i="68"/>
  <c r="L130" i="67"/>
  <c r="E109" i="36"/>
  <c r="N51" i="68"/>
  <c r="N72" i="68" s="1"/>
  <c r="N98" i="68" s="1"/>
  <c r="X117" i="67"/>
  <c r="X121" i="67" s="1"/>
  <c r="AC94" i="68"/>
  <c r="K117" i="67"/>
  <c r="K130" i="67" s="1"/>
  <c r="D79" i="62"/>
  <c r="F79" i="62" s="1"/>
  <c r="E79" i="62" s="1"/>
  <c r="H127" i="70"/>
  <c r="H51" i="69"/>
  <c r="Z117" i="67"/>
  <c r="Z130" i="67" s="1"/>
  <c r="AB129" i="67"/>
  <c r="D95" i="75"/>
  <c r="E80" i="69"/>
  <c r="E83" i="69" s="1"/>
  <c r="E89" i="69" s="1"/>
  <c r="U130" i="67"/>
  <c r="AC97" i="68"/>
  <c r="I102" i="82"/>
  <c r="C73" i="62"/>
  <c r="AD49" i="68"/>
  <c r="AD80" i="68" s="1"/>
  <c r="AD83" i="68" s="1"/>
  <c r="AD89" i="68" s="1"/>
  <c r="D106" i="46"/>
  <c r="F106" i="46" s="1"/>
  <c r="E106" i="46" s="1"/>
  <c r="R117" i="67"/>
  <c r="R130" i="67" s="1"/>
  <c r="T73" i="68"/>
  <c r="D94" i="75"/>
  <c r="D72" i="75"/>
  <c r="D98" i="75" s="1"/>
  <c r="K97" i="68"/>
  <c r="P117" i="67"/>
  <c r="P121" i="67" s="1"/>
  <c r="D49" i="75"/>
  <c r="D73" i="75" s="1"/>
  <c r="J49" i="75"/>
  <c r="J73" i="75" s="1"/>
  <c r="U127" i="67"/>
  <c r="G117" i="67"/>
  <c r="G121" i="67" s="1"/>
  <c r="N117" i="67"/>
  <c r="N121" i="67" s="1"/>
  <c r="AF97" i="68"/>
  <c r="D52" i="46"/>
  <c r="F52" i="46" s="1"/>
  <c r="E52" i="46" s="1"/>
  <c r="I51" i="75"/>
  <c r="I72" i="75" s="1"/>
  <c r="I98" i="75" s="1"/>
  <c r="G109" i="82"/>
  <c r="AE44" i="68"/>
  <c r="AE95" i="68" s="1"/>
  <c r="I117" i="74"/>
  <c r="I130" i="74" s="1"/>
  <c r="L97" i="68"/>
  <c r="U51" i="68"/>
  <c r="G51" i="68"/>
  <c r="G72" i="68" s="1"/>
  <c r="G49" i="75"/>
  <c r="G96" i="75" s="1"/>
  <c r="AA117" i="67"/>
  <c r="AA130" i="67" s="1"/>
  <c r="J97" i="75"/>
  <c r="J117" i="38"/>
  <c r="D68" i="62"/>
  <c r="F68" i="62" s="1"/>
  <c r="E68" i="62" s="1"/>
  <c r="K44" i="87"/>
  <c r="L44" i="89" s="1"/>
  <c r="F109" i="84"/>
  <c r="AH97" i="68"/>
  <c r="E144" i="36"/>
  <c r="E147" i="36" s="1"/>
  <c r="S117" i="67"/>
  <c r="S130" i="67" s="1"/>
  <c r="AG73" i="68"/>
  <c r="AG51" i="68"/>
  <c r="AG72" i="68" s="1"/>
  <c r="AG98" i="68" s="1"/>
  <c r="F117" i="70"/>
  <c r="F121" i="70" s="1"/>
  <c r="M51" i="75"/>
  <c r="M72" i="75" s="1"/>
  <c r="M98" i="75" s="1"/>
  <c r="E117" i="74"/>
  <c r="E130" i="74" s="1"/>
  <c r="AG94" i="68"/>
  <c r="AC72" i="68"/>
  <c r="AC98" i="68" s="1"/>
  <c r="AC49" i="68"/>
  <c r="AC96" i="68" s="1"/>
  <c r="L94" i="69"/>
  <c r="I97" i="68"/>
  <c r="F59" i="81"/>
  <c r="G111" i="82"/>
  <c r="D47" i="46"/>
  <c r="F47" i="46" s="1"/>
  <c r="E47" i="46" s="1"/>
  <c r="AG117" i="67"/>
  <c r="AG130" i="67" s="1"/>
  <c r="Z44" i="68"/>
  <c r="Z95" i="68" s="1"/>
  <c r="G94" i="69"/>
  <c r="G95" i="69"/>
  <c r="X51" i="68"/>
  <c r="X72" i="68" s="1"/>
  <c r="X98" i="68" s="1"/>
  <c r="I127" i="70"/>
  <c r="K94" i="68"/>
  <c r="D42" i="62"/>
  <c r="F42" i="62" s="1"/>
  <c r="E42" i="62" s="1"/>
  <c r="AH117" i="67"/>
  <c r="AH121" i="67" s="1"/>
  <c r="K51" i="69"/>
  <c r="K72" i="69" s="1"/>
  <c r="K98" i="69" s="1"/>
  <c r="D46" i="92"/>
  <c r="D56" i="46"/>
  <c r="F56" i="46" s="1"/>
  <c r="E56" i="46" s="1"/>
  <c r="E46" i="36"/>
  <c r="P97" i="68"/>
  <c r="L95" i="69"/>
  <c r="L49" i="69"/>
  <c r="L96" i="69" s="1"/>
  <c r="U121" i="67"/>
  <c r="D54" i="62"/>
  <c r="D96" i="68"/>
  <c r="D80" i="68"/>
  <c r="D83" i="68" s="1"/>
  <c r="C34" i="84"/>
  <c r="B34" i="84" s="1"/>
  <c r="L121" i="67"/>
  <c r="D102" i="82"/>
  <c r="H62" i="85"/>
  <c r="H64" i="85" s="1"/>
  <c r="I109" i="84"/>
  <c r="D82" i="62"/>
  <c r="F82" i="62" s="1"/>
  <c r="E82" i="62" s="1"/>
  <c r="D95" i="68"/>
  <c r="O117" i="67"/>
  <c r="O130" i="67" s="1"/>
  <c r="I62" i="84"/>
  <c r="I110" i="84" s="1"/>
  <c r="S127" i="67"/>
  <c r="V117" i="67"/>
  <c r="V130" i="67" s="1"/>
  <c r="E62" i="85"/>
  <c r="E64" i="85" s="1"/>
  <c r="F45" i="92"/>
  <c r="O109" i="84"/>
  <c r="Z51" i="68"/>
  <c r="B85" i="83"/>
  <c r="G46" i="92"/>
  <c r="H62" i="83"/>
  <c r="H64" i="83" s="1"/>
  <c r="H96" i="75"/>
  <c r="B73" i="84"/>
  <c r="B73" i="85" s="1"/>
  <c r="G73" i="85" s="1"/>
  <c r="I73" i="85" s="1"/>
  <c r="C79" i="38" s="1"/>
  <c r="C145" i="38" s="1"/>
  <c r="E73" i="69"/>
  <c r="N109" i="82"/>
  <c r="E62" i="83"/>
  <c r="E64" i="83" s="1"/>
  <c r="F100" i="67"/>
  <c r="T51" i="68"/>
  <c r="T72" i="68" s="1"/>
  <c r="T98" i="68" s="1"/>
  <c r="M117" i="67"/>
  <c r="M130" i="67" s="1"/>
  <c r="X73" i="68"/>
  <c r="O51" i="68"/>
  <c r="G95" i="75"/>
  <c r="G53" i="81"/>
  <c r="C62" i="85"/>
  <c r="C64" i="85" s="1"/>
  <c r="F97" i="69"/>
  <c r="AC127" i="67"/>
  <c r="D51" i="68"/>
  <c r="D72" i="68" s="1"/>
  <c r="D98" i="68" s="1"/>
  <c r="H96" i="68"/>
  <c r="AA73" i="68"/>
  <c r="I7" i="35"/>
  <c r="K7" i="35" s="1"/>
  <c r="H117" i="74"/>
  <c r="H130" i="74" s="1"/>
  <c r="AD51" i="68"/>
  <c r="AD72" i="68" s="1"/>
  <c r="AD98" i="68" s="1"/>
  <c r="H109" i="84"/>
  <c r="Y44" i="68"/>
  <c r="Y72" i="68" s="1"/>
  <c r="Y98" i="68" s="1"/>
  <c r="AD117" i="67"/>
  <c r="J111" i="84"/>
  <c r="G38" i="83"/>
  <c r="I38" i="83" s="1"/>
  <c r="H38" i="38" s="1"/>
  <c r="I103" i="84"/>
  <c r="D148" i="62"/>
  <c r="B31" i="83"/>
  <c r="H44" i="69"/>
  <c r="H111" i="82" s="1"/>
  <c r="F44" i="75"/>
  <c r="J72" i="75"/>
  <c r="J98" i="75" s="1"/>
  <c r="D73" i="68"/>
  <c r="D74" i="81"/>
  <c r="F160" i="62"/>
  <c r="E160" i="62" s="1"/>
  <c r="D163" i="62"/>
  <c r="F163" i="62" s="1"/>
  <c r="D142" i="62"/>
  <c r="F142" i="62" s="1"/>
  <c r="E142" i="62" s="1"/>
  <c r="G121" i="70"/>
  <c r="H97" i="68"/>
  <c r="H117" i="67"/>
  <c r="H121" i="67" s="1"/>
  <c r="B45" i="83"/>
  <c r="H62" i="84"/>
  <c r="H64" i="84" s="1"/>
  <c r="H106" i="84" s="1"/>
  <c r="H73" i="68"/>
  <c r="E74" i="81"/>
  <c r="C77" i="84"/>
  <c r="B77" i="84" s="1"/>
  <c r="F46" i="92"/>
  <c r="J60" i="79"/>
  <c r="G130" i="70"/>
  <c r="AA80" i="68"/>
  <c r="AA83" i="68" s="1"/>
  <c r="AA89" i="68" s="1"/>
  <c r="E51" i="69"/>
  <c r="E72" i="69" s="1"/>
  <c r="E98" i="69" s="1"/>
  <c r="O62" i="84"/>
  <c r="O110" i="84" s="1"/>
  <c r="AC121" i="67"/>
  <c r="AG95" i="68"/>
  <c r="J119" i="36"/>
  <c r="J121" i="36" s="1"/>
  <c r="K85" i="38"/>
  <c r="K96" i="68"/>
  <c r="H95" i="68"/>
  <c r="H94" i="68"/>
  <c r="K117" i="74"/>
  <c r="K121" i="74" s="1"/>
  <c r="B140" i="84"/>
  <c r="H72" i="68"/>
  <c r="H98" i="68" s="1"/>
  <c r="V44" i="68"/>
  <c r="V49" i="68" s="1"/>
  <c r="V73" i="68" s="1"/>
  <c r="V94" i="68"/>
  <c r="W129" i="67"/>
  <c r="W117" i="67"/>
  <c r="D23" i="62"/>
  <c r="F23" i="62" s="1"/>
  <c r="E23" i="62" s="1"/>
  <c r="C24" i="53"/>
  <c r="C24" i="55" s="1"/>
  <c r="AI97" i="68"/>
  <c r="L117" i="74"/>
  <c r="L121" i="74" s="1"/>
  <c r="AI73" i="68"/>
  <c r="N121" i="74"/>
  <c r="Y97" i="68"/>
  <c r="I95" i="75"/>
  <c r="J102" i="84"/>
  <c r="C62" i="83"/>
  <c r="C64" i="83" s="1"/>
  <c r="F117" i="74"/>
  <c r="F130" i="74" s="1"/>
  <c r="N117" i="70"/>
  <c r="R51" i="68"/>
  <c r="R97" i="68"/>
  <c r="C51" i="68"/>
  <c r="E112" i="36"/>
  <c r="AH98" i="68"/>
  <c r="H103" i="84"/>
  <c r="H53" i="35"/>
  <c r="E53" i="81"/>
  <c r="L127" i="67"/>
  <c r="N95" i="68"/>
  <c r="M102" i="84"/>
  <c r="D62" i="83"/>
  <c r="D64" i="83" s="1"/>
  <c r="K44" i="75"/>
  <c r="K111" i="84" s="1"/>
  <c r="D67" i="62"/>
  <c r="F67" i="62" s="1"/>
  <c r="E67" i="62" s="1"/>
  <c r="J103" i="36"/>
  <c r="H100" i="46"/>
  <c r="J100" i="46" s="1"/>
  <c r="I100" i="46" s="1"/>
  <c r="C134" i="84"/>
  <c r="B70" i="84"/>
  <c r="C41" i="54"/>
  <c r="D41" i="46"/>
  <c r="F41" i="46" s="1"/>
  <c r="E41" i="46" s="1"/>
  <c r="E40" i="36"/>
  <c r="J52" i="68"/>
  <c r="F52" i="68" s="1"/>
  <c r="J102" i="82"/>
  <c r="F62" i="83"/>
  <c r="F64" i="83" s="1"/>
  <c r="F51" i="75"/>
  <c r="J62" i="84"/>
  <c r="J105" i="84" s="1"/>
  <c r="D117" i="74"/>
  <c r="D130" i="74" s="1"/>
  <c r="D92" i="46"/>
  <c r="F92" i="46" s="1"/>
  <c r="E92" i="46" s="1"/>
  <c r="D57" i="46"/>
  <c r="F57" i="46" s="1"/>
  <c r="E57" i="46" s="1"/>
  <c r="C43" i="54"/>
  <c r="D43" i="46"/>
  <c r="F43" i="46" s="1"/>
  <c r="E43" i="46" s="1"/>
  <c r="E42" i="36"/>
  <c r="D37" i="46"/>
  <c r="F37" i="46" s="1"/>
  <c r="E37" i="46" s="1"/>
  <c r="D94" i="46"/>
  <c r="F94" i="46" s="1"/>
  <c r="E94" i="46" s="1"/>
  <c r="L38" i="54"/>
  <c r="E97" i="36"/>
  <c r="D40" i="62"/>
  <c r="F40" i="62" s="1"/>
  <c r="E40" i="62" s="1"/>
  <c r="D109" i="46"/>
  <c r="F109" i="46" s="1"/>
  <c r="E109" i="46" s="1"/>
  <c r="AA95" i="68"/>
  <c r="K117" i="70"/>
  <c r="K121" i="70" s="1"/>
  <c r="AA96" i="68"/>
  <c r="D96" i="46"/>
  <c r="F96" i="46" s="1"/>
  <c r="E96" i="46" s="1"/>
  <c r="D55" i="46"/>
  <c r="F55" i="46" s="1"/>
  <c r="E55" i="46" s="1"/>
  <c r="L102" i="82"/>
  <c r="M49" i="75"/>
  <c r="M80" i="75" s="1"/>
  <c r="M83" i="75" s="1"/>
  <c r="M89" i="75" s="1"/>
  <c r="F62" i="85"/>
  <c r="F64" i="85" s="1"/>
  <c r="E62" i="84"/>
  <c r="E105" i="84" s="1"/>
  <c r="E95" i="36"/>
  <c r="U94" i="68"/>
  <c r="U44" i="68"/>
  <c r="D25" i="62"/>
  <c r="F25" i="62" s="1"/>
  <c r="E25" i="62" s="1"/>
  <c r="C26" i="53"/>
  <c r="C26" i="55" s="1"/>
  <c r="L44" i="68"/>
  <c r="L94" i="68"/>
  <c r="E50" i="67"/>
  <c r="B50" i="67" s="1"/>
  <c r="C51" i="52" s="1"/>
  <c r="J50" i="36"/>
  <c r="H51" i="46"/>
  <c r="J51" i="46" s="1"/>
  <c r="I51" i="46" s="1"/>
  <c r="D60" i="62"/>
  <c r="F60" i="62" s="1"/>
  <c r="E60" i="62" s="1"/>
  <c r="C27" i="52"/>
  <c r="C27" i="54" s="1"/>
  <c r="AF117" i="67"/>
  <c r="AF121" i="67" s="1"/>
  <c r="AH73" i="68"/>
  <c r="B59" i="33"/>
  <c r="C53" i="54"/>
  <c r="D54" i="46"/>
  <c r="F54" i="46" s="1"/>
  <c r="E54" i="46" s="1"/>
  <c r="C31" i="89"/>
  <c r="E103" i="36"/>
  <c r="D100" i="46"/>
  <c r="F100" i="46" s="1"/>
  <c r="E100" i="46" s="1"/>
  <c r="L44" i="54"/>
  <c r="B53" i="68"/>
  <c r="E53" i="37" s="1"/>
  <c r="E59" i="68"/>
  <c r="B59" i="68" s="1"/>
  <c r="E59" i="37" s="1"/>
  <c r="D76" i="62"/>
  <c r="F76" i="62" s="1"/>
  <c r="E76" i="62" s="1"/>
  <c r="C77" i="53"/>
  <c r="C77" i="55" s="1"/>
  <c r="D85" i="62"/>
  <c r="F85" i="62" s="1"/>
  <c r="E85" i="62" s="1"/>
  <c r="E115" i="36"/>
  <c r="D112" i="46"/>
  <c r="F112" i="46" s="1"/>
  <c r="E112" i="46" s="1"/>
  <c r="I7" i="83"/>
  <c r="G20" i="83"/>
  <c r="S94" i="68"/>
  <c r="G122" i="46"/>
  <c r="D62" i="85"/>
  <c r="D64" i="85" s="1"/>
  <c r="D102" i="62"/>
  <c r="F102" i="62" s="1"/>
  <c r="E102" i="62" s="1"/>
  <c r="C14" i="88"/>
  <c r="C14" i="90" s="1"/>
  <c r="C8" i="88"/>
  <c r="C8" i="90" s="1"/>
  <c r="D96" i="62"/>
  <c r="F96" i="62" s="1"/>
  <c r="E96" i="62" s="1"/>
  <c r="AF44" i="68"/>
  <c r="AF95" i="68" s="1"/>
  <c r="AF94" i="68"/>
  <c r="I53" i="83"/>
  <c r="H53" i="38" s="1"/>
  <c r="G58" i="83"/>
  <c r="I58" i="83" s="1"/>
  <c r="H58" i="38" s="1"/>
  <c r="D46" i="46"/>
  <c r="F46" i="46" s="1"/>
  <c r="E46" i="46" s="1"/>
  <c r="L51" i="54"/>
  <c r="D107" i="46"/>
  <c r="F107" i="46" s="1"/>
  <c r="E107" i="46" s="1"/>
  <c r="E110" i="36"/>
  <c r="C54" i="84"/>
  <c r="B54" i="84" s="1"/>
  <c r="B54" i="85" s="1"/>
  <c r="G54" i="85" s="1"/>
  <c r="I54" i="85" s="1"/>
  <c r="C54" i="38" s="1"/>
  <c r="C36" i="84"/>
  <c r="B36" i="84" s="1"/>
  <c r="B36" i="85" s="1"/>
  <c r="G36" i="85" s="1"/>
  <c r="I36" i="85" s="1"/>
  <c r="C36" i="38" s="1"/>
  <c r="C27" i="53"/>
  <c r="C27" i="55" s="1"/>
  <c r="D26" i="62"/>
  <c r="F26" i="62" s="1"/>
  <c r="E26" i="62" s="1"/>
  <c r="S51" i="68"/>
  <c r="S72" i="68" s="1"/>
  <c r="S98" i="68" s="1"/>
  <c r="F129" i="70"/>
  <c r="K73" i="68"/>
  <c r="C21" i="84"/>
  <c r="B21" i="84" s="1"/>
  <c r="B21" i="85" s="1"/>
  <c r="G21" i="85" s="1"/>
  <c r="I21" i="85" s="1"/>
  <c r="C21" i="38" s="1"/>
  <c r="E43" i="36"/>
  <c r="C44" i="54"/>
  <c r="D44" i="46"/>
  <c r="F44" i="46" s="1"/>
  <c r="E44" i="46" s="1"/>
  <c r="D70" i="62"/>
  <c r="F70" i="62" s="1"/>
  <c r="E70" i="62" s="1"/>
  <c r="C12" i="53"/>
  <c r="C12" i="55" s="1"/>
  <c r="L51" i="69"/>
  <c r="L72" i="69" s="1"/>
  <c r="L98" i="69" s="1"/>
  <c r="F95" i="69"/>
  <c r="F111" i="82"/>
  <c r="J51" i="69"/>
  <c r="G96" i="69"/>
  <c r="N97" i="69"/>
  <c r="N51" i="69"/>
  <c r="G53" i="35"/>
  <c r="G59" i="81"/>
  <c r="F45" i="80"/>
  <c r="I11" i="35"/>
  <c r="K11" i="35" s="1"/>
  <c r="H11" i="37" s="1"/>
  <c r="D12" i="88" s="1"/>
  <c r="F53" i="81"/>
  <c r="G59" i="35"/>
  <c r="H59" i="35"/>
  <c r="F74" i="81"/>
  <c r="E59" i="81"/>
  <c r="A5" i="21"/>
  <c r="B5" i="21"/>
  <c r="L109" i="84"/>
  <c r="E102" i="84"/>
  <c r="E109" i="84"/>
  <c r="M62" i="84"/>
  <c r="M105" i="84" s="1"/>
  <c r="M95" i="75"/>
  <c r="L44" i="75"/>
  <c r="L111" i="84" s="1"/>
  <c r="L94" i="75"/>
  <c r="F127" i="74"/>
  <c r="J117" i="74"/>
  <c r="J121" i="74" s="1"/>
  <c r="J127" i="74"/>
  <c r="N127" i="74"/>
  <c r="I21" i="35"/>
  <c r="K21" i="35" s="1"/>
  <c r="J44" i="69"/>
  <c r="J111" i="82" s="1"/>
  <c r="J94" i="69"/>
  <c r="I97" i="69"/>
  <c r="I51" i="69"/>
  <c r="I72" i="69" s="1"/>
  <c r="I98" i="69" s="1"/>
  <c r="F72" i="69"/>
  <c r="F98" i="69" s="1"/>
  <c r="D117" i="70"/>
  <c r="D121" i="70" s="1"/>
  <c r="D127" i="70"/>
  <c r="M117" i="70"/>
  <c r="M121" i="70" s="1"/>
  <c r="C117" i="70"/>
  <c r="C127" i="70"/>
  <c r="E127" i="70"/>
  <c r="E117" i="70"/>
  <c r="G127" i="70"/>
  <c r="M97" i="68"/>
  <c r="M51" i="68"/>
  <c r="M72" i="68" s="1"/>
  <c r="M98" i="68" s="1"/>
  <c r="AA97" i="68"/>
  <c r="AA51" i="68"/>
  <c r="AA72" i="68" s="1"/>
  <c r="AA98" i="68" s="1"/>
  <c r="AG80" i="68"/>
  <c r="AG83" i="68" s="1"/>
  <c r="AG89" i="68" s="1"/>
  <c r="AG96" i="68"/>
  <c r="M124" i="67"/>
  <c r="E45" i="80"/>
  <c r="L4" i="77"/>
  <c r="K1" i="77"/>
  <c r="G109" i="84"/>
  <c r="G62" i="84"/>
  <c r="G102" i="84"/>
  <c r="K62" i="84"/>
  <c r="K105" i="84" s="1"/>
  <c r="K102" i="84"/>
  <c r="K109" i="84"/>
  <c r="N62" i="84"/>
  <c r="N105" i="84" s="1"/>
  <c r="N109" i="84"/>
  <c r="N102" i="84"/>
  <c r="F62" i="84"/>
  <c r="D109" i="84"/>
  <c r="D62" i="84"/>
  <c r="D105" i="84" s="1"/>
  <c r="D102" i="84"/>
  <c r="L62" i="84"/>
  <c r="H97" i="75"/>
  <c r="H51" i="75"/>
  <c r="H72" i="75" s="1"/>
  <c r="H98" i="75" s="1"/>
  <c r="L51" i="75"/>
  <c r="L97" i="75"/>
  <c r="I49" i="75"/>
  <c r="K97" i="75"/>
  <c r="K51" i="75"/>
  <c r="H73" i="75"/>
  <c r="O97" i="75"/>
  <c r="O51" i="75"/>
  <c r="O72" i="75" s="1"/>
  <c r="O98" i="75" s="1"/>
  <c r="E97" i="75"/>
  <c r="E51" i="75"/>
  <c r="E72" i="75" s="1"/>
  <c r="E98" i="75" s="1"/>
  <c r="E111" i="84"/>
  <c r="E49" i="75"/>
  <c r="E96" i="75" s="1"/>
  <c r="O129" i="74"/>
  <c r="K127" i="74"/>
  <c r="H124" i="74"/>
  <c r="O117" i="74"/>
  <c r="O121" i="74" s="1"/>
  <c r="I62" i="82"/>
  <c r="I105" i="82" s="1"/>
  <c r="I103" i="82"/>
  <c r="C109" i="82"/>
  <c r="C102" i="82"/>
  <c r="H102" i="82"/>
  <c r="H109" i="82"/>
  <c r="H62" i="82"/>
  <c r="N62" i="82"/>
  <c r="N105" i="82" s="1"/>
  <c r="L62" i="82"/>
  <c r="F62" i="82"/>
  <c r="F105" i="82" s="1"/>
  <c r="F102" i="82"/>
  <c r="F109" i="82"/>
  <c r="D62" i="82"/>
  <c r="M62" i="82"/>
  <c r="M105" i="82" s="1"/>
  <c r="M109" i="82"/>
  <c r="M102" i="82"/>
  <c r="K109" i="82"/>
  <c r="K102" i="82"/>
  <c r="G103" i="82"/>
  <c r="G62" i="82"/>
  <c r="I49" i="69"/>
  <c r="I96" i="69" s="1"/>
  <c r="I95" i="69"/>
  <c r="N44" i="69"/>
  <c r="N111" i="82" s="1"/>
  <c r="N94" i="69"/>
  <c r="M49" i="69"/>
  <c r="M96" i="69" s="1"/>
  <c r="C97" i="69"/>
  <c r="C51" i="69"/>
  <c r="O96" i="69"/>
  <c r="M95" i="69"/>
  <c r="M51" i="69"/>
  <c r="M72" i="69" s="1"/>
  <c r="M97" i="69"/>
  <c r="F49" i="69"/>
  <c r="F96" i="69" s="1"/>
  <c r="K49" i="69"/>
  <c r="K96" i="69" s="1"/>
  <c r="K95" i="69"/>
  <c r="O117" i="70"/>
  <c r="O121" i="70" s="1"/>
  <c r="J117" i="70"/>
  <c r="J121" i="70" s="1"/>
  <c r="O127" i="70"/>
  <c r="C169" i="62"/>
  <c r="C172" i="62" s="1"/>
  <c r="C178" i="62" s="1"/>
  <c r="G123" i="46" s="1"/>
  <c r="C162" i="62"/>
  <c r="V97" i="68"/>
  <c r="V51" i="68"/>
  <c r="Q44" i="68"/>
  <c r="AB44" i="68"/>
  <c r="G94" i="68"/>
  <c r="AH96" i="68"/>
  <c r="T80" i="68"/>
  <c r="T83" i="68" s="1"/>
  <c r="T89" i="68" s="1"/>
  <c r="AB51" i="68"/>
  <c r="AB97" i="68"/>
  <c r="AE51" i="68"/>
  <c r="AE97" i="68"/>
  <c r="W49" i="68"/>
  <c r="W96" i="68" s="1"/>
  <c r="R44" i="68"/>
  <c r="R94" i="68"/>
  <c r="AB94" i="68"/>
  <c r="F100" i="68"/>
  <c r="C94" i="68"/>
  <c r="I44" i="68"/>
  <c r="I95" i="68" s="1"/>
  <c r="I94" i="68"/>
  <c r="W95" i="68"/>
  <c r="Q51" i="68"/>
  <c r="Q97" i="68"/>
  <c r="S95" i="68"/>
  <c r="S49" i="68"/>
  <c r="S96" i="68" s="1"/>
  <c r="P44" i="68"/>
  <c r="P95" i="68" s="1"/>
  <c r="T96" i="68"/>
  <c r="W97" i="68"/>
  <c r="W51" i="68"/>
  <c r="W72" i="68" s="1"/>
  <c r="W98" i="68" s="1"/>
  <c r="Q94" i="68"/>
  <c r="J41" i="68"/>
  <c r="J94" i="68" s="1"/>
  <c r="F101" i="68"/>
  <c r="O44" i="68"/>
  <c r="O94" i="68"/>
  <c r="Q127" i="67"/>
  <c r="Q117" i="67"/>
  <c r="Q121" i="67" s="1"/>
  <c r="AI117" i="67"/>
  <c r="AI121" i="67" s="1"/>
  <c r="J101" i="67"/>
  <c r="AC130" i="67"/>
  <c r="D127" i="67"/>
  <c r="D117" i="67"/>
  <c r="C117" i="67"/>
  <c r="C130" i="67" s="1"/>
  <c r="C127" i="67"/>
  <c r="V124" i="67"/>
  <c r="S124" i="67"/>
  <c r="K124" i="67"/>
  <c r="J59" i="67"/>
  <c r="J124" i="67" s="1"/>
  <c r="AE117" i="67"/>
  <c r="AE121" i="67" s="1"/>
  <c r="AE129" i="67"/>
  <c r="AG124" i="67"/>
  <c r="I127" i="67"/>
  <c r="I117" i="67"/>
  <c r="I121" i="67" s="1"/>
  <c r="Y117" i="67"/>
  <c r="Y127" i="67"/>
  <c r="AI127" i="67"/>
  <c r="D97" i="46"/>
  <c r="F97" i="46" s="1"/>
  <c r="E97" i="46" s="1"/>
  <c r="E100" i="36"/>
  <c r="L41" i="54"/>
  <c r="J62" i="82"/>
  <c r="E49" i="36"/>
  <c r="C50" i="54"/>
  <c r="D50" i="46"/>
  <c r="F50" i="46" s="1"/>
  <c r="E50" i="46" s="1"/>
  <c r="N44" i="75"/>
  <c r="N94" i="75"/>
  <c r="M83" i="68"/>
  <c r="D69" i="62"/>
  <c r="F69" i="62" s="1"/>
  <c r="M124" i="74"/>
  <c r="L41" i="89"/>
  <c r="M117" i="74"/>
  <c r="M121" i="74" s="1"/>
  <c r="M127" i="74"/>
  <c r="C124" i="67"/>
  <c r="O80" i="75"/>
  <c r="O83" i="75" s="1"/>
  <c r="O89" i="75" s="1"/>
  <c r="O96" i="75"/>
  <c r="O73" i="75"/>
  <c r="N96" i="68"/>
  <c r="N80" i="68"/>
  <c r="N83" i="68" s="1"/>
  <c r="N89" i="68" s="1"/>
  <c r="N73" i="68"/>
  <c r="C83" i="62"/>
  <c r="C89" i="62" s="1"/>
  <c r="C123" i="46" s="1"/>
  <c r="B31" i="67"/>
  <c r="I13" i="35"/>
  <c r="K13" i="35" s="1"/>
  <c r="H13" i="37" s="1"/>
  <c r="G51" i="69"/>
  <c r="G72" i="69" s="1"/>
  <c r="G98" i="69" s="1"/>
  <c r="G97" i="69"/>
  <c r="G73" i="69"/>
  <c r="C30" i="54"/>
  <c r="G97" i="75"/>
  <c r="G51" i="75"/>
  <c r="G72" i="75" s="1"/>
  <c r="G98" i="75" s="1"/>
  <c r="E74" i="68"/>
  <c r="B74" i="68" s="1"/>
  <c r="E74" i="37" s="1"/>
  <c r="O51" i="69"/>
  <c r="O72" i="69" s="1"/>
  <c r="O98" i="69" s="1"/>
  <c r="O97" i="69"/>
  <c r="O73" i="69"/>
  <c r="G48" i="83"/>
  <c r="B52" i="83"/>
  <c r="J62" i="38"/>
  <c r="E102" i="82"/>
  <c r="E109" i="82"/>
  <c r="E62" i="82"/>
  <c r="B38" i="67"/>
  <c r="C39" i="52" s="1"/>
  <c r="C39" i="54" s="1"/>
  <c r="C72" i="53"/>
  <c r="C72" i="55" s="1"/>
  <c r="D71" i="62"/>
  <c r="G49" i="68"/>
  <c r="G95" i="68"/>
  <c r="D97" i="69"/>
  <c r="D51" i="69"/>
  <c r="B52" i="69"/>
  <c r="B97" i="69" s="1"/>
  <c r="E117" i="38"/>
  <c r="E62" i="38"/>
  <c r="E110" i="38"/>
  <c r="H124" i="70"/>
  <c r="N51" i="75"/>
  <c r="N97" i="75"/>
  <c r="B74" i="35"/>
  <c r="K62" i="82"/>
  <c r="O109" i="82"/>
  <c r="O102" i="82"/>
  <c r="O62" i="82"/>
  <c r="C45" i="54"/>
  <c r="D45" i="46"/>
  <c r="F45" i="46" s="1"/>
  <c r="E45" i="46" s="1"/>
  <c r="E44" i="36"/>
  <c r="K72" i="68"/>
  <c r="I44" i="83"/>
  <c r="H44" i="38" s="1"/>
  <c r="G48" i="34"/>
  <c r="G63" i="34" s="1"/>
  <c r="H48" i="34"/>
  <c r="H63" i="34" s="1"/>
  <c r="D48" i="34"/>
  <c r="B27" i="84"/>
  <c r="C136" i="84"/>
  <c r="B72" i="84"/>
  <c r="G74" i="35"/>
  <c r="L4" i="32"/>
  <c r="K1" i="32"/>
  <c r="I27" i="35"/>
  <c r="K27" i="35" s="1"/>
  <c r="C119" i="84"/>
  <c r="B95" i="84"/>
  <c r="E5" i="73"/>
  <c r="J80" i="35"/>
  <c r="J83" i="35" s="1"/>
  <c r="J73" i="35"/>
  <c r="H45" i="34"/>
  <c r="B19" i="84"/>
  <c r="H103" i="38"/>
  <c r="H116" i="38" s="1"/>
  <c r="H127" i="38"/>
  <c r="B79" i="84"/>
  <c r="C139" i="84"/>
  <c r="B75" i="84"/>
  <c r="I71" i="83"/>
  <c r="G85" i="83"/>
  <c r="I85" i="83" s="1"/>
  <c r="G69" i="85"/>
  <c r="G45" i="34"/>
  <c r="C40" i="84"/>
  <c r="H74" i="35"/>
  <c r="C18" i="34" l="1"/>
  <c r="C23" i="33"/>
  <c r="C17" i="34"/>
  <c r="C26" i="34"/>
  <c r="C25" i="34"/>
  <c r="C8" i="34"/>
  <c r="C57" i="34"/>
  <c r="C27" i="34"/>
  <c r="C10" i="34"/>
  <c r="C33" i="33"/>
  <c r="C9" i="34"/>
  <c r="C28" i="34"/>
  <c r="C19" i="33"/>
  <c r="C9" i="33"/>
  <c r="C8" i="33"/>
  <c r="C17" i="33"/>
  <c r="C18" i="33"/>
  <c r="F38" i="81"/>
  <c r="N10" i="54"/>
  <c r="N10" i="52"/>
  <c r="M10" i="52"/>
  <c r="C36" i="81"/>
  <c r="D36" i="81"/>
  <c r="D38" i="81" s="1"/>
  <c r="D41" i="81" s="1"/>
  <c r="D44" i="81" s="1"/>
  <c r="D49" i="81" s="1"/>
  <c r="D83" i="81" s="1"/>
  <c r="D89" i="81" s="1"/>
  <c r="G36" i="81"/>
  <c r="G90" i="81" s="1"/>
  <c r="H36" i="81"/>
  <c r="N9" i="54"/>
  <c r="N9" i="52"/>
  <c r="M9" i="52"/>
  <c r="B7" i="67"/>
  <c r="D8" i="46" s="1"/>
  <c r="F9" i="34"/>
  <c r="F28" i="34"/>
  <c r="F18" i="34"/>
  <c r="F8" i="34"/>
  <c r="F10" i="34"/>
  <c r="F23" i="33"/>
  <c r="F17" i="34"/>
  <c r="F57" i="34"/>
  <c r="F33" i="33"/>
  <c r="F9" i="33"/>
  <c r="F26" i="34"/>
  <c r="F25" i="34"/>
  <c r="F17" i="33"/>
  <c r="F27" i="34"/>
  <c r="F8" i="33"/>
  <c r="F19" i="33"/>
  <c r="F18" i="33"/>
  <c r="E81" i="35"/>
  <c r="E57" i="34"/>
  <c r="E27" i="34"/>
  <c r="E28" i="34"/>
  <c r="E26" i="34"/>
  <c r="E23" i="33"/>
  <c r="E33" i="33"/>
  <c r="E8" i="34"/>
  <c r="E8" i="33"/>
  <c r="E9" i="34"/>
  <c r="E18" i="33"/>
  <c r="E25" i="34"/>
  <c r="E17" i="34"/>
  <c r="E18" i="34"/>
  <c r="I18" i="34" s="1"/>
  <c r="K18" i="34" s="1"/>
  <c r="E10" i="34"/>
  <c r="E19" i="33"/>
  <c r="E9" i="33"/>
  <c r="I9" i="33" s="1"/>
  <c r="K9" i="33" s="1"/>
  <c r="E17" i="33"/>
  <c r="E12" i="88"/>
  <c r="F12" i="88"/>
  <c r="J101" i="37"/>
  <c r="L59" i="54"/>
  <c r="L30" i="54"/>
  <c r="L12" i="54"/>
  <c r="C21" i="54"/>
  <c r="C11" i="54"/>
  <c r="D15" i="90"/>
  <c r="D16" i="90"/>
  <c r="D17" i="90"/>
  <c r="D18" i="90"/>
  <c r="D19" i="90"/>
  <c r="D20" i="90"/>
  <c r="D21" i="90"/>
  <c r="D22" i="90"/>
  <c r="G58" i="79"/>
  <c r="H58" i="79"/>
  <c r="D58" i="79"/>
  <c r="F35" i="46"/>
  <c r="E35" i="46" s="1"/>
  <c r="H59" i="46"/>
  <c r="D9" i="90"/>
  <c r="D11" i="90"/>
  <c r="D10" i="90"/>
  <c r="K26" i="89"/>
  <c r="K27" i="89" s="1"/>
  <c r="K28" i="89" s="1"/>
  <c r="K29" i="89" s="1"/>
  <c r="K30" i="89" s="1"/>
  <c r="K31" i="89" s="1"/>
  <c r="K32" i="89" s="1"/>
  <c r="K33" i="89" s="1"/>
  <c r="K34" i="89" s="1"/>
  <c r="K35" i="89" s="1"/>
  <c r="K36" i="89" s="1"/>
  <c r="K37" i="89" s="1"/>
  <c r="K38" i="89" s="1"/>
  <c r="K39" i="89" s="1"/>
  <c r="K40" i="89" s="1"/>
  <c r="K41" i="89" s="1"/>
  <c r="K42" i="89" s="1"/>
  <c r="K43" i="89" s="1"/>
  <c r="K44" i="89" s="1"/>
  <c r="K45" i="89" s="1"/>
  <c r="K46" i="89" s="1"/>
  <c r="K47" i="89" s="1"/>
  <c r="K48" i="89" s="1"/>
  <c r="K49" i="89" s="1"/>
  <c r="K50" i="89" s="1"/>
  <c r="K51" i="89" s="1"/>
  <c r="K52" i="89" s="1"/>
  <c r="K53" i="89" s="1"/>
  <c r="K54" i="89" s="1"/>
  <c r="K55" i="89" s="1"/>
  <c r="K56" i="89" s="1"/>
  <c r="K57" i="89" s="1"/>
  <c r="J18" i="87"/>
  <c r="J19" i="87" s="1"/>
  <c r="J20" i="87" s="1"/>
  <c r="J21" i="87" s="1"/>
  <c r="J22" i="87" s="1"/>
  <c r="J23" i="87" s="1"/>
  <c r="J24" i="87" s="1"/>
  <c r="J25" i="87" s="1"/>
  <c r="K18" i="54"/>
  <c r="K19" i="54" s="1"/>
  <c r="K20" i="54" s="1"/>
  <c r="K21" i="54" s="1"/>
  <c r="K22" i="54" s="1"/>
  <c r="K23" i="54" s="1"/>
  <c r="K24" i="54" s="1"/>
  <c r="K25" i="54" s="1"/>
  <c r="J18" i="52"/>
  <c r="J19" i="52" s="1"/>
  <c r="J20" i="52" s="1"/>
  <c r="J21" i="52" s="1"/>
  <c r="J22" i="52" s="1"/>
  <c r="J23" i="52" s="1"/>
  <c r="J24" i="52" s="1"/>
  <c r="J25" i="52" s="1"/>
  <c r="J58" i="36"/>
  <c r="J128" i="36" s="1"/>
  <c r="C98" i="84"/>
  <c r="C108" i="84" s="1"/>
  <c r="E82" i="35"/>
  <c r="E35" i="34"/>
  <c r="E42" i="34"/>
  <c r="E28" i="33"/>
  <c r="B74" i="46"/>
  <c r="B75" i="46" s="1"/>
  <c r="B76" i="46" s="1"/>
  <c r="B77" i="46" s="1"/>
  <c r="B78" i="46" s="1"/>
  <c r="B79" i="46" s="1"/>
  <c r="B80" i="46" s="1"/>
  <c r="B81" i="46" s="1"/>
  <c r="E58" i="67"/>
  <c r="E123" i="67" s="1"/>
  <c r="F123" i="67"/>
  <c r="E52" i="68"/>
  <c r="J52" i="37"/>
  <c r="C8" i="52"/>
  <c r="C8" i="54" s="1"/>
  <c r="E7" i="36"/>
  <c r="E126" i="38" s="1"/>
  <c r="E54" i="33"/>
  <c r="E7" i="34"/>
  <c r="E10" i="33"/>
  <c r="E7" i="33"/>
  <c r="E40" i="33"/>
  <c r="E55" i="35"/>
  <c r="E12" i="34"/>
  <c r="E48" i="34"/>
  <c r="E50" i="33"/>
  <c r="E12" i="33"/>
  <c r="E31" i="34"/>
  <c r="E49" i="33"/>
  <c r="E45" i="33"/>
  <c r="E54" i="35"/>
  <c r="E56" i="35"/>
  <c r="E20" i="33"/>
  <c r="E44" i="33"/>
  <c r="E39" i="35"/>
  <c r="E46" i="33"/>
  <c r="E70" i="35"/>
  <c r="E11" i="33"/>
  <c r="E33" i="35"/>
  <c r="E13" i="33"/>
  <c r="E57" i="33"/>
  <c r="E20" i="34"/>
  <c r="E34" i="33"/>
  <c r="E40" i="34"/>
  <c r="E42" i="35"/>
  <c r="E36" i="33"/>
  <c r="E30" i="33"/>
  <c r="E76" i="35"/>
  <c r="E51" i="33"/>
  <c r="E56" i="34"/>
  <c r="E34" i="34"/>
  <c r="E55" i="34"/>
  <c r="E13" i="34"/>
  <c r="E53" i="34"/>
  <c r="E41" i="33"/>
  <c r="E21" i="34"/>
  <c r="E44" i="34"/>
  <c r="E60" i="35"/>
  <c r="E58" i="35"/>
  <c r="E19" i="34"/>
  <c r="E57" i="35"/>
  <c r="E37" i="33"/>
  <c r="E26" i="33"/>
  <c r="E50" i="35"/>
  <c r="E24" i="33"/>
  <c r="E43" i="33"/>
  <c r="E43" i="34"/>
  <c r="E52" i="34"/>
  <c r="E49" i="34"/>
  <c r="E48" i="33"/>
  <c r="E24" i="35"/>
  <c r="E40" i="35"/>
  <c r="E29" i="33"/>
  <c r="E54" i="34"/>
  <c r="E77" i="35"/>
  <c r="E43" i="35"/>
  <c r="E71" i="35"/>
  <c r="E14" i="34"/>
  <c r="E11" i="34"/>
  <c r="E12" i="35"/>
  <c r="E39" i="34"/>
  <c r="E67" i="35"/>
  <c r="E66" i="35"/>
  <c r="E37" i="35"/>
  <c r="E27" i="33"/>
  <c r="E65" i="35"/>
  <c r="E35" i="33"/>
  <c r="E29" i="35"/>
  <c r="E15" i="34"/>
  <c r="E14" i="33"/>
  <c r="E41" i="34"/>
  <c r="E16" i="34"/>
  <c r="E39" i="33"/>
  <c r="E6" i="35"/>
  <c r="E22" i="34"/>
  <c r="E52" i="33"/>
  <c r="E26" i="35"/>
  <c r="E22" i="35"/>
  <c r="E16" i="33"/>
  <c r="E56" i="33"/>
  <c r="E53" i="33"/>
  <c r="E47" i="33"/>
  <c r="E29" i="34"/>
  <c r="E60" i="34"/>
  <c r="E38" i="33"/>
  <c r="E23" i="35"/>
  <c r="E30" i="34"/>
  <c r="E69" i="35"/>
  <c r="E68" i="35"/>
  <c r="E25" i="35"/>
  <c r="E55" i="33"/>
  <c r="E15" i="33"/>
  <c r="E25" i="33"/>
  <c r="E30" i="35"/>
  <c r="E38" i="34"/>
  <c r="E88" i="35"/>
  <c r="E34" i="35"/>
  <c r="E35" i="35"/>
  <c r="E79" i="35"/>
  <c r="E84" i="35"/>
  <c r="E85" i="35"/>
  <c r="E87" i="35"/>
  <c r="E86" i="35"/>
  <c r="D63" i="90"/>
  <c r="D64" i="90"/>
  <c r="D65" i="90"/>
  <c r="D66" i="90"/>
  <c r="D62" i="90"/>
  <c r="J32" i="31"/>
  <c r="E36" i="35" s="1"/>
  <c r="L2" i="31"/>
  <c r="D78" i="90"/>
  <c r="D33" i="90"/>
  <c r="D37" i="90"/>
  <c r="D30" i="90"/>
  <c r="D38" i="90"/>
  <c r="D34" i="90"/>
  <c r="D36" i="90"/>
  <c r="D32" i="90"/>
  <c r="D35" i="90"/>
  <c r="D31" i="90"/>
  <c r="K15" i="52"/>
  <c r="L15" i="54" s="1"/>
  <c r="E75" i="36"/>
  <c r="D72" i="46"/>
  <c r="F72" i="46" s="1"/>
  <c r="E72" i="46" s="1"/>
  <c r="K16" i="52"/>
  <c r="D73" i="46"/>
  <c r="F73" i="46" s="1"/>
  <c r="E73" i="46" s="1"/>
  <c r="C21" i="74"/>
  <c r="B21" i="74" s="1"/>
  <c r="B21" i="79" s="1"/>
  <c r="I21" i="79" s="1"/>
  <c r="K21" i="79" s="1"/>
  <c r="C21" i="36" s="1"/>
  <c r="H21" i="36"/>
  <c r="F38" i="52"/>
  <c r="G38" i="52" s="1"/>
  <c r="E38" i="52"/>
  <c r="F64" i="35"/>
  <c r="E63" i="35"/>
  <c r="C22" i="74"/>
  <c r="B22" i="74" s="1"/>
  <c r="B22" i="79" s="1"/>
  <c r="I22" i="79" s="1"/>
  <c r="K22" i="79" s="1"/>
  <c r="C22" i="36" s="1"/>
  <c r="D23" i="52" s="1"/>
  <c r="H22" i="36"/>
  <c r="D23" i="87" s="1"/>
  <c r="M13" i="52"/>
  <c r="N13" i="52"/>
  <c r="O13" i="52" s="1"/>
  <c r="F62" i="35"/>
  <c r="E61" i="35"/>
  <c r="F63" i="35"/>
  <c r="E64" i="35"/>
  <c r="C34" i="35"/>
  <c r="C62" i="35"/>
  <c r="C63" i="35"/>
  <c r="C61" i="35"/>
  <c r="C64" i="35"/>
  <c r="E36" i="52"/>
  <c r="F36" i="52"/>
  <c r="G36" i="52" s="1"/>
  <c r="F61" i="35"/>
  <c r="E62" i="35"/>
  <c r="H90" i="81"/>
  <c r="H27" i="37"/>
  <c r="D28" i="88" s="1"/>
  <c r="E28" i="90" s="1"/>
  <c r="H21" i="37"/>
  <c r="D22" i="88" s="1"/>
  <c r="J59" i="34"/>
  <c r="J61" i="34" s="1"/>
  <c r="J62" i="34" s="1"/>
  <c r="J60" i="33" s="1"/>
  <c r="J89" i="35"/>
  <c r="J92" i="36"/>
  <c r="J130" i="36" s="1"/>
  <c r="D90" i="81"/>
  <c r="A1" i="77"/>
  <c r="H63" i="80"/>
  <c r="G63" i="80"/>
  <c r="G60" i="79"/>
  <c r="H60" i="79"/>
  <c r="D60" i="79"/>
  <c r="F84" i="35"/>
  <c r="F88" i="35"/>
  <c r="F87" i="35"/>
  <c r="F85" i="35"/>
  <c r="F81" i="35"/>
  <c r="C87" i="35"/>
  <c r="C85" i="35"/>
  <c r="C82" i="35"/>
  <c r="C88" i="35"/>
  <c r="C86" i="35"/>
  <c r="C84" i="35"/>
  <c r="C81" i="35"/>
  <c r="F86" i="35"/>
  <c r="F82" i="35"/>
  <c r="H38" i="81"/>
  <c r="H41" i="81" s="1"/>
  <c r="H44" i="81" s="1"/>
  <c r="H49" i="81" s="1"/>
  <c r="H83" i="81" s="1"/>
  <c r="H89" i="81" s="1"/>
  <c r="H32" i="80"/>
  <c r="F79" i="35"/>
  <c r="C79" i="35"/>
  <c r="C71" i="35"/>
  <c r="G32" i="80"/>
  <c r="G31" i="79"/>
  <c r="H31" i="79"/>
  <c r="H121" i="70"/>
  <c r="H32" i="46"/>
  <c r="B122" i="67"/>
  <c r="F11" i="33"/>
  <c r="F34" i="35"/>
  <c r="F12" i="34"/>
  <c r="F33" i="35"/>
  <c r="F26" i="33"/>
  <c r="F14" i="33"/>
  <c r="F35" i="33"/>
  <c r="F38" i="34"/>
  <c r="F50" i="35"/>
  <c r="F25" i="33"/>
  <c r="F37" i="33"/>
  <c r="F29" i="35"/>
  <c r="C30" i="35"/>
  <c r="C29" i="35"/>
  <c r="C37" i="33"/>
  <c r="C50" i="35"/>
  <c r="C33" i="35"/>
  <c r="C35" i="35"/>
  <c r="C26" i="33"/>
  <c r="C11" i="33"/>
  <c r="C38" i="34"/>
  <c r="C25" i="33"/>
  <c r="C35" i="33"/>
  <c r="C14" i="33"/>
  <c r="C15" i="34"/>
  <c r="C12" i="34"/>
  <c r="C15" i="33"/>
  <c r="F15" i="33"/>
  <c r="F36" i="35"/>
  <c r="F15" i="34"/>
  <c r="F35" i="35"/>
  <c r="F30" i="35"/>
  <c r="L121" i="70"/>
  <c r="E93" i="68"/>
  <c r="B31" i="68"/>
  <c r="F93" i="68"/>
  <c r="B62" i="67"/>
  <c r="E67" i="36" s="1"/>
  <c r="E87" i="67"/>
  <c r="E125" i="67" s="1"/>
  <c r="J64" i="46"/>
  <c r="I64" i="46" s="1"/>
  <c r="H89" i="46"/>
  <c r="J89" i="46" s="1"/>
  <c r="I89" i="46" s="1"/>
  <c r="F8" i="46"/>
  <c r="E8" i="46" s="1"/>
  <c r="D32" i="46"/>
  <c r="H116" i="46"/>
  <c r="H118" i="46" s="1"/>
  <c r="J118" i="46" s="1"/>
  <c r="I118" i="46" s="1"/>
  <c r="C7" i="53"/>
  <c r="C7" i="55" s="1"/>
  <c r="D29" i="55" s="1"/>
  <c r="E34" i="36"/>
  <c r="J105" i="36"/>
  <c r="J131" i="36" s="1"/>
  <c r="E76" i="36"/>
  <c r="C49" i="68"/>
  <c r="C96" i="68" s="1"/>
  <c r="B12" i="68"/>
  <c r="E12" i="37" s="1"/>
  <c r="C54" i="53"/>
  <c r="C54" i="55" s="1"/>
  <c r="F124" i="67"/>
  <c r="C60" i="87"/>
  <c r="C60" i="89" s="1"/>
  <c r="C60" i="53"/>
  <c r="C60" i="55" s="1"/>
  <c r="K33" i="87"/>
  <c r="L33" i="89" s="1"/>
  <c r="C39" i="88"/>
  <c r="C39" i="90" s="1"/>
  <c r="D39" i="90" s="1"/>
  <c r="J38" i="37"/>
  <c r="J94" i="37" s="1"/>
  <c r="C39" i="53"/>
  <c r="C39" i="55" s="1"/>
  <c r="E38" i="37"/>
  <c r="F126" i="67"/>
  <c r="K46" i="87"/>
  <c r="L46" i="89" s="1"/>
  <c r="C32" i="52"/>
  <c r="C32" i="54" s="1"/>
  <c r="F129" i="67"/>
  <c r="K62" i="87"/>
  <c r="L62" i="89" s="1"/>
  <c r="C53" i="88"/>
  <c r="C53" i="90" s="1"/>
  <c r="D53" i="90" s="1"/>
  <c r="C35" i="52"/>
  <c r="C35" i="54" s="1"/>
  <c r="F128" i="67"/>
  <c r="K60" i="87"/>
  <c r="L60" i="89" s="1"/>
  <c r="C58" i="89"/>
  <c r="C59" i="87"/>
  <c r="C59" i="89" s="1"/>
  <c r="F65" i="35"/>
  <c r="F57" i="35"/>
  <c r="F56" i="35"/>
  <c r="C65" i="35"/>
  <c r="C27" i="33"/>
  <c r="C57" i="35"/>
  <c r="C19" i="34"/>
  <c r="C56" i="35"/>
  <c r="D12" i="90"/>
  <c r="D25" i="90"/>
  <c r="D13" i="90"/>
  <c r="D23" i="90"/>
  <c r="D27" i="90"/>
  <c r="D28" i="90"/>
  <c r="D75" i="90"/>
  <c r="D41" i="90"/>
  <c r="D44" i="90"/>
  <c r="D51" i="90"/>
  <c r="D55" i="90"/>
  <c r="D43" i="90"/>
  <c r="D71" i="90"/>
  <c r="D56" i="90"/>
  <c r="D7" i="90"/>
  <c r="D8" i="90"/>
  <c r="D69" i="90"/>
  <c r="D67" i="90"/>
  <c r="D46" i="90"/>
  <c r="D68" i="90"/>
  <c r="D61" i="90"/>
  <c r="D59" i="90"/>
  <c r="D24" i="90"/>
  <c r="D72" i="90"/>
  <c r="D70" i="90"/>
  <c r="D77" i="90"/>
  <c r="J133" i="36"/>
  <c r="E41" i="81"/>
  <c r="E44" i="81" s="1"/>
  <c r="E49" i="81" s="1"/>
  <c r="E83" i="81" s="1"/>
  <c r="E89" i="81" s="1"/>
  <c r="B83" i="85"/>
  <c r="G83" i="85" s="1"/>
  <c r="I83" i="85" s="1"/>
  <c r="C89" i="38" s="1"/>
  <c r="B109" i="82"/>
  <c r="B102" i="82"/>
  <c r="B62" i="82"/>
  <c r="F95" i="62"/>
  <c r="D127" i="62"/>
  <c r="D130" i="62" s="1"/>
  <c r="D133" i="62" s="1"/>
  <c r="F133" i="62" s="1"/>
  <c r="E133" i="62" s="1"/>
  <c r="C72" i="68"/>
  <c r="H7" i="37"/>
  <c r="D8" i="88" s="1"/>
  <c r="E8" i="90" s="1"/>
  <c r="E12" i="90"/>
  <c r="D14" i="88"/>
  <c r="E14" i="90" s="1"/>
  <c r="C28" i="75"/>
  <c r="B28" i="75" s="1"/>
  <c r="B28" i="81" s="1"/>
  <c r="D29" i="88"/>
  <c r="E29" i="90" s="1"/>
  <c r="H41" i="35"/>
  <c r="H44" i="35" s="1"/>
  <c r="H49" i="35" s="1"/>
  <c r="G41" i="35"/>
  <c r="G44" i="35" s="1"/>
  <c r="G49" i="35" s="1"/>
  <c r="F27" i="33"/>
  <c r="F19" i="34"/>
  <c r="C121" i="70"/>
  <c r="B117" i="70"/>
  <c r="B130" i="70" s="1"/>
  <c r="B127" i="70"/>
  <c r="B124" i="70"/>
  <c r="B108" i="67"/>
  <c r="E114" i="67"/>
  <c r="E116" i="67" s="1"/>
  <c r="E126" i="67"/>
  <c r="B89" i="67"/>
  <c r="K35" i="52" s="1"/>
  <c r="F66" i="35"/>
  <c r="F41" i="68"/>
  <c r="E41" i="68" s="1"/>
  <c r="F37" i="35"/>
  <c r="D40" i="90"/>
  <c r="D29" i="90"/>
  <c r="I121" i="70"/>
  <c r="F55" i="33"/>
  <c r="F54" i="33"/>
  <c r="C55" i="33"/>
  <c r="C54" i="33"/>
  <c r="C37" i="35"/>
  <c r="D48" i="90"/>
  <c r="D26" i="90"/>
  <c r="D54" i="90"/>
  <c r="F41" i="81"/>
  <c r="F44" i="81" s="1"/>
  <c r="F49" i="81" s="1"/>
  <c r="F83" i="81" s="1"/>
  <c r="F89" i="81" s="1"/>
  <c r="B55" i="85"/>
  <c r="G55" i="85" s="1"/>
  <c r="I55" i="85" s="1"/>
  <c r="C55" i="38" s="1"/>
  <c r="D6" i="62"/>
  <c r="F25" i="35"/>
  <c r="C25" i="35"/>
  <c r="F51" i="33"/>
  <c r="F20" i="34"/>
  <c r="F21" i="34"/>
  <c r="F77" i="35"/>
  <c r="F55" i="34"/>
  <c r="F49" i="34"/>
  <c r="F16" i="33"/>
  <c r="F42" i="33"/>
  <c r="F10" i="33"/>
  <c r="F13" i="34"/>
  <c r="F29" i="33"/>
  <c r="F39" i="34"/>
  <c r="F52" i="33"/>
  <c r="F11" i="34"/>
  <c r="F49" i="33"/>
  <c r="F55" i="35"/>
  <c r="F31" i="34"/>
  <c r="F26" i="35"/>
  <c r="F47" i="33"/>
  <c r="F42" i="34"/>
  <c r="F13" i="33"/>
  <c r="H59" i="81"/>
  <c r="H53" i="81"/>
  <c r="F48" i="34"/>
  <c r="F28" i="33"/>
  <c r="F20" i="33"/>
  <c r="F39" i="33"/>
  <c r="F54" i="34"/>
  <c r="F34" i="33"/>
  <c r="F7" i="34"/>
  <c r="F12" i="33"/>
  <c r="F43" i="34"/>
  <c r="F42" i="35"/>
  <c r="F57" i="33"/>
  <c r="F30" i="33"/>
  <c r="F7" i="33"/>
  <c r="F76" i="35"/>
  <c r="F60" i="34"/>
  <c r="F46" i="33"/>
  <c r="F14" i="34"/>
  <c r="F40" i="35"/>
  <c r="F41" i="33"/>
  <c r="F67" i="35"/>
  <c r="F68" i="35"/>
  <c r="F52" i="34"/>
  <c r="F71" i="35"/>
  <c r="F23" i="35"/>
  <c r="F48" i="33"/>
  <c r="F24" i="35"/>
  <c r="F40" i="34"/>
  <c r="F41" i="34"/>
  <c r="F6" i="35"/>
  <c r="F30" i="34"/>
  <c r="F22" i="34"/>
  <c r="F44" i="33"/>
  <c r="F43" i="33"/>
  <c r="F36" i="33"/>
  <c r="F70" i="35"/>
  <c r="F54" i="35"/>
  <c r="F50" i="33"/>
  <c r="F16" i="34"/>
  <c r="F24" i="33"/>
  <c r="F56" i="33"/>
  <c r="F22" i="35"/>
  <c r="F35" i="34"/>
  <c r="F44" i="34"/>
  <c r="F38" i="33"/>
  <c r="F12" i="35"/>
  <c r="F53" i="33"/>
  <c r="F29" i="34"/>
  <c r="F53" i="34"/>
  <c r="F43" i="35"/>
  <c r="F39" i="35"/>
  <c r="F56" i="34"/>
  <c r="F45" i="33"/>
  <c r="F40" i="33"/>
  <c r="F34" i="34"/>
  <c r="F69" i="35"/>
  <c r="F58" i="35"/>
  <c r="F60" i="35"/>
  <c r="L3" i="31"/>
  <c r="L3" i="76"/>
  <c r="C70" i="81"/>
  <c r="C68" i="81"/>
  <c r="C66" i="81"/>
  <c r="C58" i="81"/>
  <c r="C54" i="81"/>
  <c r="C69" i="81"/>
  <c r="C67" i="81"/>
  <c r="C60" i="81"/>
  <c r="C55" i="81"/>
  <c r="D70" i="35"/>
  <c r="D68" i="35"/>
  <c r="D60" i="35"/>
  <c r="C69" i="35"/>
  <c r="C67" i="35"/>
  <c r="C60" i="35"/>
  <c r="C55" i="35"/>
  <c r="C70" i="35"/>
  <c r="C68" i="35"/>
  <c r="C66" i="35"/>
  <c r="C58" i="35"/>
  <c r="C54" i="35"/>
  <c r="D58" i="35"/>
  <c r="D54" i="35"/>
  <c r="D66" i="35"/>
  <c r="D69" i="35"/>
  <c r="D55" i="35"/>
  <c r="L3" i="73"/>
  <c r="D50" i="33"/>
  <c r="D12" i="35"/>
  <c r="D56" i="34"/>
  <c r="D77" i="35"/>
  <c r="D41" i="34"/>
  <c r="D46" i="33"/>
  <c r="D43" i="34"/>
  <c r="D21" i="34"/>
  <c r="D29" i="34"/>
  <c r="D20" i="33"/>
  <c r="D51" i="33"/>
  <c r="D40" i="35"/>
  <c r="D12" i="33"/>
  <c r="D44" i="33"/>
  <c r="D60" i="34"/>
  <c r="D35" i="34"/>
  <c r="D41" i="33"/>
  <c r="D39" i="33"/>
  <c r="D49" i="33"/>
  <c r="D43" i="35"/>
  <c r="D43" i="33"/>
  <c r="D10" i="33"/>
  <c r="D48" i="33"/>
  <c r="D16" i="34"/>
  <c r="D44" i="34"/>
  <c r="D13" i="34"/>
  <c r="D24" i="33"/>
  <c r="D40" i="34"/>
  <c r="D56" i="33"/>
  <c r="D28" i="33"/>
  <c r="D39" i="34"/>
  <c r="D16" i="33"/>
  <c r="D34" i="34"/>
  <c r="D36" i="33"/>
  <c r="D71" i="35"/>
  <c r="D45" i="33"/>
  <c r="D14" i="34"/>
  <c r="D47" i="33"/>
  <c r="D7" i="34"/>
  <c r="D54" i="34"/>
  <c r="D11" i="34"/>
  <c r="D23" i="35"/>
  <c r="D22" i="35"/>
  <c r="D24" i="35"/>
  <c r="D55" i="34"/>
  <c r="D30" i="33"/>
  <c r="D38" i="33"/>
  <c r="D31" i="34"/>
  <c r="D53" i="34"/>
  <c r="D13" i="33"/>
  <c r="D22" i="34"/>
  <c r="D30" i="34"/>
  <c r="D20" i="34"/>
  <c r="D42" i="35"/>
  <c r="D40" i="33"/>
  <c r="D49" i="34"/>
  <c r="D52" i="34"/>
  <c r="D42" i="34"/>
  <c r="D34" i="33"/>
  <c r="D6" i="35"/>
  <c r="D57" i="33"/>
  <c r="D52" i="33"/>
  <c r="D76" i="35"/>
  <c r="D42" i="33"/>
  <c r="D26" i="35"/>
  <c r="D53" i="33"/>
  <c r="D7" i="33"/>
  <c r="D39" i="35"/>
  <c r="D29" i="33"/>
  <c r="C48" i="34"/>
  <c r="C6" i="35"/>
  <c r="C60" i="80"/>
  <c r="C20" i="80"/>
  <c r="C57" i="79"/>
  <c r="C29" i="79"/>
  <c r="C55" i="79"/>
  <c r="C41" i="80"/>
  <c r="C45" i="79"/>
  <c r="C71" i="81"/>
  <c r="C49" i="80"/>
  <c r="C43" i="79"/>
  <c r="C44" i="79"/>
  <c r="C44" i="80"/>
  <c r="C43" i="81"/>
  <c r="C47" i="79"/>
  <c r="C30" i="79"/>
  <c r="C51" i="79"/>
  <c r="C40" i="80"/>
  <c r="C7" i="79"/>
  <c r="C48" i="80"/>
  <c r="C26" i="81"/>
  <c r="C40" i="81"/>
  <c r="C43" i="80"/>
  <c r="C34" i="79"/>
  <c r="C29" i="80"/>
  <c r="C16" i="79"/>
  <c r="C16" i="80"/>
  <c r="C55" i="80"/>
  <c r="C20" i="79"/>
  <c r="C53" i="80"/>
  <c r="C34" i="80"/>
  <c r="C52" i="80"/>
  <c r="C56" i="80"/>
  <c r="C11" i="80"/>
  <c r="C7" i="80"/>
  <c r="C6" i="81"/>
  <c r="C21" i="80"/>
  <c r="C35" i="80"/>
  <c r="C52" i="79"/>
  <c r="C54" i="80"/>
  <c r="C30" i="80"/>
  <c r="C12" i="81"/>
  <c r="C14" i="80"/>
  <c r="C31" i="80"/>
  <c r="C22" i="81"/>
  <c r="C50" i="79"/>
  <c r="C39" i="81"/>
  <c r="C40" i="79"/>
  <c r="C46" i="79"/>
  <c r="C23" i="81"/>
  <c r="C56" i="79"/>
  <c r="C48" i="79"/>
  <c r="C42" i="79"/>
  <c r="C24" i="81"/>
  <c r="C41" i="79"/>
  <c r="C12" i="79"/>
  <c r="C13" i="80"/>
  <c r="C54" i="79"/>
  <c r="C10" i="79"/>
  <c r="C39" i="79"/>
  <c r="C42" i="80"/>
  <c r="C13" i="79"/>
  <c r="C28" i="79"/>
  <c r="C38" i="79"/>
  <c r="C42" i="81"/>
  <c r="C24" i="79"/>
  <c r="C22" i="80"/>
  <c r="C49" i="79"/>
  <c r="C39" i="80"/>
  <c r="L2" i="76"/>
  <c r="D53" i="81"/>
  <c r="D59" i="81"/>
  <c r="C7" i="81"/>
  <c r="C28" i="81"/>
  <c r="C21" i="81"/>
  <c r="C13" i="81"/>
  <c r="C27" i="81"/>
  <c r="C11" i="81"/>
  <c r="J13" i="73"/>
  <c r="D36" i="35" s="1"/>
  <c r="C56" i="34"/>
  <c r="C55" i="34"/>
  <c r="C26" i="35"/>
  <c r="C28" i="33"/>
  <c r="C24" i="35"/>
  <c r="C24" i="33"/>
  <c r="C36" i="33"/>
  <c r="C38" i="33"/>
  <c r="C41" i="33"/>
  <c r="C34" i="33"/>
  <c r="C48" i="33"/>
  <c r="C16" i="34"/>
  <c r="C43" i="35"/>
  <c r="C34" i="34"/>
  <c r="C22" i="35"/>
  <c r="C41" i="34"/>
  <c r="C50" i="33"/>
  <c r="C52" i="33"/>
  <c r="C13" i="33"/>
  <c r="C45" i="33"/>
  <c r="C13" i="34"/>
  <c r="C46" i="33"/>
  <c r="C40" i="34"/>
  <c r="C20" i="33"/>
  <c r="C12" i="33"/>
  <c r="C44" i="34"/>
  <c r="L2" i="73"/>
  <c r="C44" i="33"/>
  <c r="C54" i="34"/>
  <c r="C20" i="34"/>
  <c r="C23" i="35"/>
  <c r="C30" i="33"/>
  <c r="C76" i="35"/>
  <c r="C47" i="33"/>
  <c r="C60" i="34"/>
  <c r="C77" i="35"/>
  <c r="C78" i="75"/>
  <c r="B78" i="75" s="1"/>
  <c r="B78" i="81" s="1"/>
  <c r="C11" i="34"/>
  <c r="C10" i="33"/>
  <c r="C52" i="34"/>
  <c r="C40" i="35"/>
  <c r="C29" i="33"/>
  <c r="C39" i="35"/>
  <c r="C49" i="34"/>
  <c r="C21" i="34"/>
  <c r="C56" i="33"/>
  <c r="C51" i="33"/>
  <c r="C42" i="35"/>
  <c r="C7" i="34"/>
  <c r="C43" i="33"/>
  <c r="C42" i="33"/>
  <c r="C30" i="34"/>
  <c r="C40" i="33"/>
  <c r="C35" i="34"/>
  <c r="C53" i="34"/>
  <c r="C39" i="34"/>
  <c r="C49" i="33"/>
  <c r="C39" i="33"/>
  <c r="C16" i="33"/>
  <c r="C43" i="34"/>
  <c r="C42" i="34"/>
  <c r="C14" i="34"/>
  <c r="C12" i="35"/>
  <c r="C7" i="33"/>
  <c r="C31" i="34"/>
  <c r="C57" i="33"/>
  <c r="C29" i="34"/>
  <c r="C53" i="33"/>
  <c r="C22" i="34"/>
  <c r="AB121" i="67"/>
  <c r="L4" i="78"/>
  <c r="G74" i="81"/>
  <c r="G45" i="80"/>
  <c r="K1" i="78"/>
  <c r="H74" i="81"/>
  <c r="H45" i="80"/>
  <c r="G121" i="74"/>
  <c r="T130" i="67"/>
  <c r="AD96" i="68"/>
  <c r="X130" i="67"/>
  <c r="D80" i="75"/>
  <c r="D83" i="75" s="1"/>
  <c r="D89" i="75" s="1"/>
  <c r="S121" i="67"/>
  <c r="D96" i="75"/>
  <c r="K121" i="67"/>
  <c r="AA121" i="67"/>
  <c r="R121" i="67"/>
  <c r="Z121" i="67"/>
  <c r="G130" i="67"/>
  <c r="J80" i="75"/>
  <c r="J83" i="75" s="1"/>
  <c r="J89" i="75" s="1"/>
  <c r="AD73" i="68"/>
  <c r="AE49" i="68"/>
  <c r="AE73" i="68" s="1"/>
  <c r="N130" i="67"/>
  <c r="G73" i="75"/>
  <c r="AH130" i="67"/>
  <c r="P130" i="67"/>
  <c r="I121" i="74"/>
  <c r="J96" i="75"/>
  <c r="AE72" i="68"/>
  <c r="AE98" i="68" s="1"/>
  <c r="B59" i="83"/>
  <c r="B62" i="83" s="1"/>
  <c r="B64" i="83" s="1"/>
  <c r="F52" i="81"/>
  <c r="F51" i="81" s="1"/>
  <c r="F130" i="70"/>
  <c r="G80" i="75"/>
  <c r="G83" i="75" s="1"/>
  <c r="G89" i="75" s="1"/>
  <c r="AC73" i="68"/>
  <c r="L73" i="69"/>
  <c r="AC80" i="68"/>
  <c r="AC83" i="68" s="1"/>
  <c r="AC89" i="68" s="1"/>
  <c r="F46" i="80"/>
  <c r="E52" i="81"/>
  <c r="E51" i="81" s="1"/>
  <c r="V121" i="67"/>
  <c r="B137" i="84"/>
  <c r="B63" i="34"/>
  <c r="E121" i="74"/>
  <c r="O121" i="67"/>
  <c r="AF130" i="67"/>
  <c r="AG121" i="67"/>
  <c r="H59" i="33"/>
  <c r="M73" i="75"/>
  <c r="M96" i="75"/>
  <c r="G52" i="81"/>
  <c r="G51" i="81" s="1"/>
  <c r="B60" i="33"/>
  <c r="H102" i="46"/>
  <c r="J102" i="46" s="1"/>
  <c r="I102" i="46" s="1"/>
  <c r="Z49" i="68"/>
  <c r="Z73" i="68" s="1"/>
  <c r="L72" i="75"/>
  <c r="L98" i="75" s="1"/>
  <c r="O64" i="84"/>
  <c r="O106" i="84" s="1"/>
  <c r="F54" i="62"/>
  <c r="E54" i="62" s="1"/>
  <c r="D53" i="62"/>
  <c r="F53" i="62" s="1"/>
  <c r="E53" i="62" s="1"/>
  <c r="F101" i="67"/>
  <c r="L80" i="69"/>
  <c r="L83" i="69" s="1"/>
  <c r="L89" i="69" s="1"/>
  <c r="K130" i="74"/>
  <c r="H130" i="67"/>
  <c r="Z72" i="68"/>
  <c r="Z98" i="68" s="1"/>
  <c r="C121" i="67"/>
  <c r="M121" i="67"/>
  <c r="I64" i="84"/>
  <c r="I106" i="84" s="1"/>
  <c r="C30" i="84"/>
  <c r="I105" i="84"/>
  <c r="H121" i="74"/>
  <c r="D141" i="62"/>
  <c r="F141" i="62" s="1"/>
  <c r="E141" i="62" s="1"/>
  <c r="O105" i="84"/>
  <c r="F148" i="62"/>
  <c r="E148" i="62" s="1"/>
  <c r="L130" i="74"/>
  <c r="H49" i="69"/>
  <c r="H73" i="69" s="1"/>
  <c r="M80" i="69"/>
  <c r="M83" i="69" s="1"/>
  <c r="M89" i="69" s="1"/>
  <c r="K72" i="75"/>
  <c r="K98" i="75" s="1"/>
  <c r="H95" i="69"/>
  <c r="H72" i="69"/>
  <c r="H98" i="69" s="1"/>
  <c r="G45" i="83"/>
  <c r="I45" i="83" s="1"/>
  <c r="H45" i="38" s="1"/>
  <c r="H111" i="38" s="1"/>
  <c r="Y95" i="68"/>
  <c r="Y49" i="68"/>
  <c r="C7" i="75"/>
  <c r="B7" i="75" s="1"/>
  <c r="F72" i="75"/>
  <c r="F98" i="75" s="1"/>
  <c r="F111" i="84"/>
  <c r="F95" i="75"/>
  <c r="F49" i="75"/>
  <c r="F96" i="75" s="1"/>
  <c r="AD121" i="67"/>
  <c r="AD130" i="67"/>
  <c r="E163" i="62"/>
  <c r="A94" i="62" s="1"/>
  <c r="E110" i="84"/>
  <c r="D121" i="74"/>
  <c r="K95" i="75"/>
  <c r="J59" i="46"/>
  <c r="I59" i="46" s="1"/>
  <c r="H52" i="35"/>
  <c r="H51" i="35" s="1"/>
  <c r="K49" i="75"/>
  <c r="K96" i="75" s="1"/>
  <c r="V80" i="68"/>
  <c r="V83" i="68" s="1"/>
  <c r="V89" i="68" s="1"/>
  <c r="E64" i="84"/>
  <c r="E106" i="84" s="1"/>
  <c r="D60" i="90"/>
  <c r="D28" i="55"/>
  <c r="H105" i="84"/>
  <c r="H110" i="84"/>
  <c r="D25" i="55"/>
  <c r="C11" i="75"/>
  <c r="B11" i="75" s="1"/>
  <c r="B11" i="81" s="1"/>
  <c r="D77" i="55"/>
  <c r="G52" i="35"/>
  <c r="G51" i="35" s="1"/>
  <c r="J97" i="68"/>
  <c r="K130" i="70"/>
  <c r="N130" i="70"/>
  <c r="N121" i="70"/>
  <c r="M64" i="84"/>
  <c r="M106" i="84" s="1"/>
  <c r="V72" i="68"/>
  <c r="V98" i="68" s="1"/>
  <c r="C130" i="70"/>
  <c r="F121" i="74"/>
  <c r="V96" i="68"/>
  <c r="M110" i="84"/>
  <c r="J110" i="84"/>
  <c r="M130" i="70"/>
  <c r="W121" i="67"/>
  <c r="W130" i="67"/>
  <c r="C38" i="84"/>
  <c r="J64" i="84"/>
  <c r="J106" i="84" s="1"/>
  <c r="V95" i="68"/>
  <c r="E50" i="36"/>
  <c r="D51" i="46"/>
  <c r="F51" i="46" s="1"/>
  <c r="E51" i="46" s="1"/>
  <c r="C51" i="54"/>
  <c r="L49" i="68"/>
  <c r="L95" i="68"/>
  <c r="L72" i="68"/>
  <c r="L98" i="68" s="1"/>
  <c r="U49" i="68"/>
  <c r="U95" i="68"/>
  <c r="U72" i="68"/>
  <c r="U98" i="68" s="1"/>
  <c r="B134" i="84"/>
  <c r="B70" i="85"/>
  <c r="G70" i="85" s="1"/>
  <c r="I70" i="85" s="1"/>
  <c r="C76" i="38" s="1"/>
  <c r="C142" i="38" s="1"/>
  <c r="C53" i="84"/>
  <c r="I20" i="83"/>
  <c r="H20" i="38" s="1"/>
  <c r="G31" i="83"/>
  <c r="I31" i="83" s="1"/>
  <c r="H31" i="38" s="1"/>
  <c r="AF49" i="68"/>
  <c r="AF96" i="68" s="1"/>
  <c r="AF72" i="68"/>
  <c r="AF98" i="68" s="1"/>
  <c r="C98" i="68"/>
  <c r="L56" i="54"/>
  <c r="AE130" i="67"/>
  <c r="H7" i="38"/>
  <c r="C7" i="84"/>
  <c r="O130" i="70"/>
  <c r="M73" i="69"/>
  <c r="J72" i="69"/>
  <c r="J98" i="69" s="1"/>
  <c r="H46" i="34"/>
  <c r="G59" i="33"/>
  <c r="D46" i="80"/>
  <c r="F59" i="79"/>
  <c r="C13" i="75"/>
  <c r="B13" i="75" s="1"/>
  <c r="B13" i="81" s="1"/>
  <c r="E46" i="80"/>
  <c r="C21" i="75"/>
  <c r="B21" i="75" s="1"/>
  <c r="B21" i="81" s="1"/>
  <c r="L95" i="75"/>
  <c r="L49" i="75"/>
  <c r="J130" i="74"/>
  <c r="J49" i="69"/>
  <c r="J95" i="69"/>
  <c r="M98" i="69"/>
  <c r="E121" i="70"/>
  <c r="E130" i="70"/>
  <c r="D130" i="70"/>
  <c r="I130" i="67"/>
  <c r="E59" i="79"/>
  <c r="F110" i="84"/>
  <c r="F64" i="84"/>
  <c r="F106" i="84" s="1"/>
  <c r="K110" i="84"/>
  <c r="K64" i="84"/>
  <c r="K106" i="84" s="1"/>
  <c r="G105" i="84"/>
  <c r="G110" i="84"/>
  <c r="G64" i="84"/>
  <c r="G106" i="84" s="1"/>
  <c r="F105" i="84"/>
  <c r="L64" i="84"/>
  <c r="L106" i="84" s="1"/>
  <c r="L110" i="84"/>
  <c r="D110" i="84"/>
  <c r="D64" i="84"/>
  <c r="D106" i="84" s="1"/>
  <c r="N64" i="84"/>
  <c r="N106" i="84" s="1"/>
  <c r="N110" i="84"/>
  <c r="L105" i="84"/>
  <c r="I80" i="75"/>
  <c r="I83" i="75" s="1"/>
  <c r="I89" i="75" s="1"/>
  <c r="I73" i="75"/>
  <c r="E80" i="75"/>
  <c r="E83" i="75" s="1"/>
  <c r="E89" i="75" s="1"/>
  <c r="E73" i="75"/>
  <c r="I96" i="75"/>
  <c r="O130" i="74"/>
  <c r="M130" i="74"/>
  <c r="L64" i="82"/>
  <c r="L106" i="82" s="1"/>
  <c r="L110" i="82"/>
  <c r="G64" i="82"/>
  <c r="G106" i="82" s="1"/>
  <c r="G105" i="82"/>
  <c r="G110" i="82"/>
  <c r="N110" i="82"/>
  <c r="N64" i="82"/>
  <c r="N106" i="82" s="1"/>
  <c r="M64" i="82"/>
  <c r="M106" i="82" s="1"/>
  <c r="M110" i="82"/>
  <c r="D110" i="82"/>
  <c r="D64" i="82"/>
  <c r="D106" i="82" s="1"/>
  <c r="D105" i="82"/>
  <c r="H110" i="82"/>
  <c r="H64" i="82"/>
  <c r="H106" i="82" s="1"/>
  <c r="C110" i="82"/>
  <c r="C64" i="82"/>
  <c r="C105" i="82"/>
  <c r="L105" i="82"/>
  <c r="F110" i="82"/>
  <c r="F64" i="82"/>
  <c r="F106" i="82" s="1"/>
  <c r="H105" i="82"/>
  <c r="I110" i="82"/>
  <c r="I64" i="82"/>
  <c r="I106" i="82" s="1"/>
  <c r="N49" i="69"/>
  <c r="N96" i="69" s="1"/>
  <c r="N72" i="69"/>
  <c r="N98" i="69" s="1"/>
  <c r="N95" i="69"/>
  <c r="K80" i="69"/>
  <c r="K83" i="69" s="1"/>
  <c r="K89" i="69" s="1"/>
  <c r="K73" i="69"/>
  <c r="F73" i="69"/>
  <c r="F80" i="69"/>
  <c r="I80" i="69"/>
  <c r="I83" i="69" s="1"/>
  <c r="I89" i="69" s="1"/>
  <c r="I73" i="69"/>
  <c r="J130" i="70"/>
  <c r="J51" i="68"/>
  <c r="F51" i="68" s="1"/>
  <c r="B7" i="68"/>
  <c r="E7" i="37" s="1"/>
  <c r="E100" i="68"/>
  <c r="W73" i="68"/>
  <c r="W80" i="68"/>
  <c r="W83" i="68" s="1"/>
  <c r="W89" i="68" s="1"/>
  <c r="AB49" i="68"/>
  <c r="AB96" i="68" s="1"/>
  <c r="AB72" i="68"/>
  <c r="AB98" i="68" s="1"/>
  <c r="Q72" i="68"/>
  <c r="Q98" i="68" s="1"/>
  <c r="Q49" i="68"/>
  <c r="Q96" i="68" s="1"/>
  <c r="O49" i="68"/>
  <c r="O96" i="68" s="1"/>
  <c r="O95" i="68"/>
  <c r="O72" i="68"/>
  <c r="O98" i="68" s="1"/>
  <c r="J44" i="68"/>
  <c r="J95" i="68" s="1"/>
  <c r="S80" i="68"/>
  <c r="S83" i="68" s="1"/>
  <c r="S89" i="68" s="1"/>
  <c r="S73" i="68"/>
  <c r="I49" i="68"/>
  <c r="I96" i="68" s="1"/>
  <c r="I72" i="68"/>
  <c r="I98" i="68" s="1"/>
  <c r="AB95" i="68"/>
  <c r="Q95" i="68"/>
  <c r="B13" i="68"/>
  <c r="E13" i="37" s="1"/>
  <c r="E101" i="68"/>
  <c r="P72" i="68"/>
  <c r="P98" i="68" s="1"/>
  <c r="P49" i="68"/>
  <c r="P96" i="68" s="1"/>
  <c r="R95" i="68"/>
  <c r="R72" i="68"/>
  <c r="R98" i="68" s="1"/>
  <c r="R49" i="68"/>
  <c r="Q130" i="67"/>
  <c r="Y130" i="67"/>
  <c r="Y121" i="67"/>
  <c r="D130" i="67"/>
  <c r="D121" i="67"/>
  <c r="J117" i="67"/>
  <c r="J127" i="67"/>
  <c r="AI130" i="67"/>
  <c r="G98" i="68"/>
  <c r="D8" i="2"/>
  <c r="E8" i="2" s="1"/>
  <c r="I48" i="83"/>
  <c r="H48" i="38" s="1"/>
  <c r="G52" i="83"/>
  <c r="C75" i="53"/>
  <c r="C75" i="55" s="1"/>
  <c r="F97" i="68"/>
  <c r="E69" i="62"/>
  <c r="B51" i="69"/>
  <c r="B51" i="35" s="1"/>
  <c r="K98" i="68"/>
  <c r="K110" i="82"/>
  <c r="K105" i="82"/>
  <c r="K64" i="82"/>
  <c r="K106" i="82" s="1"/>
  <c r="G96" i="68"/>
  <c r="G80" i="68"/>
  <c r="G73" i="68"/>
  <c r="J113" i="38"/>
  <c r="J64" i="38"/>
  <c r="J114" i="38" s="1"/>
  <c r="J118" i="38"/>
  <c r="E64" i="38"/>
  <c r="E114" i="38" s="1"/>
  <c r="E113" i="38"/>
  <c r="E118" i="38"/>
  <c r="D89" i="68"/>
  <c r="O110" i="82"/>
  <c r="O64" i="82"/>
  <c r="O106" i="82" s="1"/>
  <c r="O105" i="82"/>
  <c r="B52" i="35"/>
  <c r="C31" i="54"/>
  <c r="F71" i="62"/>
  <c r="E71" i="62" s="1"/>
  <c r="D74" i="62"/>
  <c r="F74" i="62" s="1"/>
  <c r="E38" i="36"/>
  <c r="D39" i="46"/>
  <c r="D59" i="46" s="1"/>
  <c r="E110" i="82"/>
  <c r="E64" i="82"/>
  <c r="E106" i="82" s="1"/>
  <c r="E105" i="82"/>
  <c r="D59" i="62"/>
  <c r="M89" i="68"/>
  <c r="N95" i="75"/>
  <c r="N72" i="75"/>
  <c r="N98" i="75" s="1"/>
  <c r="N111" i="84"/>
  <c r="N49" i="75"/>
  <c r="J110" i="82"/>
  <c r="J105" i="82"/>
  <c r="J64" i="82"/>
  <c r="J106" i="82" s="1"/>
  <c r="B75" i="85"/>
  <c r="G75" i="85" s="1"/>
  <c r="I75" i="85" s="1"/>
  <c r="C81" i="38" s="1"/>
  <c r="C147" i="38" s="1"/>
  <c r="B139" i="84"/>
  <c r="B79" i="85"/>
  <c r="G79" i="85" s="1"/>
  <c r="I79" i="85" s="1"/>
  <c r="C85" i="38" s="1"/>
  <c r="B119" i="84"/>
  <c r="B95" i="85"/>
  <c r="G95" i="85" s="1"/>
  <c r="I95" i="85" s="1"/>
  <c r="C100" i="38" s="1"/>
  <c r="B40" i="84"/>
  <c r="C44" i="84"/>
  <c r="B19" i="85"/>
  <c r="G46" i="34"/>
  <c r="K79" i="38"/>
  <c r="H77" i="38"/>
  <c r="C71" i="84"/>
  <c r="D14" i="90"/>
  <c r="I69" i="85"/>
  <c r="C75" i="38" s="1"/>
  <c r="B34" i="85"/>
  <c r="B38" i="84"/>
  <c r="B72" i="85"/>
  <c r="G72" i="85" s="1"/>
  <c r="I72" i="85" s="1"/>
  <c r="C78" i="38" s="1"/>
  <c r="C144" i="38" s="1"/>
  <c r="B136" i="84"/>
  <c r="G94" i="85"/>
  <c r="C27" i="75"/>
  <c r="B77" i="85"/>
  <c r="G77" i="85" s="1"/>
  <c r="I77" i="85" s="1"/>
  <c r="C83" i="38" s="1"/>
  <c r="B27" i="85"/>
  <c r="B30" i="84"/>
  <c r="J134" i="36"/>
  <c r="G35" i="91"/>
  <c r="B98" i="84"/>
  <c r="B108" i="84" s="1"/>
  <c r="G38" i="81" l="1"/>
  <c r="I10" i="34"/>
  <c r="K10" i="34" s="1"/>
  <c r="H70" i="36" s="1"/>
  <c r="L11" i="87" s="1"/>
  <c r="I18" i="33"/>
  <c r="K18" i="33" s="1"/>
  <c r="I33" i="33"/>
  <c r="K33" i="33" s="1"/>
  <c r="H33" i="36" s="1"/>
  <c r="D34" i="87" s="1"/>
  <c r="I9" i="34"/>
  <c r="K9" i="34" s="1"/>
  <c r="H69" i="36" s="1"/>
  <c r="L10" i="87" s="1"/>
  <c r="C36" i="35"/>
  <c r="C90" i="35" s="1"/>
  <c r="I28" i="34"/>
  <c r="K28" i="34" s="1"/>
  <c r="H88" i="36" s="1"/>
  <c r="L29" i="87" s="1"/>
  <c r="I27" i="34"/>
  <c r="K27" i="34" s="1"/>
  <c r="H87" i="36" s="1"/>
  <c r="L28" i="87" s="1"/>
  <c r="I17" i="33"/>
  <c r="K17" i="33" s="1"/>
  <c r="H17" i="36" s="1"/>
  <c r="D18" i="87" s="1"/>
  <c r="I23" i="33"/>
  <c r="K23" i="33" s="1"/>
  <c r="C23" i="74" s="1"/>
  <c r="B23" i="74" s="1"/>
  <c r="B23" i="79" s="1"/>
  <c r="I23" i="79" s="1"/>
  <c r="K23" i="79" s="1"/>
  <c r="C23" i="36" s="1"/>
  <c r="D24" i="52" s="1"/>
  <c r="I57" i="34"/>
  <c r="K57" i="34" s="1"/>
  <c r="C112" i="74" s="1"/>
  <c r="B112" i="74" s="1"/>
  <c r="B57" i="80" s="1"/>
  <c r="I57" i="80" s="1"/>
  <c r="K57" i="80" s="1"/>
  <c r="C117" i="36" s="1"/>
  <c r="L58" i="52" s="1"/>
  <c r="I17" i="34"/>
  <c r="K17" i="34" s="1"/>
  <c r="H77" i="36" s="1"/>
  <c r="L18" i="87" s="1"/>
  <c r="I8" i="33"/>
  <c r="K8" i="33" s="1"/>
  <c r="H8" i="36" s="1"/>
  <c r="D9" i="87" s="1"/>
  <c r="I26" i="34"/>
  <c r="K26" i="34" s="1"/>
  <c r="C81" i="74" s="1"/>
  <c r="B81" i="74" s="1"/>
  <c r="B26" i="80" s="1"/>
  <c r="I26" i="80" s="1"/>
  <c r="K26" i="80" s="1"/>
  <c r="C86" i="36" s="1"/>
  <c r="L27" i="52" s="1"/>
  <c r="I19" i="33"/>
  <c r="K19" i="33" s="1"/>
  <c r="C19" i="74" s="1"/>
  <c r="B19" i="74" s="1"/>
  <c r="B19" i="79" s="1"/>
  <c r="I19" i="79" s="1"/>
  <c r="K19" i="79" s="1"/>
  <c r="C19" i="36" s="1"/>
  <c r="D20" i="52" s="1"/>
  <c r="I25" i="34"/>
  <c r="K25" i="34" s="1"/>
  <c r="H85" i="36" s="1"/>
  <c r="L26" i="87" s="1"/>
  <c r="I8" i="34"/>
  <c r="K8" i="34" s="1"/>
  <c r="H68" i="36" s="1"/>
  <c r="L9" i="87" s="1"/>
  <c r="N9" i="87" s="1"/>
  <c r="H19" i="36"/>
  <c r="D20" i="87" s="1"/>
  <c r="C80" i="74"/>
  <c r="B80" i="74" s="1"/>
  <c r="B25" i="80" s="1"/>
  <c r="I25" i="80" s="1"/>
  <c r="K25" i="80" s="1"/>
  <c r="C85" i="36" s="1"/>
  <c r="L26" i="52" s="1"/>
  <c r="C83" i="74"/>
  <c r="B83" i="74" s="1"/>
  <c r="B28" i="80" s="1"/>
  <c r="I28" i="80" s="1"/>
  <c r="K28" i="80" s="1"/>
  <c r="C88" i="36" s="1"/>
  <c r="L29" i="52" s="1"/>
  <c r="N11" i="89"/>
  <c r="M11" i="87"/>
  <c r="N11" i="87"/>
  <c r="H18" i="36"/>
  <c r="D19" i="87" s="1"/>
  <c r="C18" i="74"/>
  <c r="B18" i="74" s="1"/>
  <c r="B18" i="79" s="1"/>
  <c r="I18" i="79" s="1"/>
  <c r="K18" i="79" s="1"/>
  <c r="C18" i="36" s="1"/>
  <c r="D19" i="52" s="1"/>
  <c r="C33" i="74"/>
  <c r="B33" i="74" s="1"/>
  <c r="B33" i="79" s="1"/>
  <c r="I33" i="79" s="1"/>
  <c r="K33" i="79" s="1"/>
  <c r="C33" i="36" s="1"/>
  <c r="D34" i="52" s="1"/>
  <c r="F58" i="33"/>
  <c r="H78" i="36"/>
  <c r="L19" i="87" s="1"/>
  <c r="C73" i="74"/>
  <c r="B73" i="74" s="1"/>
  <c r="B18" i="80" s="1"/>
  <c r="I18" i="80" s="1"/>
  <c r="K18" i="80" s="1"/>
  <c r="C78" i="36" s="1"/>
  <c r="L19" i="52" s="1"/>
  <c r="N10" i="89"/>
  <c r="M10" i="87"/>
  <c r="N10" i="87"/>
  <c r="H23" i="36"/>
  <c r="D24" i="87" s="1"/>
  <c r="H117" i="36"/>
  <c r="L58" i="87" s="1"/>
  <c r="C9" i="74"/>
  <c r="B9" i="74" s="1"/>
  <c r="B9" i="79" s="1"/>
  <c r="I9" i="79" s="1"/>
  <c r="K9" i="79" s="1"/>
  <c r="C9" i="36" s="1"/>
  <c r="D10" i="52" s="1"/>
  <c r="H9" i="36"/>
  <c r="D10" i="87" s="1"/>
  <c r="C72" i="74"/>
  <c r="B72" i="74" s="1"/>
  <c r="B17" i="80" s="1"/>
  <c r="I17" i="80" s="1"/>
  <c r="K17" i="80" s="1"/>
  <c r="C77" i="36" s="1"/>
  <c r="L18" i="52" s="1"/>
  <c r="E22" i="90"/>
  <c r="E22" i="88"/>
  <c r="F22" i="88"/>
  <c r="D24" i="55"/>
  <c r="D68" i="55"/>
  <c r="D78" i="55"/>
  <c r="D56" i="55"/>
  <c r="D26" i="55"/>
  <c r="D71" i="55"/>
  <c r="D40" i="55"/>
  <c r="D27" i="55"/>
  <c r="D7" i="55"/>
  <c r="J59" i="36"/>
  <c r="J129" i="36" s="1"/>
  <c r="K58" i="89"/>
  <c r="K59" i="89" s="1"/>
  <c r="K60" i="89" s="1"/>
  <c r="K61" i="89" s="1"/>
  <c r="K62" i="89" s="1"/>
  <c r="K63" i="89" s="1"/>
  <c r="D16" i="55"/>
  <c r="D20" i="55"/>
  <c r="D21" i="55"/>
  <c r="D19" i="55"/>
  <c r="D17" i="55"/>
  <c r="D15" i="55"/>
  <c r="D22" i="55"/>
  <c r="D18" i="55"/>
  <c r="D22" i="87"/>
  <c r="E22" i="89" s="1"/>
  <c r="D22" i="52"/>
  <c r="E22" i="52" s="1"/>
  <c r="F22" i="52" s="1"/>
  <c r="C58" i="79"/>
  <c r="C58" i="33"/>
  <c r="D58" i="33"/>
  <c r="E58" i="33"/>
  <c r="D24" i="89"/>
  <c r="D34" i="89"/>
  <c r="D20" i="89"/>
  <c r="D21" i="89"/>
  <c r="D18" i="89"/>
  <c r="D19" i="89"/>
  <c r="D9" i="89"/>
  <c r="D11" i="89"/>
  <c r="D10" i="89"/>
  <c r="J26" i="87"/>
  <c r="J27" i="87" s="1"/>
  <c r="J28" i="87" s="1"/>
  <c r="J29" i="87" s="1"/>
  <c r="J30" i="87" s="1"/>
  <c r="J31" i="87" s="1"/>
  <c r="J32" i="87" s="1"/>
  <c r="J33" i="87" s="1"/>
  <c r="J34" i="87" s="1"/>
  <c r="J35" i="87" s="1"/>
  <c r="J36" i="87" s="1"/>
  <c r="J37" i="87" s="1"/>
  <c r="J38" i="87" s="1"/>
  <c r="J39" i="87" s="1"/>
  <c r="J40" i="87" s="1"/>
  <c r="J41" i="87" s="1"/>
  <c r="J42" i="87" s="1"/>
  <c r="J43" i="87" s="1"/>
  <c r="J44" i="87" s="1"/>
  <c r="J45" i="87" s="1"/>
  <c r="J46" i="87" s="1"/>
  <c r="J47" i="87" s="1"/>
  <c r="J48" i="87" s="1"/>
  <c r="J49" i="87" s="1"/>
  <c r="J50" i="87" s="1"/>
  <c r="J51" i="87" s="1"/>
  <c r="J52" i="87" s="1"/>
  <c r="J53" i="87" s="1"/>
  <c r="J54" i="87" s="1"/>
  <c r="J55" i="87" s="1"/>
  <c r="J56" i="87" s="1"/>
  <c r="J57" i="87" s="1"/>
  <c r="D44" i="55"/>
  <c r="D12" i="55"/>
  <c r="D9" i="55"/>
  <c r="D11" i="55"/>
  <c r="D10" i="55"/>
  <c r="K26" i="54"/>
  <c r="K27" i="54" s="1"/>
  <c r="K28" i="54" s="1"/>
  <c r="K29" i="54" s="1"/>
  <c r="K30" i="54" s="1"/>
  <c r="K31" i="54" s="1"/>
  <c r="K32" i="54" s="1"/>
  <c r="K33" i="54" s="1"/>
  <c r="K34" i="54" s="1"/>
  <c r="K35" i="54" s="1"/>
  <c r="K36" i="54" s="1"/>
  <c r="K37" i="54" s="1"/>
  <c r="K38" i="54" s="1"/>
  <c r="K39" i="54" s="1"/>
  <c r="K40" i="54" s="1"/>
  <c r="K41" i="54" s="1"/>
  <c r="K42" i="54" s="1"/>
  <c r="K43" i="54" s="1"/>
  <c r="K44" i="54" s="1"/>
  <c r="K45" i="54" s="1"/>
  <c r="K46" i="54" s="1"/>
  <c r="K47" i="54" s="1"/>
  <c r="K48" i="54" s="1"/>
  <c r="K49" i="54" s="1"/>
  <c r="K50" i="54" s="1"/>
  <c r="K51" i="54" s="1"/>
  <c r="K52" i="54" s="1"/>
  <c r="K53" i="54" s="1"/>
  <c r="K54" i="54" s="1"/>
  <c r="K55" i="54" s="1"/>
  <c r="K56" i="54" s="1"/>
  <c r="K57" i="54" s="1"/>
  <c r="J26" i="52"/>
  <c r="J27" i="52" s="1"/>
  <c r="J28" i="52" s="1"/>
  <c r="J29" i="52" s="1"/>
  <c r="J30" i="52" s="1"/>
  <c r="J31" i="52" s="1"/>
  <c r="J32" i="52" s="1"/>
  <c r="J33" i="52" s="1"/>
  <c r="J34" i="52" s="1"/>
  <c r="J35" i="52" s="1"/>
  <c r="J36" i="52" s="1"/>
  <c r="J37" i="52" s="1"/>
  <c r="J38" i="52" s="1"/>
  <c r="J39" i="52" s="1"/>
  <c r="J40" i="52" s="1"/>
  <c r="J41" i="52" s="1"/>
  <c r="J42" i="52" s="1"/>
  <c r="J43" i="52" s="1"/>
  <c r="J44" i="52" s="1"/>
  <c r="J45" i="52" s="1"/>
  <c r="J46" i="52" s="1"/>
  <c r="J47" i="52" s="1"/>
  <c r="J48" i="52" s="1"/>
  <c r="J49" i="52" s="1"/>
  <c r="J50" i="52" s="1"/>
  <c r="J51" i="52" s="1"/>
  <c r="J52" i="52" s="1"/>
  <c r="J53" i="52" s="1"/>
  <c r="J54" i="52" s="1"/>
  <c r="J55" i="52" s="1"/>
  <c r="J56" i="52" s="1"/>
  <c r="J57" i="52" s="1"/>
  <c r="E58" i="36"/>
  <c r="E128" i="36" s="1"/>
  <c r="L4" i="31"/>
  <c r="E45" i="34"/>
  <c r="E74" i="35"/>
  <c r="B82" i="46"/>
  <c r="B83" i="46" s="1"/>
  <c r="B84" i="46" s="1"/>
  <c r="B85" i="46" s="1"/>
  <c r="B86" i="46" s="1"/>
  <c r="B87" i="46" s="1"/>
  <c r="B88" i="46" s="1"/>
  <c r="B89" i="46" s="1"/>
  <c r="B90" i="46" s="1"/>
  <c r="B91" i="46" s="1"/>
  <c r="B92" i="46" s="1"/>
  <c r="B93" i="46" s="1"/>
  <c r="B94" i="46" s="1"/>
  <c r="B95" i="46" s="1"/>
  <c r="B96" i="46" s="1"/>
  <c r="B97" i="46" s="1"/>
  <c r="B98" i="46" s="1"/>
  <c r="B99" i="46" s="1"/>
  <c r="B100" i="46" s="1"/>
  <c r="B101" i="46" s="1"/>
  <c r="B102" i="46" s="1"/>
  <c r="B103" i="46" s="1"/>
  <c r="B104" i="46" s="1"/>
  <c r="B105" i="46" s="1"/>
  <c r="B106" i="46" s="1"/>
  <c r="B107" i="46" s="1"/>
  <c r="B108" i="46" s="1"/>
  <c r="B109" i="46" s="1"/>
  <c r="B110" i="46" s="1"/>
  <c r="B111" i="46" s="1"/>
  <c r="B112" i="46" s="1"/>
  <c r="B113" i="46" s="1"/>
  <c r="E94" i="37"/>
  <c r="C13" i="53"/>
  <c r="C13" i="55" s="1"/>
  <c r="D61" i="55"/>
  <c r="D51" i="55"/>
  <c r="C32" i="53"/>
  <c r="C32" i="55" s="1"/>
  <c r="D32" i="55" s="1"/>
  <c r="E31" i="37"/>
  <c r="D31" i="62"/>
  <c r="F31" i="62" s="1"/>
  <c r="E31" i="62" s="1"/>
  <c r="E51" i="68"/>
  <c r="B51" i="68" s="1"/>
  <c r="J51" i="37"/>
  <c r="C127" i="38"/>
  <c r="D11" i="2"/>
  <c r="E11" i="2" s="1"/>
  <c r="E31" i="36"/>
  <c r="E127" i="36" s="1"/>
  <c r="K8" i="52"/>
  <c r="L8" i="54" s="1"/>
  <c r="J116" i="46"/>
  <c r="I116" i="46" s="1"/>
  <c r="E38" i="35"/>
  <c r="E41" i="35" s="1"/>
  <c r="E44" i="35" s="1"/>
  <c r="E49" i="35" s="1"/>
  <c r="E80" i="35" s="1"/>
  <c r="E83" i="35" s="1"/>
  <c r="E89" i="35" s="1"/>
  <c r="I62" i="35"/>
  <c r="K62" i="35" s="1"/>
  <c r="H62" i="37" s="1"/>
  <c r="D63" i="88" s="1"/>
  <c r="E53" i="35"/>
  <c r="E60" i="33"/>
  <c r="E32" i="34"/>
  <c r="E31" i="33"/>
  <c r="E63" i="34"/>
  <c r="E23" i="87"/>
  <c r="F23" i="87" s="1"/>
  <c r="E23" i="89"/>
  <c r="D48" i="55"/>
  <c r="D63" i="55"/>
  <c r="D64" i="55"/>
  <c r="D62" i="55"/>
  <c r="D65" i="55"/>
  <c r="D38" i="89"/>
  <c r="D39" i="89"/>
  <c r="D36" i="89"/>
  <c r="D37" i="89"/>
  <c r="D13" i="89"/>
  <c r="D17" i="89"/>
  <c r="D25" i="89"/>
  <c r="D12" i="89"/>
  <c r="D16" i="89"/>
  <c r="D23" i="89"/>
  <c r="D14" i="89"/>
  <c r="D22" i="89"/>
  <c r="D15" i="89"/>
  <c r="D70" i="55"/>
  <c r="D55" i="55"/>
  <c r="D43" i="55"/>
  <c r="D41" i="55"/>
  <c r="D23" i="55"/>
  <c r="D59" i="55"/>
  <c r="D69" i="55"/>
  <c r="D13" i="55"/>
  <c r="D54" i="55"/>
  <c r="D30" i="55"/>
  <c r="D33" i="55"/>
  <c r="D34" i="55"/>
  <c r="D36" i="55"/>
  <c r="D35" i="55"/>
  <c r="D38" i="55"/>
  <c r="D31" i="55"/>
  <c r="D37" i="55"/>
  <c r="E23" i="52"/>
  <c r="F23" i="52" s="1"/>
  <c r="E23" i="54"/>
  <c r="M16" i="52"/>
  <c r="L16" i="54"/>
  <c r="E92" i="36"/>
  <c r="E130" i="36" s="1"/>
  <c r="E59" i="35"/>
  <c r="N16" i="52"/>
  <c r="D64" i="46"/>
  <c r="D89" i="46" s="1"/>
  <c r="E90" i="35"/>
  <c r="I64" i="35"/>
  <c r="K64" i="35" s="1"/>
  <c r="I61" i="35"/>
  <c r="K61" i="35" s="1"/>
  <c r="I63" i="35"/>
  <c r="K63" i="35" s="1"/>
  <c r="C90" i="81"/>
  <c r="B87" i="67"/>
  <c r="B125" i="67" s="1"/>
  <c r="D90" i="35"/>
  <c r="D60" i="33"/>
  <c r="F90" i="35"/>
  <c r="F60" i="33"/>
  <c r="C38" i="81"/>
  <c r="C41" i="81" s="1"/>
  <c r="C44" i="81" s="1"/>
  <c r="C49" i="81" s="1"/>
  <c r="C83" i="81" s="1"/>
  <c r="C89" i="81" s="1"/>
  <c r="D63" i="34"/>
  <c r="C63" i="34"/>
  <c r="C63" i="80"/>
  <c r="C60" i="79"/>
  <c r="F63" i="34"/>
  <c r="I30" i="35"/>
  <c r="K30" i="35" s="1"/>
  <c r="C32" i="80"/>
  <c r="D38" i="35"/>
  <c r="D41" i="35" s="1"/>
  <c r="D44" i="35" s="1"/>
  <c r="D49" i="35" s="1"/>
  <c r="D80" i="35" s="1"/>
  <c r="D83" i="35" s="1"/>
  <c r="D89" i="35" s="1"/>
  <c r="C31" i="79"/>
  <c r="I29" i="35"/>
  <c r="K29" i="35" s="1"/>
  <c r="C38" i="35"/>
  <c r="C41" i="35" s="1"/>
  <c r="C44" i="35" s="1"/>
  <c r="C49" i="35" s="1"/>
  <c r="C80" i="35" s="1"/>
  <c r="C83" i="35" s="1"/>
  <c r="C89" i="35" s="1"/>
  <c r="I37" i="35"/>
  <c r="K37" i="35" s="1"/>
  <c r="I50" i="35"/>
  <c r="K50" i="35" s="1"/>
  <c r="F38" i="35"/>
  <c r="F41" i="35" s="1"/>
  <c r="F44" i="35" s="1"/>
  <c r="F49" i="35" s="1"/>
  <c r="F80" i="35" s="1"/>
  <c r="F83" i="35" s="1"/>
  <c r="F89" i="35" s="1"/>
  <c r="I15" i="33"/>
  <c r="K15" i="33" s="1"/>
  <c r="I38" i="34"/>
  <c r="K38" i="34" s="1"/>
  <c r="I37" i="33"/>
  <c r="I25" i="33"/>
  <c r="K25" i="33" s="1"/>
  <c r="H25" i="36" s="1"/>
  <c r="D26" i="87" s="1"/>
  <c r="I35" i="33"/>
  <c r="D31" i="33"/>
  <c r="I14" i="33"/>
  <c r="K14" i="33" s="1"/>
  <c r="I12" i="34"/>
  <c r="C31" i="33"/>
  <c r="I34" i="35"/>
  <c r="K34" i="35" s="1"/>
  <c r="I15" i="34"/>
  <c r="I26" i="33"/>
  <c r="K26" i="33" s="1"/>
  <c r="I11" i="33"/>
  <c r="K11" i="33" s="1"/>
  <c r="C32" i="34"/>
  <c r="D32" i="34"/>
  <c r="F32" i="34"/>
  <c r="F31" i="33"/>
  <c r="B93" i="68"/>
  <c r="K54" i="52"/>
  <c r="C80" i="68"/>
  <c r="C83" i="68" s="1"/>
  <c r="C89" i="68" s="1"/>
  <c r="D12" i="62"/>
  <c r="F12" i="62" s="1"/>
  <c r="E12" i="62" s="1"/>
  <c r="C73" i="68"/>
  <c r="J106" i="36"/>
  <c r="J132" i="36" s="1"/>
  <c r="E101" i="67"/>
  <c r="B101" i="67" s="1"/>
  <c r="K47" i="52" s="1"/>
  <c r="L47" i="54" s="1"/>
  <c r="I57" i="35"/>
  <c r="K57" i="35" s="1"/>
  <c r="F117" i="67"/>
  <c r="K63" i="87" s="1"/>
  <c r="L63" i="89" s="1"/>
  <c r="K47" i="87"/>
  <c r="L47" i="89" s="1"/>
  <c r="F44" i="68"/>
  <c r="E44" i="68" s="1"/>
  <c r="C42" i="88"/>
  <c r="C42" i="90" s="1"/>
  <c r="D42" i="90" s="1"/>
  <c r="J41" i="37"/>
  <c r="D49" i="90"/>
  <c r="C52" i="88"/>
  <c r="C52" i="90" s="1"/>
  <c r="D52" i="90" s="1"/>
  <c r="I28" i="81"/>
  <c r="K28" i="81" s="1"/>
  <c r="I27" i="33"/>
  <c r="K27" i="33" s="1"/>
  <c r="C27" i="74" s="1"/>
  <c r="B27" i="74" s="1"/>
  <c r="B27" i="79" s="1"/>
  <c r="I27" i="79" s="1"/>
  <c r="K27" i="79" s="1"/>
  <c r="C27" i="36" s="1"/>
  <c r="D28" i="52" s="1"/>
  <c r="I65" i="35"/>
  <c r="K65" i="35" s="1"/>
  <c r="I35" i="35"/>
  <c r="K35" i="35" s="1"/>
  <c r="H35" i="37" s="1"/>
  <c r="D36" i="88" s="1"/>
  <c r="I56" i="35"/>
  <c r="K56" i="35" s="1"/>
  <c r="I19" i="34"/>
  <c r="K19" i="34" s="1"/>
  <c r="H79" i="36" s="1"/>
  <c r="L20" i="87" s="1"/>
  <c r="E14" i="88"/>
  <c r="F14" i="88" s="1"/>
  <c r="C58" i="84"/>
  <c r="C106" i="82"/>
  <c r="B64" i="82"/>
  <c r="B106" i="82" s="1"/>
  <c r="B110" i="82"/>
  <c r="B105" i="82"/>
  <c r="E95" i="62"/>
  <c r="F127" i="62"/>
  <c r="E127" i="62" s="1"/>
  <c r="E94" i="68"/>
  <c r="B41" i="68"/>
  <c r="B94" i="68" s="1"/>
  <c r="E129" i="67"/>
  <c r="B116" i="67"/>
  <c r="K62" i="52" s="1"/>
  <c r="L62" i="54" s="1"/>
  <c r="E128" i="67"/>
  <c r="B114" i="67"/>
  <c r="K60" i="52" s="1"/>
  <c r="L60" i="54" s="1"/>
  <c r="E8" i="88"/>
  <c r="F8" i="88" s="1"/>
  <c r="B7" i="81"/>
  <c r="I7" i="81" s="1"/>
  <c r="K7" i="81" s="1"/>
  <c r="B58" i="67"/>
  <c r="B123" i="67" s="1"/>
  <c r="B121" i="70"/>
  <c r="F130" i="62"/>
  <c r="E130" i="62" s="1"/>
  <c r="F6" i="62"/>
  <c r="E113" i="36"/>
  <c r="D110" i="46"/>
  <c r="D116" i="46" s="1"/>
  <c r="D91" i="46"/>
  <c r="E94" i="36"/>
  <c r="E105" i="36" s="1"/>
  <c r="E131" i="36" s="1"/>
  <c r="B126" i="67"/>
  <c r="F94" i="68"/>
  <c r="I54" i="33"/>
  <c r="K54" i="33" s="1"/>
  <c r="I55" i="33"/>
  <c r="K55" i="33" s="1"/>
  <c r="F72" i="81"/>
  <c r="G41" i="81"/>
  <c r="G44" i="81" s="1"/>
  <c r="D58" i="80"/>
  <c r="D59" i="80" s="1"/>
  <c r="D61" i="80" s="1"/>
  <c r="D62" i="80" s="1"/>
  <c r="I12" i="35"/>
  <c r="K12" i="35" s="1"/>
  <c r="H12" i="37" s="1"/>
  <c r="I47" i="33"/>
  <c r="K47" i="33" s="1"/>
  <c r="G72" i="35"/>
  <c r="H72" i="35"/>
  <c r="I16" i="34"/>
  <c r="K16" i="34" s="1"/>
  <c r="H76" i="36" s="1"/>
  <c r="L17" i="87" s="1"/>
  <c r="I6" i="35"/>
  <c r="I60" i="34"/>
  <c r="K60" i="34" s="1"/>
  <c r="H120" i="36" s="1"/>
  <c r="L61" i="87" s="1"/>
  <c r="N61" i="89" s="1"/>
  <c r="I42" i="33"/>
  <c r="K42" i="33" s="1"/>
  <c r="C42" i="74" s="1"/>
  <c r="B42" i="74" s="1"/>
  <c r="B42" i="79" s="1"/>
  <c r="I42" i="79" s="1"/>
  <c r="K42" i="79" s="1"/>
  <c r="C42" i="36" s="1"/>
  <c r="F40" i="66" s="1"/>
  <c r="I55" i="34"/>
  <c r="K55" i="34" s="1"/>
  <c r="C110" i="74" s="1"/>
  <c r="B110" i="74" s="1"/>
  <c r="B55" i="80" s="1"/>
  <c r="I55" i="80" s="1"/>
  <c r="K55" i="80" s="1"/>
  <c r="C115" i="36" s="1"/>
  <c r="L56" i="52" s="1"/>
  <c r="N56" i="54" s="1"/>
  <c r="I52" i="33"/>
  <c r="K52" i="33" s="1"/>
  <c r="H52" i="36" s="1"/>
  <c r="F74" i="35"/>
  <c r="I43" i="33"/>
  <c r="K43" i="33" s="1"/>
  <c r="H43" i="36" s="1"/>
  <c r="D44" i="87" s="1"/>
  <c r="I39" i="33"/>
  <c r="K39" i="33" s="1"/>
  <c r="H39" i="36" s="1"/>
  <c r="D40" i="87" s="1"/>
  <c r="F40" i="87" s="1"/>
  <c r="G40" i="87" s="1"/>
  <c r="I48" i="34"/>
  <c r="K48" i="34" s="1"/>
  <c r="H108" i="36" s="1"/>
  <c r="I51" i="34"/>
  <c r="K51" i="34" s="1"/>
  <c r="H111" i="36" s="1"/>
  <c r="L52" i="87" s="1"/>
  <c r="N52" i="89" s="1"/>
  <c r="I34" i="34"/>
  <c r="K34" i="34" s="1"/>
  <c r="H94" i="36" s="1"/>
  <c r="L35" i="87" s="1"/>
  <c r="N35" i="89" s="1"/>
  <c r="I57" i="33"/>
  <c r="K57" i="33" s="1"/>
  <c r="I14" i="34"/>
  <c r="K14" i="34" s="1"/>
  <c r="C69" i="74" s="1"/>
  <c r="B69" i="74" s="1"/>
  <c r="B14" i="80" s="1"/>
  <c r="I14" i="80" s="1"/>
  <c r="K14" i="80" s="1"/>
  <c r="C74" i="36" s="1"/>
  <c r="I39" i="34"/>
  <c r="K39" i="34" s="1"/>
  <c r="H99" i="36" s="1"/>
  <c r="L40" i="87" s="1"/>
  <c r="I7" i="34"/>
  <c r="K7" i="34" s="1"/>
  <c r="I51" i="33"/>
  <c r="K51" i="33" s="1"/>
  <c r="I20" i="34"/>
  <c r="K20" i="34" s="1"/>
  <c r="H80" i="36" s="1"/>
  <c r="L21" i="87" s="1"/>
  <c r="K31" i="35"/>
  <c r="I38" i="33"/>
  <c r="K38" i="33" s="1"/>
  <c r="H38" i="36" s="1"/>
  <c r="D39" i="87" s="1"/>
  <c r="I33" i="35"/>
  <c r="K33" i="35" s="1"/>
  <c r="H52" i="81"/>
  <c r="H51" i="81" s="1"/>
  <c r="H72" i="81" s="1"/>
  <c r="I41" i="34"/>
  <c r="K41" i="34" s="1"/>
  <c r="H101" i="36" s="1"/>
  <c r="L42" i="87" s="1"/>
  <c r="N42" i="89" s="1"/>
  <c r="I40" i="35"/>
  <c r="K40" i="35" s="1"/>
  <c r="I28" i="33"/>
  <c r="K28" i="33" s="1"/>
  <c r="H28" i="36" s="1"/>
  <c r="D29" i="87" s="1"/>
  <c r="E29" i="87" s="1"/>
  <c r="E72" i="81"/>
  <c r="I20" i="33"/>
  <c r="K20" i="33" s="1"/>
  <c r="C20" i="74" s="1"/>
  <c r="B20" i="74" s="1"/>
  <c r="B20" i="79" s="1"/>
  <c r="I20" i="79" s="1"/>
  <c r="K20" i="79" s="1"/>
  <c r="C20" i="36" s="1"/>
  <c r="D21" i="52" s="1"/>
  <c r="I50" i="34"/>
  <c r="K50" i="34" s="1"/>
  <c r="C105" i="74" s="1"/>
  <c r="B105" i="74" s="1"/>
  <c r="B50" i="80" s="1"/>
  <c r="I50" i="80" s="1"/>
  <c r="K50" i="80" s="1"/>
  <c r="C110" i="36" s="1"/>
  <c r="L51" i="52" s="1"/>
  <c r="M51" i="52" s="1"/>
  <c r="F45" i="34"/>
  <c r="I49" i="33"/>
  <c r="K49" i="33" s="1"/>
  <c r="I12" i="33"/>
  <c r="I46" i="33"/>
  <c r="K46" i="33" s="1"/>
  <c r="I41" i="33"/>
  <c r="K41" i="33" s="1"/>
  <c r="C41" i="74" s="1"/>
  <c r="B41" i="74" s="1"/>
  <c r="B41" i="79" s="1"/>
  <c r="I41" i="79" s="1"/>
  <c r="K41" i="79" s="1"/>
  <c r="C41" i="36" s="1"/>
  <c r="D42" i="52" s="1"/>
  <c r="I36" i="33"/>
  <c r="K36" i="33" s="1"/>
  <c r="H36" i="36" s="1"/>
  <c r="D37" i="87" s="1"/>
  <c r="I29" i="34"/>
  <c r="K29" i="34" s="1"/>
  <c r="I29" i="33"/>
  <c r="K29" i="33" s="1"/>
  <c r="C29" i="74" s="1"/>
  <c r="B29" i="74" s="1"/>
  <c r="B29" i="79" s="1"/>
  <c r="I29" i="79" s="1"/>
  <c r="K29" i="79" s="1"/>
  <c r="C29" i="36" s="1"/>
  <c r="D30" i="52" s="1"/>
  <c r="E30" i="54" s="1"/>
  <c r="I44" i="33"/>
  <c r="K44" i="33" s="1"/>
  <c r="H44" i="36" s="1"/>
  <c r="D45" i="87" s="1"/>
  <c r="E45" i="89" s="1"/>
  <c r="I50" i="33"/>
  <c r="K50" i="33" s="1"/>
  <c r="H50" i="36" s="1"/>
  <c r="I16" i="33"/>
  <c r="K16" i="33" s="1"/>
  <c r="H16" i="36" s="1"/>
  <c r="D17" i="87" s="1"/>
  <c r="I40" i="33"/>
  <c r="K40" i="33" s="1"/>
  <c r="C40" i="74" s="1"/>
  <c r="B40" i="74" s="1"/>
  <c r="B40" i="79" s="1"/>
  <c r="I40" i="79" s="1"/>
  <c r="K40" i="79" s="1"/>
  <c r="C40" i="36" s="1"/>
  <c r="D41" i="52" s="1"/>
  <c r="I49" i="34"/>
  <c r="K49" i="34" s="1"/>
  <c r="C104" i="74" s="1"/>
  <c r="B104" i="74" s="1"/>
  <c r="B49" i="80" s="1"/>
  <c r="I49" i="80" s="1"/>
  <c r="K49" i="80" s="1"/>
  <c r="C109" i="36" s="1"/>
  <c r="L50" i="52" s="1"/>
  <c r="N50" i="54" s="1"/>
  <c r="I11" i="34"/>
  <c r="K11" i="34" s="1"/>
  <c r="C66" i="74" s="1"/>
  <c r="B66" i="74" s="1"/>
  <c r="B11" i="80" s="1"/>
  <c r="I11" i="80" s="1"/>
  <c r="K11" i="80" s="1"/>
  <c r="C71" i="36" s="1"/>
  <c r="L12" i="52" s="1"/>
  <c r="I82" i="35"/>
  <c r="K82" i="35" s="1"/>
  <c r="H82" i="37" s="1"/>
  <c r="I48" i="33"/>
  <c r="K48" i="33" s="1"/>
  <c r="I24" i="33"/>
  <c r="K24" i="33" s="1"/>
  <c r="I68" i="35"/>
  <c r="K68" i="35" s="1"/>
  <c r="I36" i="35"/>
  <c r="K36" i="35" s="1"/>
  <c r="I45" i="33"/>
  <c r="K45" i="33" s="1"/>
  <c r="I67" i="35"/>
  <c r="K67" i="35" s="1"/>
  <c r="F53" i="35"/>
  <c r="I88" i="35"/>
  <c r="K88" i="35" s="1"/>
  <c r="H88" i="37" s="1"/>
  <c r="I22" i="34"/>
  <c r="K22" i="34" s="1"/>
  <c r="I70" i="35"/>
  <c r="K70" i="35" s="1"/>
  <c r="I53" i="33"/>
  <c r="K53" i="33" s="1"/>
  <c r="H53" i="36" s="1"/>
  <c r="I42" i="34"/>
  <c r="K42" i="34" s="1"/>
  <c r="H102" i="36" s="1"/>
  <c r="L43" i="87" s="1"/>
  <c r="I40" i="34"/>
  <c r="K40" i="34" s="1"/>
  <c r="H100" i="36" s="1"/>
  <c r="L41" i="87" s="1"/>
  <c r="N41" i="89" s="1"/>
  <c r="I13" i="33"/>
  <c r="I43" i="35"/>
  <c r="K43" i="35" s="1"/>
  <c r="H43" i="37" s="1"/>
  <c r="K46" i="35"/>
  <c r="C46" i="75" s="1"/>
  <c r="B46" i="75" s="1"/>
  <c r="B46" i="81" s="1"/>
  <c r="I46" i="81" s="1"/>
  <c r="K46" i="81" s="1"/>
  <c r="C46" i="37" s="1"/>
  <c r="F59" i="35"/>
  <c r="I42" i="35"/>
  <c r="K42" i="35" s="1"/>
  <c r="I34" i="33"/>
  <c r="K34" i="33" s="1"/>
  <c r="C34" i="74" s="1"/>
  <c r="K1" i="31"/>
  <c r="D59" i="79"/>
  <c r="I84" i="35"/>
  <c r="K84" i="35" s="1"/>
  <c r="I87" i="35"/>
  <c r="K87" i="35" s="1"/>
  <c r="H87" i="37" s="1"/>
  <c r="I23" i="35"/>
  <c r="K23" i="35" s="1"/>
  <c r="H23" i="37" s="1"/>
  <c r="I22" i="35"/>
  <c r="K22" i="35" s="1"/>
  <c r="H22" i="37" s="1"/>
  <c r="I39" i="35"/>
  <c r="K39" i="35" s="1"/>
  <c r="I76" i="35"/>
  <c r="K76" i="35" s="1"/>
  <c r="K47" i="35"/>
  <c r="I56" i="34"/>
  <c r="K56" i="34" s="1"/>
  <c r="H116" i="36" s="1"/>
  <c r="L57" i="87" s="1"/>
  <c r="N57" i="89" s="1"/>
  <c r="I31" i="34"/>
  <c r="K31" i="34" s="1"/>
  <c r="I43" i="34"/>
  <c r="K43" i="34" s="1"/>
  <c r="C98" i="74" s="1"/>
  <c r="B98" i="74" s="1"/>
  <c r="B117" i="84" s="1"/>
  <c r="I13" i="34"/>
  <c r="K13" i="34" s="1"/>
  <c r="H73" i="36" s="1"/>
  <c r="L14" i="87" s="1"/>
  <c r="I52" i="34"/>
  <c r="K52" i="34" s="1"/>
  <c r="H112" i="36" s="1"/>
  <c r="L53" i="87" s="1"/>
  <c r="I54" i="34"/>
  <c r="K54" i="34" s="1"/>
  <c r="H114" i="36" s="1"/>
  <c r="L55" i="87" s="1"/>
  <c r="E58" i="80"/>
  <c r="F58" i="80"/>
  <c r="H58" i="80"/>
  <c r="I86" i="35"/>
  <c r="K86" i="35" s="1"/>
  <c r="H86" i="37" s="1"/>
  <c r="I71" i="35"/>
  <c r="K71" i="35" s="1"/>
  <c r="I81" i="35"/>
  <c r="K81" i="35" s="1"/>
  <c r="H81" i="37" s="1"/>
  <c r="I85" i="35"/>
  <c r="K85" i="35" s="1"/>
  <c r="H85" i="37" s="1"/>
  <c r="I77" i="35"/>
  <c r="K77" i="35" s="1"/>
  <c r="H77" i="37" s="1"/>
  <c r="D78" i="88" s="1"/>
  <c r="E78" i="90" s="1"/>
  <c r="I79" i="35"/>
  <c r="K79" i="35" s="1"/>
  <c r="H79" i="37" s="1"/>
  <c r="I26" i="35"/>
  <c r="K26" i="35" s="1"/>
  <c r="H26" i="37" s="1"/>
  <c r="D52" i="81"/>
  <c r="D51" i="81" s="1"/>
  <c r="D72" i="81" s="1"/>
  <c r="I55" i="35"/>
  <c r="K55" i="35" s="1"/>
  <c r="I69" i="35"/>
  <c r="K69" i="35" s="1"/>
  <c r="I66" i="35"/>
  <c r="K66" i="35" s="1"/>
  <c r="C59" i="35"/>
  <c r="I60" i="35"/>
  <c r="K60" i="35" s="1"/>
  <c r="D59" i="35"/>
  <c r="C53" i="35"/>
  <c r="I54" i="35"/>
  <c r="K54" i="35" s="1"/>
  <c r="D53" i="35"/>
  <c r="I58" i="35"/>
  <c r="K58" i="35" s="1"/>
  <c r="D74" i="35"/>
  <c r="I30" i="33"/>
  <c r="K30" i="33" s="1"/>
  <c r="C30" i="74" s="1"/>
  <c r="B30" i="74" s="1"/>
  <c r="B30" i="79" s="1"/>
  <c r="I30" i="79" s="1"/>
  <c r="K30" i="79" s="1"/>
  <c r="C30" i="36" s="1"/>
  <c r="D31" i="52" s="1"/>
  <c r="E31" i="54" s="1"/>
  <c r="I56" i="33"/>
  <c r="K56" i="33" s="1"/>
  <c r="C74" i="81"/>
  <c r="I7" i="33"/>
  <c r="I36" i="34"/>
  <c r="K36" i="34" s="1"/>
  <c r="H96" i="36" s="1"/>
  <c r="I35" i="34"/>
  <c r="K35" i="34" s="1"/>
  <c r="C90" i="74" s="1"/>
  <c r="B90" i="74" s="1"/>
  <c r="B35" i="80" s="1"/>
  <c r="I35" i="80" s="1"/>
  <c r="K35" i="80" s="1"/>
  <c r="C95" i="36" s="1"/>
  <c r="L36" i="52" s="1"/>
  <c r="M36" i="52" s="1"/>
  <c r="I21" i="34"/>
  <c r="K21" i="34" s="1"/>
  <c r="H81" i="36" s="1"/>
  <c r="L22" i="87" s="1"/>
  <c r="I10" i="33"/>
  <c r="I37" i="34"/>
  <c r="K37" i="34" s="1"/>
  <c r="H97" i="36" s="1"/>
  <c r="L38" i="87" s="1"/>
  <c r="M38" i="87" s="1"/>
  <c r="I44" i="34"/>
  <c r="K44" i="34" s="1"/>
  <c r="H104" i="36" s="1"/>
  <c r="L45" i="87" s="1"/>
  <c r="M45" i="87" s="1"/>
  <c r="I53" i="34"/>
  <c r="K53" i="34" s="1"/>
  <c r="H113" i="36" s="1"/>
  <c r="I30" i="34"/>
  <c r="K30" i="34" s="1"/>
  <c r="H90" i="36" s="1"/>
  <c r="I32" i="35"/>
  <c r="K32" i="35" s="1"/>
  <c r="C45" i="80"/>
  <c r="D45" i="34"/>
  <c r="K1" i="76"/>
  <c r="L4" i="76"/>
  <c r="I13" i="81"/>
  <c r="K13" i="81" s="1"/>
  <c r="C13" i="37" s="1"/>
  <c r="I21" i="81"/>
  <c r="K21" i="81" s="1"/>
  <c r="C21" i="37" s="1"/>
  <c r="I11" i="81"/>
  <c r="K11" i="81" s="1"/>
  <c r="C11" i="37" s="1"/>
  <c r="C59" i="81"/>
  <c r="C53" i="81"/>
  <c r="C74" i="35"/>
  <c r="C45" i="34"/>
  <c r="C60" i="33"/>
  <c r="L4" i="73"/>
  <c r="K1" i="73"/>
  <c r="G59" i="79"/>
  <c r="H46" i="80"/>
  <c r="G46" i="80"/>
  <c r="H59" i="79"/>
  <c r="H103" i="46"/>
  <c r="H119" i="46" s="1"/>
  <c r="J119" i="46" s="1"/>
  <c r="I119" i="46" s="1"/>
  <c r="AE96" i="68"/>
  <c r="AE80" i="68"/>
  <c r="AE83" i="68" s="1"/>
  <c r="AE89" i="68" s="1"/>
  <c r="F73" i="81"/>
  <c r="E59" i="67"/>
  <c r="F127" i="67"/>
  <c r="H80" i="69"/>
  <c r="H83" i="69" s="1"/>
  <c r="H89" i="69" s="1"/>
  <c r="Z80" i="68"/>
  <c r="Z83" i="68" s="1"/>
  <c r="Z89" i="68" s="1"/>
  <c r="H96" i="69"/>
  <c r="D140" i="62"/>
  <c r="F140" i="62" s="1"/>
  <c r="E140" i="62" s="1"/>
  <c r="C45" i="84"/>
  <c r="C103" i="84" s="1"/>
  <c r="Z96" i="68"/>
  <c r="K73" i="75"/>
  <c r="F73" i="75"/>
  <c r="F80" i="75"/>
  <c r="F83" i="75" s="1"/>
  <c r="F89" i="75" s="1"/>
  <c r="K80" i="75"/>
  <c r="K83" i="75" s="1"/>
  <c r="K89" i="75" s="1"/>
  <c r="Y96" i="68"/>
  <c r="Y80" i="68"/>
  <c r="Y83" i="68" s="1"/>
  <c r="Y89" i="68" s="1"/>
  <c r="Y73" i="68"/>
  <c r="E73" i="81"/>
  <c r="J72" i="68"/>
  <c r="J73" i="68" s="1"/>
  <c r="U96" i="68"/>
  <c r="U73" i="68"/>
  <c r="U80" i="68"/>
  <c r="U83" i="68" s="1"/>
  <c r="U89" i="68" s="1"/>
  <c r="L96" i="68"/>
  <c r="L73" i="68"/>
  <c r="L80" i="68"/>
  <c r="L83" i="68" s="1"/>
  <c r="L89" i="68" s="1"/>
  <c r="H110" i="38"/>
  <c r="C14" i="53"/>
  <c r="C14" i="55" s="1"/>
  <c r="D14" i="55" s="1"/>
  <c r="D13" i="62"/>
  <c r="F13" i="62" s="1"/>
  <c r="E13" i="62" s="1"/>
  <c r="B7" i="84"/>
  <c r="C20" i="84"/>
  <c r="C31" i="84" s="1"/>
  <c r="C102" i="84" s="1"/>
  <c r="C8" i="53"/>
  <c r="E101" i="37"/>
  <c r="AF80" i="68"/>
  <c r="AF83" i="68" s="1"/>
  <c r="AF89" i="68" s="1"/>
  <c r="AF73" i="68"/>
  <c r="B53" i="84"/>
  <c r="F29" i="88"/>
  <c r="E29" i="88"/>
  <c r="F32" i="91"/>
  <c r="L96" i="75"/>
  <c r="L73" i="75"/>
  <c r="L80" i="75"/>
  <c r="L83" i="75" s="1"/>
  <c r="L89" i="75" s="1"/>
  <c r="J80" i="69"/>
  <c r="J83" i="69" s="1"/>
  <c r="J89" i="69" s="1"/>
  <c r="J96" i="69"/>
  <c r="J73" i="69"/>
  <c r="F83" i="69"/>
  <c r="N80" i="69"/>
  <c r="N83" i="69" s="1"/>
  <c r="N89" i="69" s="1"/>
  <c r="N73" i="69"/>
  <c r="J32" i="46"/>
  <c r="I32" i="46" s="1"/>
  <c r="H60" i="46"/>
  <c r="J60" i="46" s="1"/>
  <c r="E102" i="37"/>
  <c r="B101" i="68"/>
  <c r="I80" i="68"/>
  <c r="I83" i="68" s="1"/>
  <c r="I89" i="68" s="1"/>
  <c r="I73" i="68"/>
  <c r="O80" i="68"/>
  <c r="O73" i="68"/>
  <c r="J49" i="68"/>
  <c r="R73" i="68"/>
  <c r="R80" i="68"/>
  <c r="R83" i="68" s="1"/>
  <c r="R89" i="68" s="1"/>
  <c r="R96" i="68"/>
  <c r="P73" i="68"/>
  <c r="P80" i="68"/>
  <c r="P83" i="68" s="1"/>
  <c r="P89" i="68" s="1"/>
  <c r="Q80" i="68"/>
  <c r="Q83" i="68" s="1"/>
  <c r="Q89" i="68" s="1"/>
  <c r="Q73" i="68"/>
  <c r="AB80" i="68"/>
  <c r="AB83" i="68" s="1"/>
  <c r="AB89" i="68" s="1"/>
  <c r="AB73" i="68"/>
  <c r="D7" i="62"/>
  <c r="F7" i="62" s="1"/>
  <c r="E7" i="62" s="1"/>
  <c r="B100" i="68"/>
  <c r="J121" i="67"/>
  <c r="J130" i="67"/>
  <c r="N96" i="75"/>
  <c r="N73" i="75"/>
  <c r="N80" i="75"/>
  <c r="N83" i="75" s="1"/>
  <c r="N89" i="75" s="1"/>
  <c r="F32" i="46"/>
  <c r="E32" i="46" s="1"/>
  <c r="B52" i="68"/>
  <c r="B97" i="68" s="1"/>
  <c r="E97" i="68"/>
  <c r="B98" i="85"/>
  <c r="G59" i="83"/>
  <c r="I52" i="83"/>
  <c r="H52" i="38" s="1"/>
  <c r="A5" i="62"/>
  <c r="D52" i="62"/>
  <c r="F59" i="62"/>
  <c r="E59" i="62" s="1"/>
  <c r="F39" i="46"/>
  <c r="E39" i="46" s="1"/>
  <c r="F59" i="46"/>
  <c r="E59" i="46" s="1"/>
  <c r="D72" i="55"/>
  <c r="D75" i="55"/>
  <c r="G83" i="68"/>
  <c r="D67" i="55"/>
  <c r="C48" i="84"/>
  <c r="B27" i="75"/>
  <c r="B114" i="84" s="1"/>
  <c r="C114" i="84"/>
  <c r="I94" i="85"/>
  <c r="C99" i="38" s="1"/>
  <c r="G98" i="85"/>
  <c r="I98" i="85" s="1"/>
  <c r="G27" i="85"/>
  <c r="B30" i="85"/>
  <c r="C9" i="92"/>
  <c r="C11" i="92" s="1"/>
  <c r="H80" i="35"/>
  <c r="H83" i="35" s="1"/>
  <c r="H89" i="35" s="1"/>
  <c r="H73" i="35"/>
  <c r="H143" i="38"/>
  <c r="H91" i="38"/>
  <c r="G19" i="85"/>
  <c r="B40" i="85"/>
  <c r="B44" i="84"/>
  <c r="B45" i="84" s="1"/>
  <c r="B103" i="84" s="1"/>
  <c r="G23" i="91"/>
  <c r="H23" i="91" s="1"/>
  <c r="J23" i="91" s="1"/>
  <c r="H122" i="38"/>
  <c r="G34" i="85"/>
  <c r="B38" i="85"/>
  <c r="G73" i="35"/>
  <c r="G80" i="35"/>
  <c r="G83" i="35" s="1"/>
  <c r="G89" i="35" s="1"/>
  <c r="B71" i="84"/>
  <c r="C135" i="84"/>
  <c r="C85" i="84"/>
  <c r="C82" i="74" l="1"/>
  <c r="B82" i="74" s="1"/>
  <c r="B27" i="80" s="1"/>
  <c r="I27" i="80" s="1"/>
  <c r="K27" i="80" s="1"/>
  <c r="C87" i="36" s="1"/>
  <c r="L28" i="52" s="1"/>
  <c r="E22" i="54"/>
  <c r="M9" i="87"/>
  <c r="C17" i="74"/>
  <c r="B17" i="74" s="1"/>
  <c r="B17" i="79" s="1"/>
  <c r="I17" i="79" s="1"/>
  <c r="K17" i="79" s="1"/>
  <c r="C17" i="36" s="1"/>
  <c r="D18" i="52" s="1"/>
  <c r="I58" i="33"/>
  <c r="H86" i="36"/>
  <c r="L27" i="87" s="1"/>
  <c r="M27" i="87" s="1"/>
  <c r="C8" i="74"/>
  <c r="B8" i="74" s="1"/>
  <c r="B8" i="79" s="1"/>
  <c r="I8" i="79" s="1"/>
  <c r="K8" i="79" s="1"/>
  <c r="C8" i="36" s="1"/>
  <c r="D9" i="52" s="1"/>
  <c r="E46" i="34"/>
  <c r="N9" i="89"/>
  <c r="E22" i="87"/>
  <c r="F22" i="87" s="1"/>
  <c r="E9" i="89"/>
  <c r="E9" i="87"/>
  <c r="F9" i="87" s="1"/>
  <c r="E10" i="89"/>
  <c r="E10" i="87"/>
  <c r="F10" i="87" s="1"/>
  <c r="E18" i="89"/>
  <c r="E18" i="87"/>
  <c r="F18" i="87"/>
  <c r="E34" i="89"/>
  <c r="E34" i="87"/>
  <c r="F34" i="87" s="1"/>
  <c r="N29" i="89"/>
  <c r="M29" i="87"/>
  <c r="N29" i="87"/>
  <c r="E9" i="54"/>
  <c r="E9" i="52"/>
  <c r="F9" i="52" s="1"/>
  <c r="E10" i="54"/>
  <c r="E10" i="52"/>
  <c r="F10" i="52" s="1"/>
  <c r="E24" i="89"/>
  <c r="E24" i="87"/>
  <c r="F24" i="87"/>
  <c r="N19" i="54"/>
  <c r="M19" i="52"/>
  <c r="N19" i="52" s="1"/>
  <c r="E34" i="54"/>
  <c r="E34" i="52"/>
  <c r="F34" i="52" s="1"/>
  <c r="N26" i="89"/>
  <c r="M26" i="87"/>
  <c r="N26" i="87"/>
  <c r="E24" i="54"/>
  <c r="E24" i="52"/>
  <c r="F24" i="52"/>
  <c r="N26" i="54"/>
  <c r="M26" i="52"/>
  <c r="N26" i="52"/>
  <c r="N27" i="54"/>
  <c r="M27" i="52"/>
  <c r="N27" i="52"/>
  <c r="N18" i="54"/>
  <c r="N18" i="52"/>
  <c r="M18" i="52"/>
  <c r="N58" i="54"/>
  <c r="M58" i="52"/>
  <c r="N58" i="52" s="1"/>
  <c r="N19" i="89"/>
  <c r="M19" i="87"/>
  <c r="N19" i="87"/>
  <c r="N28" i="54"/>
  <c r="M28" i="52"/>
  <c r="N28" i="52"/>
  <c r="E19" i="54"/>
  <c r="E19" i="52"/>
  <c r="F19" i="52" s="1"/>
  <c r="E20" i="89"/>
  <c r="E20" i="87"/>
  <c r="F20" i="87" s="1"/>
  <c r="N27" i="87"/>
  <c r="N18" i="89"/>
  <c r="N18" i="87"/>
  <c r="M18" i="87"/>
  <c r="N58" i="89"/>
  <c r="M58" i="87"/>
  <c r="N58" i="87" s="1"/>
  <c r="E18" i="54"/>
  <c r="E18" i="52"/>
  <c r="F18" i="52"/>
  <c r="N28" i="89"/>
  <c r="M28" i="87"/>
  <c r="N28" i="87"/>
  <c r="E19" i="89"/>
  <c r="E19" i="87"/>
  <c r="F19" i="87" s="1"/>
  <c r="N29" i="54"/>
  <c r="N29" i="52"/>
  <c r="M29" i="52"/>
  <c r="E20" i="54"/>
  <c r="E20" i="52"/>
  <c r="F20" i="52" s="1"/>
  <c r="N20" i="89"/>
  <c r="M20" i="87"/>
  <c r="N20" i="87"/>
  <c r="N12" i="54"/>
  <c r="M12" i="52"/>
  <c r="N12" i="52"/>
  <c r="O12" i="52" s="1"/>
  <c r="E21" i="54"/>
  <c r="E21" i="52"/>
  <c r="F21" i="52" s="1"/>
  <c r="K58" i="54"/>
  <c r="K59" i="54" s="1"/>
  <c r="K60" i="54" s="1"/>
  <c r="K61" i="54" s="1"/>
  <c r="K62" i="54" s="1"/>
  <c r="K63" i="54" s="1"/>
  <c r="D38" i="62"/>
  <c r="B114" i="46"/>
  <c r="B115" i="46" s="1"/>
  <c r="B116" i="46" s="1"/>
  <c r="B117" i="46" s="1"/>
  <c r="B118" i="46" s="1"/>
  <c r="B119" i="46" s="1"/>
  <c r="J58" i="87"/>
  <c r="J59" i="87" s="1"/>
  <c r="J60" i="87" s="1"/>
  <c r="J61" i="87" s="1"/>
  <c r="J62" i="87" s="1"/>
  <c r="J63" i="87" s="1"/>
  <c r="M58" i="89"/>
  <c r="M59" i="89"/>
  <c r="M27" i="89"/>
  <c r="M26" i="89"/>
  <c r="M30" i="89"/>
  <c r="M29" i="89"/>
  <c r="M28" i="89"/>
  <c r="M18" i="89"/>
  <c r="M20" i="89"/>
  <c r="M19" i="89"/>
  <c r="M33" i="89"/>
  <c r="M12" i="89"/>
  <c r="M9" i="89"/>
  <c r="M11" i="89"/>
  <c r="M10" i="89"/>
  <c r="J58" i="52"/>
  <c r="J59" i="52" s="1"/>
  <c r="J60" i="52" s="1"/>
  <c r="J61" i="52" s="1"/>
  <c r="J62" i="52" s="1"/>
  <c r="J63" i="52" s="1"/>
  <c r="C62" i="75"/>
  <c r="B62" i="75" s="1"/>
  <c r="B62" i="81" s="1"/>
  <c r="I62" i="81" s="1"/>
  <c r="K62" i="81" s="1"/>
  <c r="C62" i="37" s="1"/>
  <c r="D63" i="53" s="1"/>
  <c r="F63" i="53" s="1"/>
  <c r="G63" i="53" s="1"/>
  <c r="F64" i="46"/>
  <c r="E64" i="46" s="1"/>
  <c r="K33" i="52"/>
  <c r="L33" i="54" s="1"/>
  <c r="C58" i="54"/>
  <c r="C59" i="52"/>
  <c r="C59" i="54" s="1"/>
  <c r="E52" i="35"/>
  <c r="E73" i="35" s="1"/>
  <c r="A1" i="31"/>
  <c r="E59" i="33"/>
  <c r="N14" i="89"/>
  <c r="M14" i="87"/>
  <c r="N14" i="87"/>
  <c r="O14" i="87" s="1"/>
  <c r="N40" i="87"/>
  <c r="N40" i="89"/>
  <c r="M40" i="87"/>
  <c r="E63" i="90"/>
  <c r="E63" i="88"/>
  <c r="F63" i="88"/>
  <c r="G63" i="88" s="1"/>
  <c r="N21" i="89"/>
  <c r="M21" i="87"/>
  <c r="N21" i="87" s="1"/>
  <c r="E17" i="89"/>
  <c r="E17" i="87"/>
  <c r="F17" i="87" s="1"/>
  <c r="N17" i="89"/>
  <c r="M17" i="87"/>
  <c r="N17" i="87" s="1"/>
  <c r="N22" i="89"/>
  <c r="M22" i="87"/>
  <c r="N22" i="87" s="1"/>
  <c r="E37" i="89"/>
  <c r="F37" i="87"/>
  <c r="G37" i="87" s="1"/>
  <c r="E37" i="87"/>
  <c r="E39" i="89"/>
  <c r="F39" i="87"/>
  <c r="E39" i="87"/>
  <c r="E36" i="90"/>
  <c r="E36" i="88"/>
  <c r="F36" i="88" s="1"/>
  <c r="M40" i="89"/>
  <c r="M39" i="89"/>
  <c r="M13" i="89"/>
  <c r="M17" i="89"/>
  <c r="M23" i="89"/>
  <c r="M24" i="89"/>
  <c r="M21" i="89"/>
  <c r="M16" i="89"/>
  <c r="M15" i="89"/>
  <c r="M14" i="89"/>
  <c r="M25" i="89"/>
  <c r="M22" i="89"/>
  <c r="M37" i="89"/>
  <c r="H70" i="37"/>
  <c r="D71" i="88" s="1"/>
  <c r="H67" i="37"/>
  <c r="D68" i="88" s="1"/>
  <c r="H49" i="36"/>
  <c r="D50" i="87" s="1"/>
  <c r="H58" i="37"/>
  <c r="D59" i="88" s="1"/>
  <c r="E59" i="90" s="1"/>
  <c r="H66" i="37"/>
  <c r="H82" i="36"/>
  <c r="L23" i="87" s="1"/>
  <c r="H45" i="36"/>
  <c r="D46" i="87" s="1"/>
  <c r="C48" i="74"/>
  <c r="B48" i="74" s="1"/>
  <c r="B48" i="79" s="1"/>
  <c r="I48" i="79" s="1"/>
  <c r="K48" i="79" s="1"/>
  <c r="C48" i="36" s="1"/>
  <c r="D49" i="52" s="1"/>
  <c r="E49" i="52" s="1"/>
  <c r="H48" i="36"/>
  <c r="D49" i="87" s="1"/>
  <c r="E49" i="89" s="1"/>
  <c r="C55" i="74"/>
  <c r="B55" i="74" s="1"/>
  <c r="B55" i="79" s="1"/>
  <c r="I55" i="79" s="1"/>
  <c r="K55" i="79" s="1"/>
  <c r="H55" i="36"/>
  <c r="D56" i="87" s="1"/>
  <c r="C56" i="75"/>
  <c r="B56" i="75" s="1"/>
  <c r="B56" i="81" s="1"/>
  <c r="I56" i="81" s="1"/>
  <c r="K56" i="81" s="1"/>
  <c r="C56" i="37" s="1"/>
  <c r="D57" i="53" s="1"/>
  <c r="H56" i="37"/>
  <c r="D57" i="88" s="1"/>
  <c r="F57" i="88" s="1"/>
  <c r="G57" i="88" s="1"/>
  <c r="H63" i="37"/>
  <c r="D64" i="88" s="1"/>
  <c r="C63" i="75"/>
  <c r="B63" i="75" s="1"/>
  <c r="B63" i="81" s="1"/>
  <c r="I63" i="81" s="1"/>
  <c r="K63" i="81" s="1"/>
  <c r="C63" i="37" s="1"/>
  <c r="D64" i="53" s="1"/>
  <c r="C56" i="74"/>
  <c r="B56" i="74" s="1"/>
  <c r="B56" i="79" s="1"/>
  <c r="I56" i="79" s="1"/>
  <c r="K56" i="79" s="1"/>
  <c r="C56" i="36" s="1"/>
  <c r="D57" i="52" s="1"/>
  <c r="E57" i="54" s="1"/>
  <c r="H56" i="36"/>
  <c r="D57" i="87" s="1"/>
  <c r="H69" i="37"/>
  <c r="C46" i="74"/>
  <c r="B46" i="74" s="1"/>
  <c r="B46" i="79" s="1"/>
  <c r="I46" i="79" s="1"/>
  <c r="K46" i="79" s="1"/>
  <c r="C46" i="36" s="1"/>
  <c r="D47" i="52" s="1"/>
  <c r="E47" i="52" s="1"/>
  <c r="F47" i="52" s="1"/>
  <c r="H46" i="36"/>
  <c r="D47" i="87" s="1"/>
  <c r="C54" i="74"/>
  <c r="B54" i="74" s="1"/>
  <c r="B54" i="79" s="1"/>
  <c r="I54" i="79" s="1"/>
  <c r="K54" i="79" s="1"/>
  <c r="H54" i="36"/>
  <c r="D55" i="87" s="1"/>
  <c r="C57" i="75"/>
  <c r="B57" i="75" s="1"/>
  <c r="B57" i="81" s="1"/>
  <c r="I57" i="81" s="1"/>
  <c r="K57" i="81" s="1"/>
  <c r="C57" i="37" s="1"/>
  <c r="D58" i="53" s="1"/>
  <c r="H57" i="37"/>
  <c r="D58" i="88" s="1"/>
  <c r="E58" i="90" s="1"/>
  <c r="C14" i="74"/>
  <c r="B14" i="74" s="1"/>
  <c r="B14" i="79" s="1"/>
  <c r="I14" i="79" s="1"/>
  <c r="K14" i="79" s="1"/>
  <c r="C14" i="36" s="1"/>
  <c r="H14" i="36"/>
  <c r="C61" i="75"/>
  <c r="B61" i="75" s="1"/>
  <c r="B61" i="81" s="1"/>
  <c r="I61" i="81" s="1"/>
  <c r="K61" i="81" s="1"/>
  <c r="C61" i="37" s="1"/>
  <c r="D62" i="53" s="1"/>
  <c r="H61" i="37"/>
  <c r="D62" i="88" s="1"/>
  <c r="H60" i="37"/>
  <c r="D61" i="88" s="1"/>
  <c r="E61" i="90" s="1"/>
  <c r="H55" i="37"/>
  <c r="D56" i="88" s="1"/>
  <c r="E56" i="90" s="1"/>
  <c r="H71" i="37"/>
  <c r="D72" i="88" s="1"/>
  <c r="E72" i="90" s="1"/>
  <c r="H76" i="37"/>
  <c r="D77" i="88" s="1"/>
  <c r="E77" i="90" s="1"/>
  <c r="H68" i="37"/>
  <c r="H89" i="36"/>
  <c r="L30" i="87" s="1"/>
  <c r="C51" i="74"/>
  <c r="B51" i="74" s="1"/>
  <c r="B51" i="79" s="1"/>
  <c r="I51" i="79" s="1"/>
  <c r="K51" i="79" s="1"/>
  <c r="C51" i="36" s="1"/>
  <c r="D52" i="52" s="1"/>
  <c r="E52" i="52" s="1"/>
  <c r="F52" i="52" s="1"/>
  <c r="H51" i="36"/>
  <c r="D52" i="87" s="1"/>
  <c r="E52" i="89" s="1"/>
  <c r="C57" i="74"/>
  <c r="B57" i="74" s="1"/>
  <c r="B57" i="79" s="1"/>
  <c r="I57" i="79" s="1"/>
  <c r="K57" i="79" s="1"/>
  <c r="H57" i="36"/>
  <c r="D58" i="87" s="1"/>
  <c r="H47" i="36"/>
  <c r="D48" i="87" s="1"/>
  <c r="H65" i="37"/>
  <c r="D66" i="88" s="1"/>
  <c r="C11" i="74"/>
  <c r="B11" i="74" s="1"/>
  <c r="B11" i="79" s="1"/>
  <c r="I11" i="79" s="1"/>
  <c r="H11" i="36"/>
  <c r="D12" i="87" s="1"/>
  <c r="C93" i="74"/>
  <c r="B93" i="74" s="1"/>
  <c r="B38" i="80" s="1"/>
  <c r="I38" i="80" s="1"/>
  <c r="K38" i="80" s="1"/>
  <c r="C98" i="36" s="1"/>
  <c r="L39" i="52" s="1"/>
  <c r="H98" i="36"/>
  <c r="L39" i="87" s="1"/>
  <c r="C64" i="75"/>
  <c r="B64" i="75" s="1"/>
  <c r="B64" i="81" s="1"/>
  <c r="I64" i="81" s="1"/>
  <c r="K64" i="81" s="1"/>
  <c r="C64" i="37" s="1"/>
  <c r="D65" i="53" s="1"/>
  <c r="H64" i="37"/>
  <c r="D65" i="88" s="1"/>
  <c r="H54" i="37"/>
  <c r="D55" i="88" s="1"/>
  <c r="E55" i="90" s="1"/>
  <c r="H91" i="36"/>
  <c r="L32" i="87" s="1"/>
  <c r="C15" i="74"/>
  <c r="B15" i="74" s="1"/>
  <c r="B15" i="79" s="1"/>
  <c r="I15" i="79" s="1"/>
  <c r="K15" i="79" s="1"/>
  <c r="C15" i="36" s="1"/>
  <c r="D16" i="52" s="1"/>
  <c r="E16" i="54" s="1"/>
  <c r="H15" i="36"/>
  <c r="D16" i="87" s="1"/>
  <c r="C32" i="75"/>
  <c r="B32" i="75" s="1"/>
  <c r="B32" i="81" s="1"/>
  <c r="H32" i="37"/>
  <c r="D33" i="88" s="1"/>
  <c r="C33" i="75"/>
  <c r="B33" i="75" s="1"/>
  <c r="H33" i="37"/>
  <c r="D34" i="88" s="1"/>
  <c r="H50" i="37"/>
  <c r="D51" i="88" s="1"/>
  <c r="E51" i="90" s="1"/>
  <c r="C34" i="75"/>
  <c r="B34" i="75" s="1"/>
  <c r="B34" i="81" s="1"/>
  <c r="H34" i="37"/>
  <c r="D35" i="88" s="1"/>
  <c r="C37" i="75"/>
  <c r="B37" i="75" s="1"/>
  <c r="B37" i="81" s="1"/>
  <c r="I37" i="81" s="1"/>
  <c r="K37" i="81" s="1"/>
  <c r="C37" i="37" s="1"/>
  <c r="D38" i="53" s="1"/>
  <c r="H37" i="37"/>
  <c r="D38" i="88" s="1"/>
  <c r="C31" i="75"/>
  <c r="B31" i="75" s="1"/>
  <c r="B31" i="81" s="1"/>
  <c r="H31" i="37"/>
  <c r="D32" i="88" s="1"/>
  <c r="C28" i="37"/>
  <c r="D29" i="53" s="1"/>
  <c r="H47" i="37"/>
  <c r="D48" i="88" s="1"/>
  <c r="C36" i="75"/>
  <c r="B36" i="75" s="1"/>
  <c r="B36" i="81" s="1"/>
  <c r="H36" i="37"/>
  <c r="D37" i="88" s="1"/>
  <c r="C29" i="75"/>
  <c r="B29" i="75" s="1"/>
  <c r="B29" i="81" s="1"/>
  <c r="H29" i="37"/>
  <c r="D30" i="88" s="1"/>
  <c r="C30" i="75"/>
  <c r="B30" i="75" s="1"/>
  <c r="B112" i="84" s="1"/>
  <c r="H30" i="37"/>
  <c r="D31" i="88" s="1"/>
  <c r="I31" i="33"/>
  <c r="K31" i="33" s="1"/>
  <c r="H24" i="36"/>
  <c r="C24" i="74"/>
  <c r="B24" i="74" s="1"/>
  <c r="B24" i="79" s="1"/>
  <c r="I24" i="79" s="1"/>
  <c r="K24" i="79" s="1"/>
  <c r="C24" i="36" s="1"/>
  <c r="D25" i="52" s="1"/>
  <c r="E25" i="54" s="1"/>
  <c r="C36" i="74"/>
  <c r="B36" i="74" s="1"/>
  <c r="B36" i="79" s="1"/>
  <c r="I36" i="79" s="1"/>
  <c r="K36" i="79" s="1"/>
  <c r="C35" i="75"/>
  <c r="B35" i="75" s="1"/>
  <c r="B35" i="81" s="1"/>
  <c r="K13" i="33"/>
  <c r="H13" i="36" s="1"/>
  <c r="D14" i="87" s="1"/>
  <c r="K10" i="33"/>
  <c r="C10" i="74" s="1"/>
  <c r="B10" i="74" s="1"/>
  <c r="B10" i="79" s="1"/>
  <c r="I10" i="79" s="1"/>
  <c r="K10" i="79" s="1"/>
  <c r="C10" i="36" s="1"/>
  <c r="D11" i="52" s="1"/>
  <c r="K12" i="33"/>
  <c r="H12" i="36" s="1"/>
  <c r="D13" i="87" s="1"/>
  <c r="E26" i="89"/>
  <c r="E26" i="87"/>
  <c r="F26" i="87" s="1"/>
  <c r="C25" i="74"/>
  <c r="B25" i="74" s="1"/>
  <c r="B25" i="79" s="1"/>
  <c r="I25" i="79" s="1"/>
  <c r="K25" i="79" s="1"/>
  <c r="C25" i="36" s="1"/>
  <c r="D26" i="52" s="1"/>
  <c r="I32" i="34"/>
  <c r="H26" i="36"/>
  <c r="D27" i="87" s="1"/>
  <c r="E27" i="87" s="1"/>
  <c r="F27" i="87" s="1"/>
  <c r="C26" i="74"/>
  <c r="B26" i="74" s="1"/>
  <c r="B26" i="79" s="1"/>
  <c r="I26" i="79" s="1"/>
  <c r="K26" i="79" s="1"/>
  <c r="C26" i="36" s="1"/>
  <c r="D27" i="52" s="1"/>
  <c r="F27" i="52" s="1"/>
  <c r="C62" i="74"/>
  <c r="K32" i="34"/>
  <c r="K7" i="33"/>
  <c r="H7" i="36" s="1"/>
  <c r="B127" i="67"/>
  <c r="B128" i="67"/>
  <c r="F38" i="62"/>
  <c r="D41" i="62"/>
  <c r="F41" i="62" s="1"/>
  <c r="E41" i="62" s="1"/>
  <c r="E127" i="67"/>
  <c r="E117" i="67"/>
  <c r="E130" i="67" s="1"/>
  <c r="M46" i="89"/>
  <c r="M49" i="89"/>
  <c r="M36" i="89"/>
  <c r="J122" i="36"/>
  <c r="J135" i="36" s="1"/>
  <c r="M35" i="89"/>
  <c r="M55" i="89"/>
  <c r="M57" i="89"/>
  <c r="M42" i="89"/>
  <c r="M41" i="89"/>
  <c r="M38" i="89"/>
  <c r="M45" i="89"/>
  <c r="M8" i="89"/>
  <c r="M44" i="89"/>
  <c r="M56" i="89"/>
  <c r="M63" i="89"/>
  <c r="M62" i="89"/>
  <c r="M50" i="89"/>
  <c r="M43" i="89"/>
  <c r="M31" i="89"/>
  <c r="F121" i="67"/>
  <c r="M47" i="89"/>
  <c r="E106" i="36"/>
  <c r="E132" i="36" s="1"/>
  <c r="M51" i="89"/>
  <c r="M53" i="89"/>
  <c r="M61" i="89"/>
  <c r="M60" i="89"/>
  <c r="M52" i="89"/>
  <c r="M32" i="89"/>
  <c r="M54" i="89"/>
  <c r="F130" i="67"/>
  <c r="C53" i="53"/>
  <c r="C53" i="55" s="1"/>
  <c r="E52" i="37"/>
  <c r="C42" i="53"/>
  <c r="C42" i="55" s="1"/>
  <c r="D42" i="55" s="1"/>
  <c r="E41" i="37"/>
  <c r="E95" i="37" s="1"/>
  <c r="F95" i="68"/>
  <c r="C45" i="88"/>
  <c r="C45" i="90" s="1"/>
  <c r="D45" i="90" s="1"/>
  <c r="J44" i="37"/>
  <c r="J119" i="38" s="1"/>
  <c r="C52" i="53"/>
  <c r="C52" i="55" s="1"/>
  <c r="E51" i="37"/>
  <c r="H27" i="36"/>
  <c r="D28" i="87" s="1"/>
  <c r="E28" i="89" s="1"/>
  <c r="C74" i="74"/>
  <c r="B74" i="74" s="1"/>
  <c r="B19" i="80" s="1"/>
  <c r="I19" i="80" s="1"/>
  <c r="K19" i="80" s="1"/>
  <c r="C79" i="36" s="1"/>
  <c r="L20" i="52" s="1"/>
  <c r="D44" i="88"/>
  <c r="E44" i="90" s="1"/>
  <c r="D47" i="53"/>
  <c r="E47" i="55" s="1"/>
  <c r="L31" i="87"/>
  <c r="N31" i="89" s="1"/>
  <c r="D53" i="87"/>
  <c r="E53" i="89" s="1"/>
  <c r="H124" i="38"/>
  <c r="E28" i="54"/>
  <c r="F28" i="52"/>
  <c r="E28" i="52"/>
  <c r="D54" i="89"/>
  <c r="D28" i="89"/>
  <c r="D39" i="55"/>
  <c r="E78" i="88"/>
  <c r="F78" i="88"/>
  <c r="G78" i="88" s="1"/>
  <c r="E119" i="36"/>
  <c r="B58" i="84"/>
  <c r="E95" i="68"/>
  <c r="B44" i="68"/>
  <c r="B95" i="68" s="1"/>
  <c r="C7" i="37"/>
  <c r="D8" i="53" s="1"/>
  <c r="C77" i="75"/>
  <c r="B77" i="75" s="1"/>
  <c r="B77" i="81" s="1"/>
  <c r="I77" i="81" s="1"/>
  <c r="K77" i="81" s="1"/>
  <c r="C77" i="37" s="1"/>
  <c r="D78" i="53" s="1"/>
  <c r="C39" i="75"/>
  <c r="B39" i="75" s="1"/>
  <c r="B39" i="81" s="1"/>
  <c r="I39" i="81" s="1"/>
  <c r="K39" i="81" s="1"/>
  <c r="H39" i="37"/>
  <c r="D40" i="88" s="1"/>
  <c r="E40" i="90" s="1"/>
  <c r="C84" i="75"/>
  <c r="B84" i="75" s="1"/>
  <c r="B84" i="81" s="1"/>
  <c r="I84" i="81" s="1"/>
  <c r="K84" i="81" s="1"/>
  <c r="C84" i="37" s="1"/>
  <c r="H84" i="37"/>
  <c r="C42" i="75"/>
  <c r="B42" i="75" s="1"/>
  <c r="H42" i="37"/>
  <c r="D43" i="88" s="1"/>
  <c r="E43" i="90" s="1"/>
  <c r="C70" i="75"/>
  <c r="B70" i="75" s="1"/>
  <c r="B70" i="81" s="1"/>
  <c r="I70" i="81" s="1"/>
  <c r="K70" i="81" s="1"/>
  <c r="C70" i="37" s="1"/>
  <c r="C67" i="75"/>
  <c r="B67" i="75" s="1"/>
  <c r="B67" i="81" s="1"/>
  <c r="I67" i="81" s="1"/>
  <c r="K67" i="81" s="1"/>
  <c r="C67" i="37" s="1"/>
  <c r="C65" i="75"/>
  <c r="B65" i="75" s="1"/>
  <c r="B65" i="81" s="1"/>
  <c r="I65" i="81" s="1"/>
  <c r="K65" i="81" s="1"/>
  <c r="C65" i="37" s="1"/>
  <c r="D66" i="53" s="1"/>
  <c r="C22" i="75"/>
  <c r="B22" i="75" s="1"/>
  <c r="B22" i="81" s="1"/>
  <c r="I22" i="81" s="1"/>
  <c r="K22" i="81" s="1"/>
  <c r="C22" i="37" s="1"/>
  <c r="D23" i="88"/>
  <c r="E23" i="90" s="1"/>
  <c r="D12" i="53"/>
  <c r="D14" i="53"/>
  <c r="C26" i="75"/>
  <c r="B26" i="75" s="1"/>
  <c r="B26" i="81" s="1"/>
  <c r="I26" i="81" s="1"/>
  <c r="K26" i="81" s="1"/>
  <c r="C26" i="37" s="1"/>
  <c r="D27" i="88"/>
  <c r="E27" i="90" s="1"/>
  <c r="C23" i="75"/>
  <c r="B23" i="75" s="1"/>
  <c r="B23" i="81" s="1"/>
  <c r="I23" i="81" s="1"/>
  <c r="K23" i="81" s="1"/>
  <c r="C23" i="37" s="1"/>
  <c r="D24" i="88"/>
  <c r="E24" i="90" s="1"/>
  <c r="C40" i="75"/>
  <c r="B40" i="75" s="1"/>
  <c r="B40" i="81" s="1"/>
  <c r="I40" i="81" s="1"/>
  <c r="K40" i="81" s="1"/>
  <c r="C40" i="37" s="1"/>
  <c r="H40" i="37"/>
  <c r="D41" i="88" s="1"/>
  <c r="E41" i="90" s="1"/>
  <c r="C12" i="75"/>
  <c r="C101" i="75" s="1"/>
  <c r="D13" i="88"/>
  <c r="E13" i="90" s="1"/>
  <c r="D22" i="53"/>
  <c r="E22" i="55" s="1"/>
  <c r="C76" i="75"/>
  <c r="B76" i="75" s="1"/>
  <c r="B76" i="81" s="1"/>
  <c r="I76" i="81" s="1"/>
  <c r="K76" i="81" s="1"/>
  <c r="C76" i="37" s="1"/>
  <c r="E124" i="67"/>
  <c r="B59" i="67"/>
  <c r="B124" i="67" s="1"/>
  <c r="K6" i="35"/>
  <c r="C6" i="75" s="1"/>
  <c r="E6" i="62"/>
  <c r="E38" i="62" s="1"/>
  <c r="J95" i="37"/>
  <c r="F110" i="46"/>
  <c r="E110" i="46" s="1"/>
  <c r="B129" i="67"/>
  <c r="L54" i="54"/>
  <c r="L35" i="54"/>
  <c r="D102" i="46"/>
  <c r="F102" i="46" s="1"/>
  <c r="E102" i="46" s="1"/>
  <c r="F91" i="46"/>
  <c r="E91" i="46" s="1"/>
  <c r="D59" i="33"/>
  <c r="D52" i="35"/>
  <c r="D51" i="35" s="1"/>
  <c r="D72" i="35" s="1"/>
  <c r="H73" i="81"/>
  <c r="D54" i="87"/>
  <c r="C53" i="74"/>
  <c r="B53" i="74" s="1"/>
  <c r="B53" i="79" s="1"/>
  <c r="I53" i="79" s="1"/>
  <c r="K53" i="79" s="1"/>
  <c r="C53" i="36" s="1"/>
  <c r="D54" i="52" s="1"/>
  <c r="D49" i="89"/>
  <c r="D44" i="89"/>
  <c r="D35" i="89"/>
  <c r="D27" i="89"/>
  <c r="D42" i="89"/>
  <c r="D53" i="89"/>
  <c r="D8" i="89"/>
  <c r="D40" i="89"/>
  <c r="D41" i="89"/>
  <c r="D29" i="89"/>
  <c r="D55" i="89"/>
  <c r="D50" i="89"/>
  <c r="D48" i="89"/>
  <c r="D43" i="89"/>
  <c r="D56" i="89"/>
  <c r="D47" i="89"/>
  <c r="D59" i="89"/>
  <c r="D60" i="89"/>
  <c r="D45" i="89"/>
  <c r="D58" i="89"/>
  <c r="D52" i="89"/>
  <c r="D32" i="89"/>
  <c r="D31" i="89"/>
  <c r="D26" i="89"/>
  <c r="D46" i="89"/>
  <c r="D51" i="89"/>
  <c r="D30" i="89"/>
  <c r="D57" i="89"/>
  <c r="L15" i="52"/>
  <c r="G49" i="81"/>
  <c r="G72" i="81"/>
  <c r="C47" i="74"/>
  <c r="B47" i="74" s="1"/>
  <c r="B47" i="79" s="1"/>
  <c r="I47" i="79" s="1"/>
  <c r="K47" i="79" s="1"/>
  <c r="C47" i="36" s="1"/>
  <c r="D48" i="52" s="1"/>
  <c r="E48" i="52" s="1"/>
  <c r="C71" i="74"/>
  <c r="B71" i="74" s="1"/>
  <c r="B16" i="80" s="1"/>
  <c r="I16" i="80" s="1"/>
  <c r="K16" i="80" s="1"/>
  <c r="C76" i="36" s="1"/>
  <c r="L17" i="52" s="1"/>
  <c r="N17" i="54" s="1"/>
  <c r="H42" i="36"/>
  <c r="G29" i="91" s="1"/>
  <c r="E44" i="87"/>
  <c r="F44" i="87" s="1"/>
  <c r="M61" i="87"/>
  <c r="N61" i="87" s="1"/>
  <c r="C94" i="74"/>
  <c r="B94" i="74" s="1"/>
  <c r="B39" i="80" s="1"/>
  <c r="I39" i="80" s="1"/>
  <c r="K39" i="80" s="1"/>
  <c r="C99" i="36" s="1"/>
  <c r="L40" i="52" s="1"/>
  <c r="E44" i="89"/>
  <c r="H115" i="36"/>
  <c r="L56" i="87" s="1"/>
  <c r="M56" i="87" s="1"/>
  <c r="M35" i="87"/>
  <c r="M52" i="87"/>
  <c r="C115" i="74"/>
  <c r="B115" i="74" s="1"/>
  <c r="B60" i="80" s="1"/>
  <c r="I60" i="80" s="1"/>
  <c r="K60" i="80" s="1"/>
  <c r="C120" i="36" s="1"/>
  <c r="N52" i="87"/>
  <c r="N42" i="87"/>
  <c r="C28" i="74"/>
  <c r="B28" i="74" s="1"/>
  <c r="B28" i="79" s="1"/>
  <c r="I28" i="79" s="1"/>
  <c r="K28" i="79" s="1"/>
  <c r="C28" i="36" s="1"/>
  <c r="D29" i="52" s="1"/>
  <c r="C103" i="74"/>
  <c r="B103" i="74" s="1"/>
  <c r="B48" i="80" s="1"/>
  <c r="I48" i="80" s="1"/>
  <c r="K48" i="80" s="1"/>
  <c r="C108" i="36" s="1"/>
  <c r="C144" i="36" s="1"/>
  <c r="C147" i="36" s="1"/>
  <c r="C52" i="74"/>
  <c r="C96" i="74"/>
  <c r="B96" i="74" s="1"/>
  <c r="B41" i="80" s="1"/>
  <c r="I41" i="80" s="1"/>
  <c r="K41" i="80" s="1"/>
  <c r="C101" i="36" s="1"/>
  <c r="L42" i="52" s="1"/>
  <c r="N42" i="52" s="1"/>
  <c r="E29" i="89"/>
  <c r="M42" i="87"/>
  <c r="F29" i="87"/>
  <c r="C38" i="74"/>
  <c r="B38" i="74" s="1"/>
  <c r="B38" i="79" s="1"/>
  <c r="I38" i="79" s="1"/>
  <c r="K38" i="79" s="1"/>
  <c r="C38" i="36" s="1"/>
  <c r="C75" i="74"/>
  <c r="B75" i="74" s="1"/>
  <c r="B20" i="80" s="1"/>
  <c r="I20" i="80" s="1"/>
  <c r="K20" i="80" s="1"/>
  <c r="C80" i="36" s="1"/>
  <c r="L21" i="52" s="1"/>
  <c r="N21" i="54" s="1"/>
  <c r="C106" i="74"/>
  <c r="B106" i="74" s="1"/>
  <c r="B51" i="80" s="1"/>
  <c r="I51" i="80" s="1"/>
  <c r="K51" i="80" s="1"/>
  <c r="C111" i="36" s="1"/>
  <c r="L52" i="52" s="1"/>
  <c r="M52" i="52" s="1"/>
  <c r="H74" i="36"/>
  <c r="C107" i="74"/>
  <c r="B107" i="74" s="1"/>
  <c r="B52" i="80" s="1"/>
  <c r="I52" i="80" s="1"/>
  <c r="K52" i="80" s="1"/>
  <c r="C112" i="36" s="1"/>
  <c r="L53" i="52" s="1"/>
  <c r="G25" i="66" s="1"/>
  <c r="C49" i="74"/>
  <c r="B49" i="74" s="1"/>
  <c r="B49" i="79" s="1"/>
  <c r="I49" i="79" s="1"/>
  <c r="K49" i="79" s="1"/>
  <c r="C49" i="36" s="1"/>
  <c r="D50" i="52" s="1"/>
  <c r="E50" i="52" s="1"/>
  <c r="C88" i="75"/>
  <c r="B88" i="75" s="1"/>
  <c r="B88" i="81" s="1"/>
  <c r="I88" i="81" s="1"/>
  <c r="K88" i="81" s="1"/>
  <c r="C88" i="37" s="1"/>
  <c r="C89" i="74"/>
  <c r="B89" i="74" s="1"/>
  <c r="B34" i="80" s="1"/>
  <c r="I34" i="80" s="1"/>
  <c r="K34" i="80" s="1"/>
  <c r="C94" i="36" s="1"/>
  <c r="L35" i="52" s="1"/>
  <c r="N35" i="87"/>
  <c r="H67" i="36"/>
  <c r="C39" i="74"/>
  <c r="B39" i="74" s="1"/>
  <c r="B39" i="79" s="1"/>
  <c r="I39" i="79" s="1"/>
  <c r="K39" i="79" s="1"/>
  <c r="C39" i="36" s="1"/>
  <c r="D40" i="52" s="1"/>
  <c r="E40" i="54" s="1"/>
  <c r="E40" i="87"/>
  <c r="E40" i="89"/>
  <c r="C43" i="74"/>
  <c r="B43" i="74" s="1"/>
  <c r="B43" i="79" s="1"/>
  <c r="I43" i="79" s="1"/>
  <c r="K43" i="79" s="1"/>
  <c r="C43" i="36" s="1"/>
  <c r="D44" i="52" s="1"/>
  <c r="E44" i="52" s="1"/>
  <c r="F45" i="87"/>
  <c r="F59" i="33"/>
  <c r="E51" i="35"/>
  <c r="E72" i="35" s="1"/>
  <c r="C44" i="74"/>
  <c r="B44" i="74" s="1"/>
  <c r="B44" i="79" s="1"/>
  <c r="I44" i="79" s="1"/>
  <c r="K44" i="79" s="1"/>
  <c r="C44" i="36" s="1"/>
  <c r="D45" i="52" s="1"/>
  <c r="E45" i="54" s="1"/>
  <c r="C84" i="74"/>
  <c r="B84" i="74" s="1"/>
  <c r="B29" i="80" s="1"/>
  <c r="I29" i="80" s="1"/>
  <c r="K29" i="80" s="1"/>
  <c r="N41" i="87"/>
  <c r="O41" i="87" s="1"/>
  <c r="D51" i="87"/>
  <c r="E51" i="87" s="1"/>
  <c r="H40" i="36"/>
  <c r="D41" i="87" s="1"/>
  <c r="E41" i="89" s="1"/>
  <c r="C95" i="74"/>
  <c r="B95" i="74" s="1"/>
  <c r="B40" i="80" s="1"/>
  <c r="I40" i="80" s="1"/>
  <c r="K40" i="80" s="1"/>
  <c r="C100" i="36" s="1"/>
  <c r="L41" i="52" s="1"/>
  <c r="N41" i="52" s="1"/>
  <c r="O41" i="52" s="1"/>
  <c r="C50" i="74"/>
  <c r="B50" i="74" s="1"/>
  <c r="B50" i="79" s="1"/>
  <c r="I50" i="79" s="1"/>
  <c r="K50" i="79" s="1"/>
  <c r="C50" i="36" s="1"/>
  <c r="D51" i="52" s="1"/>
  <c r="E51" i="54" s="1"/>
  <c r="H20" i="36"/>
  <c r="D21" i="87" s="1"/>
  <c r="C45" i="74"/>
  <c r="B45" i="74" s="1"/>
  <c r="B45" i="79" s="1"/>
  <c r="I45" i="79" s="1"/>
  <c r="K45" i="79" s="1"/>
  <c r="C45" i="36" s="1"/>
  <c r="D46" i="52" s="1"/>
  <c r="E46" i="54" s="1"/>
  <c r="C97" i="74"/>
  <c r="B97" i="74" s="1"/>
  <c r="B42" i="80" s="1"/>
  <c r="I42" i="80" s="1"/>
  <c r="K42" i="80" s="1"/>
  <c r="C102" i="36" s="1"/>
  <c r="L43" i="52" s="1"/>
  <c r="C16" i="74"/>
  <c r="H46" i="37"/>
  <c r="D47" i="88" s="1"/>
  <c r="E47" i="90" s="1"/>
  <c r="F46" i="34"/>
  <c r="N51" i="54"/>
  <c r="H110" i="36"/>
  <c r="L51" i="87" s="1"/>
  <c r="N51" i="87" s="1"/>
  <c r="C43" i="75"/>
  <c r="B43" i="75" s="1"/>
  <c r="B43" i="81" s="1"/>
  <c r="I43" i="81" s="1"/>
  <c r="K43" i="81" s="1"/>
  <c r="C43" i="37" s="1"/>
  <c r="D44" i="53" s="1"/>
  <c r="E44" i="55" s="1"/>
  <c r="E45" i="87"/>
  <c r="N51" i="52"/>
  <c r="H71" i="36"/>
  <c r="L12" i="87" s="1"/>
  <c r="C68" i="74"/>
  <c r="B68" i="74" s="1"/>
  <c r="B13" i="80" s="1"/>
  <c r="I13" i="80" s="1"/>
  <c r="K13" i="80" s="1"/>
  <c r="C73" i="36" s="1"/>
  <c r="H109" i="36"/>
  <c r="L50" i="87" s="1"/>
  <c r="N50" i="87" s="1"/>
  <c r="O50" i="87" s="1"/>
  <c r="H34" i="36"/>
  <c r="H103" i="36"/>
  <c r="H125" i="38" s="1"/>
  <c r="M41" i="87"/>
  <c r="H29" i="36"/>
  <c r="D30" i="87" s="1"/>
  <c r="F30" i="87" s="1"/>
  <c r="G30" i="87" s="1"/>
  <c r="C47" i="75"/>
  <c r="B47" i="75" s="1"/>
  <c r="B47" i="81" s="1"/>
  <c r="I47" i="81" s="1"/>
  <c r="K47" i="81" s="1"/>
  <c r="C77" i="74"/>
  <c r="B77" i="74" s="1"/>
  <c r="B22" i="80" s="1"/>
  <c r="I22" i="80" s="1"/>
  <c r="K22" i="80" s="1"/>
  <c r="E42" i="54"/>
  <c r="E42" i="52"/>
  <c r="H41" i="36"/>
  <c r="D42" i="87" s="1"/>
  <c r="C68" i="75"/>
  <c r="B68" i="75" s="1"/>
  <c r="B68" i="81" s="1"/>
  <c r="I68" i="81" s="1"/>
  <c r="K68" i="81" s="1"/>
  <c r="C68" i="37" s="1"/>
  <c r="F52" i="35"/>
  <c r="F73" i="35" s="1"/>
  <c r="C109" i="74"/>
  <c r="B109" i="74" s="1"/>
  <c r="B54" i="80" s="1"/>
  <c r="I54" i="80" s="1"/>
  <c r="K54" i="80" s="1"/>
  <c r="C114" i="36" s="1"/>
  <c r="L55" i="52" s="1"/>
  <c r="M55" i="52" s="1"/>
  <c r="C87" i="75"/>
  <c r="B87" i="75" s="1"/>
  <c r="B87" i="81" s="1"/>
  <c r="I87" i="81" s="1"/>
  <c r="K87" i="81" s="1"/>
  <c r="C87" i="37" s="1"/>
  <c r="C91" i="74"/>
  <c r="H30" i="36"/>
  <c r="D31" i="87" s="1"/>
  <c r="E31" i="87" s="1"/>
  <c r="C86" i="74"/>
  <c r="B86" i="74" s="1"/>
  <c r="B31" i="80" s="1"/>
  <c r="I31" i="80" s="1"/>
  <c r="K31" i="80" s="1"/>
  <c r="I74" i="35"/>
  <c r="K74" i="35" s="1"/>
  <c r="D73" i="81"/>
  <c r="N38" i="89"/>
  <c r="M53" i="87"/>
  <c r="N53" i="87" s="1"/>
  <c r="C111" i="74"/>
  <c r="B111" i="74" s="1"/>
  <c r="B56" i="80" s="1"/>
  <c r="I56" i="80" s="1"/>
  <c r="K56" i="80" s="1"/>
  <c r="N53" i="89"/>
  <c r="E30" i="52"/>
  <c r="E31" i="52"/>
  <c r="G29" i="66"/>
  <c r="E41" i="54"/>
  <c r="D43" i="52"/>
  <c r="E41" i="52"/>
  <c r="F41" i="52" s="1"/>
  <c r="F30" i="52"/>
  <c r="G30" i="52" s="1"/>
  <c r="F42" i="52"/>
  <c r="F31" i="52"/>
  <c r="M56" i="52"/>
  <c r="F59" i="80"/>
  <c r="F61" i="80" s="1"/>
  <c r="F62" i="80" s="1"/>
  <c r="E59" i="80"/>
  <c r="E61" i="80" s="1"/>
  <c r="E62" i="80" s="1"/>
  <c r="C58" i="80"/>
  <c r="A1" i="78"/>
  <c r="H59" i="80"/>
  <c r="H61" i="80" s="1"/>
  <c r="H62" i="80" s="1"/>
  <c r="K58" i="33"/>
  <c r="N45" i="89"/>
  <c r="C99" i="74"/>
  <c r="B99" i="74" s="1"/>
  <c r="B44" i="80" s="1"/>
  <c r="I44" i="80" s="1"/>
  <c r="K44" i="80" s="1"/>
  <c r="C104" i="36" s="1"/>
  <c r="L45" i="52" s="1"/>
  <c r="N45" i="52" s="1"/>
  <c r="C108" i="74"/>
  <c r="B108" i="74" s="1"/>
  <c r="N56" i="52"/>
  <c r="O56" i="52" s="1"/>
  <c r="C76" i="74"/>
  <c r="B76" i="74" s="1"/>
  <c r="B21" i="80" s="1"/>
  <c r="I21" i="80" s="1"/>
  <c r="K21" i="80" s="1"/>
  <c r="C81" i="36" s="1"/>
  <c r="L22" i="52" s="1"/>
  <c r="N22" i="54" s="1"/>
  <c r="C81" i="75"/>
  <c r="B81" i="75" s="1"/>
  <c r="B81" i="81" s="1"/>
  <c r="C71" i="75"/>
  <c r="B71" i="75" s="1"/>
  <c r="B71" i="81" s="1"/>
  <c r="C79" i="75"/>
  <c r="B79" i="75" s="1"/>
  <c r="B79" i="81" s="1"/>
  <c r="C85" i="75"/>
  <c r="B85" i="75" s="1"/>
  <c r="B85" i="81" s="1"/>
  <c r="C86" i="75"/>
  <c r="B86" i="75" s="1"/>
  <c r="B86" i="81" s="1"/>
  <c r="C58" i="34"/>
  <c r="G58" i="34"/>
  <c r="A1" i="32" s="1"/>
  <c r="H58" i="34"/>
  <c r="E58" i="34"/>
  <c r="F58" i="34"/>
  <c r="D58" i="34"/>
  <c r="D59" i="34" s="1"/>
  <c r="D61" i="34" s="1"/>
  <c r="C59" i="79"/>
  <c r="C66" i="75"/>
  <c r="B66" i="75" s="1"/>
  <c r="B66" i="81" s="1"/>
  <c r="I66" i="81" s="1"/>
  <c r="K66" i="81" s="1"/>
  <c r="C66" i="37" s="1"/>
  <c r="C69" i="75"/>
  <c r="B69" i="75" s="1"/>
  <c r="B69" i="81" s="1"/>
  <c r="I69" i="81" s="1"/>
  <c r="K69" i="81" s="1"/>
  <c r="C69" i="37" s="1"/>
  <c r="C58" i="75"/>
  <c r="B58" i="75" s="1"/>
  <c r="B58" i="81" s="1"/>
  <c r="I58" i="81" s="1"/>
  <c r="K58" i="81" s="1"/>
  <c r="C58" i="37" s="1"/>
  <c r="C54" i="75"/>
  <c r="B54" i="75" s="1"/>
  <c r="C60" i="75"/>
  <c r="B60" i="75" s="1"/>
  <c r="B60" i="81" s="1"/>
  <c r="I60" i="81" s="1"/>
  <c r="K60" i="81" s="1"/>
  <c r="C55" i="75"/>
  <c r="B55" i="75" s="1"/>
  <c r="B55" i="81" s="1"/>
  <c r="I55" i="81" s="1"/>
  <c r="K55" i="81" s="1"/>
  <c r="C52" i="35"/>
  <c r="I53" i="35"/>
  <c r="K53" i="35" s="1"/>
  <c r="I59" i="35"/>
  <c r="K59" i="35" s="1"/>
  <c r="M50" i="52"/>
  <c r="C85" i="74"/>
  <c r="B85" i="74" s="1"/>
  <c r="B30" i="80" s="1"/>
  <c r="I30" i="80" s="1"/>
  <c r="K30" i="80" s="1"/>
  <c r="N45" i="87"/>
  <c r="I45" i="34"/>
  <c r="K45" i="34" s="1"/>
  <c r="H95" i="36"/>
  <c r="L36" i="87" s="1"/>
  <c r="N36" i="89" s="1"/>
  <c r="N38" i="87"/>
  <c r="C92" i="74"/>
  <c r="B92" i="74" s="1"/>
  <c r="B37" i="80" s="1"/>
  <c r="I37" i="80" s="1"/>
  <c r="K37" i="80" s="1"/>
  <c r="C97" i="36" s="1"/>
  <c r="L38" i="52" s="1"/>
  <c r="N38" i="54" s="1"/>
  <c r="C82" i="75"/>
  <c r="B82" i="75" s="1"/>
  <c r="B82" i="81" s="1"/>
  <c r="N43" i="89"/>
  <c r="M43" i="87"/>
  <c r="N43" i="87" s="1"/>
  <c r="C46" i="80"/>
  <c r="D46" i="34"/>
  <c r="C52" i="81"/>
  <c r="F25" i="66"/>
  <c r="N36" i="54"/>
  <c r="N36" i="52"/>
  <c r="N50" i="52"/>
  <c r="O50" i="52" s="1"/>
  <c r="C59" i="33"/>
  <c r="N55" i="89"/>
  <c r="M55" i="87"/>
  <c r="N55" i="87" s="1"/>
  <c r="C50" i="75"/>
  <c r="B50" i="75" s="1"/>
  <c r="C46" i="34"/>
  <c r="B43" i="80"/>
  <c r="I43" i="80" s="1"/>
  <c r="K43" i="80" s="1"/>
  <c r="C103" i="36" s="1"/>
  <c r="L44" i="52" s="1"/>
  <c r="M57" i="87"/>
  <c r="N57" i="87" s="1"/>
  <c r="C117" i="84"/>
  <c r="G1" i="46"/>
  <c r="J103" i="46"/>
  <c r="I103" i="46" s="1"/>
  <c r="D161" i="62"/>
  <c r="F161" i="62" s="1"/>
  <c r="E59" i="36"/>
  <c r="E129" i="36" s="1"/>
  <c r="H122" i="46"/>
  <c r="J98" i="68"/>
  <c r="F72" i="68"/>
  <c r="J72" i="37" s="1"/>
  <c r="F44" i="91"/>
  <c r="F43" i="91"/>
  <c r="F45" i="91"/>
  <c r="F42" i="91"/>
  <c r="C8" i="55"/>
  <c r="D8" i="55" s="1"/>
  <c r="B53" i="85"/>
  <c r="B58" i="85" s="1"/>
  <c r="B7" i="85"/>
  <c r="B20" i="84"/>
  <c r="B31" i="84" s="1"/>
  <c r="J122" i="46"/>
  <c r="I60" i="46"/>
  <c r="I122" i="46" s="1"/>
  <c r="F89" i="69"/>
  <c r="J96" i="68"/>
  <c r="F49" i="68"/>
  <c r="J49" i="37" s="1"/>
  <c r="O83" i="68"/>
  <c r="J80" i="68"/>
  <c r="F80" i="68" s="1"/>
  <c r="B48" i="84"/>
  <c r="C52" i="84"/>
  <c r="C59" i="84" s="1"/>
  <c r="C104" i="84" s="1"/>
  <c r="D60" i="55"/>
  <c r="F52" i="62"/>
  <c r="E52" i="62" s="1"/>
  <c r="D51" i="62"/>
  <c r="F51" i="62" s="1"/>
  <c r="G89" i="68"/>
  <c r="I59" i="83"/>
  <c r="H59" i="38" s="1"/>
  <c r="H112" i="38" s="1"/>
  <c r="G62" i="83"/>
  <c r="F89" i="46"/>
  <c r="E89" i="46" s="1"/>
  <c r="D60" i="46"/>
  <c r="C107" i="84"/>
  <c r="C109" i="84"/>
  <c r="B71" i="85"/>
  <c r="B135" i="84"/>
  <c r="B85" i="84"/>
  <c r="B107" i="84" s="1"/>
  <c r="L37" i="87"/>
  <c r="E28" i="88"/>
  <c r="F28" i="88"/>
  <c r="C103" i="38"/>
  <c r="B34" i="74"/>
  <c r="G40" i="85"/>
  <c r="B44" i="85"/>
  <c r="B45" i="85" s="1"/>
  <c r="G4" i="92"/>
  <c r="F4" i="92"/>
  <c r="C12" i="92"/>
  <c r="G8" i="91"/>
  <c r="L49" i="87"/>
  <c r="I27" i="85"/>
  <c r="C27" i="38" s="1"/>
  <c r="G30" i="85"/>
  <c r="I30" i="85" s="1"/>
  <c r="C30" i="38" s="1"/>
  <c r="L54" i="87"/>
  <c r="I34" i="85"/>
  <c r="C34" i="38" s="1"/>
  <c r="G38" i="85"/>
  <c r="I19" i="85"/>
  <c r="C19" i="38" s="1"/>
  <c r="H115" i="38"/>
  <c r="H117" i="38"/>
  <c r="B27" i="81"/>
  <c r="I27" i="81" s="1"/>
  <c r="K27" i="81" s="1"/>
  <c r="C27" i="37" s="1"/>
  <c r="N27" i="89" l="1"/>
  <c r="E12" i="53"/>
  <c r="E12" i="55"/>
  <c r="N30" i="89"/>
  <c r="M30" i="87"/>
  <c r="N30" i="87"/>
  <c r="N12" i="89"/>
  <c r="N12" i="87"/>
  <c r="O12" i="87" s="1"/>
  <c r="M12" i="87"/>
  <c r="N20" i="54"/>
  <c r="M20" i="52"/>
  <c r="N20" i="52" s="1"/>
  <c r="E11" i="54"/>
  <c r="E11" i="52"/>
  <c r="F11" i="52"/>
  <c r="G11" i="52" s="1"/>
  <c r="E21" i="89"/>
  <c r="E21" i="87"/>
  <c r="F21" i="87" s="1"/>
  <c r="E63" i="53"/>
  <c r="E63" i="55"/>
  <c r="D35" i="87"/>
  <c r="E35" i="87" s="1"/>
  <c r="F35" i="87" s="1"/>
  <c r="H58" i="36"/>
  <c r="H128" i="36" s="1"/>
  <c r="K11" i="79"/>
  <c r="C11" i="36" s="1"/>
  <c r="D12" i="52" s="1"/>
  <c r="C58" i="74"/>
  <c r="C60" i="52"/>
  <c r="C60" i="54" s="1"/>
  <c r="D34" i="54" s="1"/>
  <c r="J2" i="36"/>
  <c r="J126" i="36"/>
  <c r="E66" i="53"/>
  <c r="F66" i="53"/>
  <c r="G66" i="53" s="1"/>
  <c r="E13" i="89"/>
  <c r="E13" i="87"/>
  <c r="F13" i="87"/>
  <c r="G13" i="87" s="1"/>
  <c r="H132" i="38"/>
  <c r="L15" i="87"/>
  <c r="F31" i="88"/>
  <c r="E31" i="90"/>
  <c r="E31" i="88"/>
  <c r="E37" i="90"/>
  <c r="F37" i="88"/>
  <c r="G37" i="88" s="1"/>
  <c r="E37" i="88"/>
  <c r="E32" i="90"/>
  <c r="F32" i="88"/>
  <c r="G32" i="88" s="1"/>
  <c r="E32" i="88"/>
  <c r="F35" i="88"/>
  <c r="G35" i="88" s="1"/>
  <c r="E35" i="90"/>
  <c r="E35" i="88"/>
  <c r="E65" i="55"/>
  <c r="E65" i="53"/>
  <c r="F65" i="53"/>
  <c r="G65" i="53" s="1"/>
  <c r="D69" i="88"/>
  <c r="G31" i="91"/>
  <c r="D15" i="87"/>
  <c r="D70" i="88"/>
  <c r="E64" i="90"/>
  <c r="F64" i="88"/>
  <c r="G64" i="88" s="1"/>
  <c r="E64" i="88"/>
  <c r="M23" i="87"/>
  <c r="N23" i="87" s="1"/>
  <c r="N23" i="89"/>
  <c r="E68" i="88"/>
  <c r="F68" i="88"/>
  <c r="G68" i="88" s="1"/>
  <c r="E33" i="90"/>
  <c r="E33" i="88"/>
  <c r="F33" i="88"/>
  <c r="G33" i="88" s="1"/>
  <c r="N39" i="89"/>
  <c r="N39" i="87"/>
  <c r="O39" i="87" s="1"/>
  <c r="M39" i="87"/>
  <c r="E66" i="88"/>
  <c r="E66" i="90"/>
  <c r="F66" i="88"/>
  <c r="G66" i="88" s="1"/>
  <c r="D15" i="52"/>
  <c r="E15" i="54" s="1"/>
  <c r="G31" i="66"/>
  <c r="D67" i="88"/>
  <c r="E67" i="90" s="1"/>
  <c r="E71" i="88"/>
  <c r="F71" i="88"/>
  <c r="G71" i="88" s="1"/>
  <c r="E14" i="89"/>
  <c r="E14" i="87"/>
  <c r="F14" i="87" s="1"/>
  <c r="G32" i="91"/>
  <c r="H32" i="91" s="1"/>
  <c r="G33" i="91" s="1"/>
  <c r="D25" i="87"/>
  <c r="E30" i="90"/>
  <c r="E30" i="88"/>
  <c r="F30" i="88" s="1"/>
  <c r="E38" i="90"/>
  <c r="F38" i="88"/>
  <c r="E38" i="88"/>
  <c r="N39" i="54"/>
  <c r="M39" i="52"/>
  <c r="N39" i="52"/>
  <c r="O39" i="52" s="1"/>
  <c r="E62" i="90"/>
  <c r="E62" i="88"/>
  <c r="F62" i="88"/>
  <c r="G62" i="88" s="1"/>
  <c r="N40" i="54"/>
  <c r="N40" i="52"/>
  <c r="M40" i="52"/>
  <c r="E38" i="55"/>
  <c r="F38" i="53"/>
  <c r="E38" i="53"/>
  <c r="E34" i="90"/>
  <c r="F34" i="88"/>
  <c r="G34" i="88" s="1"/>
  <c r="E34" i="88"/>
  <c r="E16" i="89"/>
  <c r="F16" i="87"/>
  <c r="E16" i="87"/>
  <c r="E65" i="90"/>
  <c r="F65" i="88"/>
  <c r="G65" i="88" s="1"/>
  <c r="E65" i="88"/>
  <c r="E12" i="87"/>
  <c r="F12" i="87"/>
  <c r="G12" i="87" s="1"/>
  <c r="E12" i="89"/>
  <c r="E62" i="53"/>
  <c r="E62" i="55"/>
  <c r="F62" i="53"/>
  <c r="G62" i="53" s="1"/>
  <c r="E64" i="53"/>
  <c r="E64" i="55"/>
  <c r="F64" i="53"/>
  <c r="G64" i="53" s="1"/>
  <c r="M15" i="52"/>
  <c r="N15" i="52" s="1"/>
  <c r="N15" i="54"/>
  <c r="E52" i="54"/>
  <c r="E47" i="54"/>
  <c r="N32" i="87"/>
  <c r="N32" i="89"/>
  <c r="M32" i="87"/>
  <c r="F49" i="52"/>
  <c r="E48" i="89"/>
  <c r="E48" i="87"/>
  <c r="F48" i="87" s="1"/>
  <c r="D103" i="46"/>
  <c r="F103" i="46" s="1"/>
  <c r="E103" i="46" s="1"/>
  <c r="B117" i="67"/>
  <c r="B130" i="67" s="1"/>
  <c r="E121" i="67"/>
  <c r="E49" i="54"/>
  <c r="E46" i="89"/>
  <c r="E46" i="87"/>
  <c r="F46" i="87"/>
  <c r="E50" i="87"/>
  <c r="F50" i="87" s="1"/>
  <c r="E50" i="89"/>
  <c r="E68" i="90"/>
  <c r="E71" i="90"/>
  <c r="H53" i="37"/>
  <c r="D54" i="88" s="1"/>
  <c r="E54" i="90" s="1"/>
  <c r="C90" i="36"/>
  <c r="L31" i="52" s="1"/>
  <c r="H59" i="37"/>
  <c r="D60" i="88" s="1"/>
  <c r="E60" i="90" s="1"/>
  <c r="C91" i="36"/>
  <c r="L32" i="52" s="1"/>
  <c r="C82" i="36"/>
  <c r="L23" i="52" s="1"/>
  <c r="N23" i="54" s="1"/>
  <c r="I35" i="81"/>
  <c r="K35" i="81" s="1"/>
  <c r="C35" i="37" s="1"/>
  <c r="D36" i="53" s="1"/>
  <c r="E25" i="52"/>
  <c r="F25" i="52" s="1"/>
  <c r="I36" i="81"/>
  <c r="K36" i="81" s="1"/>
  <c r="C36" i="37" s="1"/>
  <c r="D37" i="53" s="1"/>
  <c r="I31" i="81"/>
  <c r="K31" i="81" s="1"/>
  <c r="C31" i="37" s="1"/>
  <c r="D32" i="53" s="1"/>
  <c r="I34" i="81"/>
  <c r="K34" i="81" s="1"/>
  <c r="C34" i="37" s="1"/>
  <c r="D35" i="53" s="1"/>
  <c r="L14" i="52"/>
  <c r="N14" i="54" s="1"/>
  <c r="C89" i="36"/>
  <c r="L30" i="52" s="1"/>
  <c r="D39" i="52"/>
  <c r="E39" i="54" s="1"/>
  <c r="M17" i="52"/>
  <c r="N17" i="52"/>
  <c r="I32" i="81"/>
  <c r="K32" i="81" s="1"/>
  <c r="C32" i="37" s="1"/>
  <c r="D33" i="53" s="1"/>
  <c r="E16" i="52"/>
  <c r="F16" i="52"/>
  <c r="I29" i="81"/>
  <c r="K29" i="81" s="1"/>
  <c r="C29" i="37" s="1"/>
  <c r="D30" i="53" s="1"/>
  <c r="C36" i="36"/>
  <c r="D37" i="52" s="1"/>
  <c r="E37" i="54" s="1"/>
  <c r="H74" i="37"/>
  <c r="D75" i="88" s="1"/>
  <c r="E75" i="90" s="1"/>
  <c r="E58" i="53"/>
  <c r="F58" i="53"/>
  <c r="G58" i="53" s="1"/>
  <c r="E58" i="55"/>
  <c r="E57" i="53"/>
  <c r="F57" i="53"/>
  <c r="G57" i="53" s="1"/>
  <c r="E57" i="55"/>
  <c r="D69" i="53"/>
  <c r="C55" i="37"/>
  <c r="D56" i="53" s="1"/>
  <c r="D68" i="53"/>
  <c r="C60" i="37"/>
  <c r="D61" i="53" s="1"/>
  <c r="D67" i="53"/>
  <c r="E29" i="55"/>
  <c r="E29" i="53"/>
  <c r="F29" i="53"/>
  <c r="E48" i="90"/>
  <c r="F48" i="88"/>
  <c r="E48" i="88"/>
  <c r="C47" i="37"/>
  <c r="D48" i="53" s="1"/>
  <c r="E48" i="53" s="1"/>
  <c r="L8" i="87"/>
  <c r="N8" i="89" s="1"/>
  <c r="H92" i="36"/>
  <c r="H130" i="36" s="1"/>
  <c r="H126" i="38"/>
  <c r="C12" i="74"/>
  <c r="B12" i="74" s="1"/>
  <c r="B12" i="79" s="1"/>
  <c r="I12" i="79" s="1"/>
  <c r="K12" i="79" s="1"/>
  <c r="C12" i="36" s="1"/>
  <c r="D13" i="52" s="1"/>
  <c r="E13" i="54" s="1"/>
  <c r="H130" i="38"/>
  <c r="D8" i="87"/>
  <c r="E8" i="89" s="1"/>
  <c r="C13" i="74"/>
  <c r="B13" i="74" s="1"/>
  <c r="B123" i="84" s="1"/>
  <c r="H10" i="36"/>
  <c r="D11" i="87" s="1"/>
  <c r="B62" i="74"/>
  <c r="B7" i="80" s="1"/>
  <c r="B32" i="80" s="1"/>
  <c r="C87" i="74"/>
  <c r="C125" i="74" s="1"/>
  <c r="E27" i="89"/>
  <c r="C7" i="74"/>
  <c r="B7" i="74" s="1"/>
  <c r="B7" i="79" s="1"/>
  <c r="I7" i="79" s="1"/>
  <c r="D44" i="62"/>
  <c r="F44" i="62" s="1"/>
  <c r="E44" i="62" s="1"/>
  <c r="C50" i="88"/>
  <c r="C50" i="90" s="1"/>
  <c r="E49" i="68"/>
  <c r="J97" i="37"/>
  <c r="J96" i="37"/>
  <c r="E57" i="88"/>
  <c r="F58" i="88"/>
  <c r="G58" i="88" s="1"/>
  <c r="E58" i="88"/>
  <c r="E80" i="68"/>
  <c r="B80" i="68" s="1"/>
  <c r="E80" i="37" s="1"/>
  <c r="J80" i="37"/>
  <c r="F73" i="68"/>
  <c r="J73" i="37" s="1"/>
  <c r="C73" i="88"/>
  <c r="C73" i="90" s="1"/>
  <c r="D73" i="90" s="1"/>
  <c r="C45" i="53"/>
  <c r="C45" i="55" s="1"/>
  <c r="D45" i="55" s="1"/>
  <c r="E44" i="37"/>
  <c r="E119" i="38" s="1"/>
  <c r="E57" i="90"/>
  <c r="E28" i="87"/>
  <c r="F28" i="87"/>
  <c r="E53" i="87"/>
  <c r="F53" i="87" s="1"/>
  <c r="F44" i="88"/>
  <c r="G44" i="88" s="1"/>
  <c r="B12" i="75"/>
  <c r="B101" i="75" s="1"/>
  <c r="E23" i="88"/>
  <c r="F23" i="88" s="1"/>
  <c r="E44" i="88"/>
  <c r="E40" i="88"/>
  <c r="F40" i="88" s="1"/>
  <c r="H120" i="38"/>
  <c r="H123" i="38"/>
  <c r="H121" i="38"/>
  <c r="L61" i="52"/>
  <c r="M61" i="52" s="1"/>
  <c r="M31" i="87"/>
  <c r="N31" i="87"/>
  <c r="E121" i="36"/>
  <c r="E134" i="36" s="1"/>
  <c r="E138" i="36"/>
  <c r="E141" i="36" s="1"/>
  <c r="E161" i="62"/>
  <c r="E27" i="52"/>
  <c r="E27" i="54"/>
  <c r="E14" i="55"/>
  <c r="E14" i="53"/>
  <c r="F14" i="53" s="1"/>
  <c r="E22" i="53"/>
  <c r="F22" i="53"/>
  <c r="E8" i="55"/>
  <c r="B52" i="74"/>
  <c r="C116" i="84"/>
  <c r="C124" i="84"/>
  <c r="C121" i="84"/>
  <c r="E133" i="36"/>
  <c r="B102" i="84"/>
  <c r="B109" i="84"/>
  <c r="B91" i="74"/>
  <c r="B36" i="80" s="1"/>
  <c r="B33" i="81"/>
  <c r="B115" i="84"/>
  <c r="E77" i="88"/>
  <c r="F77" i="88"/>
  <c r="D27" i="53"/>
  <c r="D23" i="53"/>
  <c r="C39" i="37"/>
  <c r="D40" i="53" s="1"/>
  <c r="F32" i="66"/>
  <c r="F12" i="53"/>
  <c r="H6" i="37"/>
  <c r="D24" i="53"/>
  <c r="C113" i="84"/>
  <c r="E8" i="53"/>
  <c r="F8" i="53" s="1"/>
  <c r="B54" i="81"/>
  <c r="I54" i="81" s="1"/>
  <c r="K54" i="81" s="1"/>
  <c r="B42" i="81"/>
  <c r="I42" i="81" s="1"/>
  <c r="K42" i="81" s="1"/>
  <c r="C42" i="37" s="1"/>
  <c r="D43" i="53" s="1"/>
  <c r="B50" i="81"/>
  <c r="I50" i="81" s="1"/>
  <c r="K50" i="81" s="1"/>
  <c r="C50" i="37" s="1"/>
  <c r="D59" i="53"/>
  <c r="D77" i="53"/>
  <c r="D118" i="46"/>
  <c r="F118" i="46" s="1"/>
  <c r="E118" i="46" s="1"/>
  <c r="F116" i="46"/>
  <c r="E116" i="46" s="1"/>
  <c r="B121" i="67"/>
  <c r="F43" i="52"/>
  <c r="F47" i="87"/>
  <c r="D73" i="35"/>
  <c r="E13" i="88"/>
  <c r="F13" i="88" s="1"/>
  <c r="H102" i="37"/>
  <c r="E55" i="89"/>
  <c r="E55" i="87"/>
  <c r="F55" i="87" s="1"/>
  <c r="E56" i="89"/>
  <c r="F56" i="87"/>
  <c r="E56" i="87"/>
  <c r="E54" i="54"/>
  <c r="E54" i="52"/>
  <c r="F54" i="52" s="1"/>
  <c r="F57" i="52"/>
  <c r="G57" i="52" s="1"/>
  <c r="E57" i="52"/>
  <c r="E58" i="89"/>
  <c r="F58" i="87"/>
  <c r="G58" i="87" s="1"/>
  <c r="E58" i="87"/>
  <c r="E57" i="89"/>
  <c r="E57" i="87"/>
  <c r="F57" i="87"/>
  <c r="G57" i="87" s="1"/>
  <c r="E54" i="89"/>
  <c r="E54" i="87"/>
  <c r="F54" i="87" s="1"/>
  <c r="E43" i="88"/>
  <c r="F43" i="88" s="1"/>
  <c r="C57" i="36"/>
  <c r="D58" i="52" s="1"/>
  <c r="E58" i="54" s="1"/>
  <c r="C55" i="36"/>
  <c r="D56" i="52" s="1"/>
  <c r="E56" i="54" s="1"/>
  <c r="C54" i="36"/>
  <c r="D55" i="52" s="1"/>
  <c r="H131" i="38"/>
  <c r="M22" i="52"/>
  <c r="N22" i="52" s="1"/>
  <c r="M21" i="52"/>
  <c r="N21" i="52" s="1"/>
  <c r="N35" i="54"/>
  <c r="K63" i="52"/>
  <c r="L63" i="54" s="1"/>
  <c r="G83" i="81"/>
  <c r="G73" i="81"/>
  <c r="L49" i="52"/>
  <c r="M49" i="52" s="1"/>
  <c r="B16" i="74"/>
  <c r="B124" i="84" s="1"/>
  <c r="E41" i="88"/>
  <c r="F41" i="88" s="1"/>
  <c r="F48" i="52"/>
  <c r="E48" i="54"/>
  <c r="N53" i="54"/>
  <c r="C17" i="92"/>
  <c r="M42" i="52"/>
  <c r="F40" i="91"/>
  <c r="H25" i="66"/>
  <c r="D43" i="87"/>
  <c r="M53" i="52"/>
  <c r="N53" i="52" s="1"/>
  <c r="N42" i="54"/>
  <c r="H129" i="38"/>
  <c r="E50" i="54"/>
  <c r="N56" i="89"/>
  <c r="N56" i="87"/>
  <c r="O56" i="87" s="1"/>
  <c r="E29" i="52"/>
  <c r="F29" i="52" s="1"/>
  <c r="E29" i="54"/>
  <c r="F51" i="87"/>
  <c r="E51" i="89"/>
  <c r="E52" i="87"/>
  <c r="M51" i="87"/>
  <c r="F50" i="52"/>
  <c r="N52" i="52"/>
  <c r="F52" i="87"/>
  <c r="N52" i="54"/>
  <c r="C115" i="84"/>
  <c r="N50" i="89"/>
  <c r="G8" i="66"/>
  <c r="M35" i="52"/>
  <c r="F44" i="52"/>
  <c r="N35" i="52"/>
  <c r="E44" i="54"/>
  <c r="M43" i="52"/>
  <c r="N43" i="52" s="1"/>
  <c r="F40" i="52"/>
  <c r="G40" i="52" s="1"/>
  <c r="E40" i="52"/>
  <c r="E44" i="53"/>
  <c r="E51" i="52"/>
  <c r="F51" i="52" s="1"/>
  <c r="E45" i="52"/>
  <c r="F45" i="52" s="1"/>
  <c r="E46" i="52"/>
  <c r="B122" i="84"/>
  <c r="F41" i="87"/>
  <c r="F49" i="87"/>
  <c r="F46" i="52"/>
  <c r="E41" i="87"/>
  <c r="E49" i="87"/>
  <c r="C122" i="84"/>
  <c r="M41" i="52"/>
  <c r="N41" i="54"/>
  <c r="N51" i="89"/>
  <c r="N43" i="54"/>
  <c r="F44" i="53"/>
  <c r="G44" i="53" s="1"/>
  <c r="E47" i="87"/>
  <c r="L44" i="87"/>
  <c r="E47" i="89"/>
  <c r="M50" i="87"/>
  <c r="E31" i="89"/>
  <c r="F31" i="87"/>
  <c r="E30" i="89"/>
  <c r="E30" i="87"/>
  <c r="E24" i="88"/>
  <c r="F24" i="88" s="1"/>
  <c r="E42" i="89"/>
  <c r="F51" i="35"/>
  <c r="F72" i="35" s="1"/>
  <c r="E43" i="54"/>
  <c r="E27" i="88"/>
  <c r="F27" i="88" s="1"/>
  <c r="N55" i="54"/>
  <c r="E42" i="87"/>
  <c r="F42" i="87" s="1"/>
  <c r="C112" i="84"/>
  <c r="N55" i="52"/>
  <c r="E43" i="52"/>
  <c r="D62" i="34"/>
  <c r="C100" i="74"/>
  <c r="B100" i="74" s="1"/>
  <c r="M45" i="52"/>
  <c r="I71" i="81"/>
  <c r="K71" i="81" s="1"/>
  <c r="C71" i="37" s="1"/>
  <c r="I59" i="33"/>
  <c r="K59" i="33" s="1"/>
  <c r="C59" i="80"/>
  <c r="C61" i="80" s="1"/>
  <c r="C62" i="80" s="1"/>
  <c r="A1" i="76"/>
  <c r="N45" i="54"/>
  <c r="F78" i="53"/>
  <c r="E78" i="53"/>
  <c r="E78" i="55"/>
  <c r="I86" i="81"/>
  <c r="K86" i="81" s="1"/>
  <c r="C86" i="37" s="1"/>
  <c r="I81" i="81"/>
  <c r="K81" i="81" s="1"/>
  <c r="C81" i="37" s="1"/>
  <c r="I82" i="81"/>
  <c r="K82" i="81" s="1"/>
  <c r="C82" i="37" s="1"/>
  <c r="I85" i="81"/>
  <c r="K85" i="81" s="1"/>
  <c r="C85" i="37" s="1"/>
  <c r="I79" i="81"/>
  <c r="K79" i="81" s="1"/>
  <c r="C79" i="37" s="1"/>
  <c r="C74" i="75"/>
  <c r="B74" i="75" s="1"/>
  <c r="B74" i="81" s="1"/>
  <c r="C59" i="34"/>
  <c r="C61" i="34" s="1"/>
  <c r="C62" i="34" s="1"/>
  <c r="A1" i="73"/>
  <c r="H59" i="34"/>
  <c r="H61" i="34" s="1"/>
  <c r="H62" i="34" s="1"/>
  <c r="G59" i="34"/>
  <c r="G61" i="34" s="1"/>
  <c r="G62" i="34" s="1"/>
  <c r="F59" i="34"/>
  <c r="F61" i="34" s="1"/>
  <c r="F62" i="34" s="1"/>
  <c r="E59" i="34"/>
  <c r="E61" i="34" s="1"/>
  <c r="E62" i="34" s="1"/>
  <c r="C51" i="35"/>
  <c r="C73" i="35"/>
  <c r="I52" i="35"/>
  <c r="K52" i="35" s="1"/>
  <c r="H52" i="37" s="1"/>
  <c r="D53" i="88" s="1"/>
  <c r="E53" i="90" s="1"/>
  <c r="E56" i="88"/>
  <c r="F56" i="88"/>
  <c r="G56" i="88" s="1"/>
  <c r="C59" i="75"/>
  <c r="B59" i="75" s="1"/>
  <c r="B59" i="81" s="1"/>
  <c r="I59" i="81" s="1"/>
  <c r="K59" i="81" s="1"/>
  <c r="E55" i="88"/>
  <c r="F55" i="88"/>
  <c r="G55" i="88" s="1"/>
  <c r="C53" i="75"/>
  <c r="B53" i="75" s="1"/>
  <c r="B53" i="81" s="1"/>
  <c r="I53" i="81" s="1"/>
  <c r="K53" i="81" s="1"/>
  <c r="C53" i="37" s="1"/>
  <c r="E61" i="88"/>
  <c r="F61" i="88"/>
  <c r="M38" i="52"/>
  <c r="N38" i="52"/>
  <c r="H105" i="36"/>
  <c r="L46" i="87" s="1"/>
  <c r="N46" i="89" s="1"/>
  <c r="I46" i="34"/>
  <c r="K46" i="34" s="1"/>
  <c r="M36" i="87"/>
  <c r="N36" i="87" s="1"/>
  <c r="C51" i="81"/>
  <c r="C72" i="81" s="1"/>
  <c r="C73" i="81"/>
  <c r="E51" i="88"/>
  <c r="F51" i="88" s="1"/>
  <c r="B30" i="81"/>
  <c r="C125" i="38"/>
  <c r="C116" i="36"/>
  <c r="L57" i="52" s="1"/>
  <c r="B6" i="75"/>
  <c r="B100" i="75" s="1"/>
  <c r="C100" i="75"/>
  <c r="D47" i="90"/>
  <c r="E72" i="68"/>
  <c r="B72" i="68" s="1"/>
  <c r="F98" i="68"/>
  <c r="G7" i="85"/>
  <c r="B20" i="85"/>
  <c r="B31" i="85" s="1"/>
  <c r="D138" i="62"/>
  <c r="G53" i="85"/>
  <c r="O89" i="68"/>
  <c r="J89" i="68" s="1"/>
  <c r="F89" i="68" s="1"/>
  <c r="E89" i="68" s="1"/>
  <c r="B89" i="68" s="1"/>
  <c r="J83" i="68"/>
  <c r="F83" i="68" s="1"/>
  <c r="F96" i="68"/>
  <c r="F60" i="46"/>
  <c r="G64" i="83"/>
  <c r="I64" i="83" s="1"/>
  <c r="H64" i="38" s="1"/>
  <c r="I62" i="83"/>
  <c r="D53" i="55"/>
  <c r="C62" i="84"/>
  <c r="B48" i="85"/>
  <c r="B52" i="84"/>
  <c r="B59" i="84" s="1"/>
  <c r="B104" i="84" s="1"/>
  <c r="M54" i="87"/>
  <c r="N54" i="89"/>
  <c r="N54" i="87"/>
  <c r="D41" i="53"/>
  <c r="N49" i="89"/>
  <c r="M49" i="87"/>
  <c r="N49" i="87" s="1"/>
  <c r="B34" i="79"/>
  <c r="G32" i="66"/>
  <c r="C130" i="38"/>
  <c r="D15" i="2"/>
  <c r="E15" i="2" s="1"/>
  <c r="B53" i="80"/>
  <c r="G23" i="66"/>
  <c r="H23" i="66" s="1"/>
  <c r="J23" i="66" s="1"/>
  <c r="D28" i="53"/>
  <c r="C122" i="38"/>
  <c r="I38" i="85"/>
  <c r="C38" i="38" s="1"/>
  <c r="N44" i="54"/>
  <c r="N44" i="52"/>
  <c r="M44" i="52"/>
  <c r="E26" i="54"/>
  <c r="E26" i="52"/>
  <c r="F26" i="52" s="1"/>
  <c r="F5" i="92"/>
  <c r="G5" i="92"/>
  <c r="I40" i="85"/>
  <c r="C40" i="38" s="1"/>
  <c r="G44" i="85"/>
  <c r="I44" i="85" s="1"/>
  <c r="C44" i="38" s="1"/>
  <c r="N37" i="87"/>
  <c r="M37" i="87"/>
  <c r="N37" i="89"/>
  <c r="G71" i="85"/>
  <c r="B85" i="85"/>
  <c r="C116" i="38"/>
  <c r="N30" i="54" l="1"/>
  <c r="N30" i="52"/>
  <c r="M30" i="52"/>
  <c r="E11" i="89"/>
  <c r="F11" i="87"/>
  <c r="G11" i="87" s="1"/>
  <c r="E11" i="87"/>
  <c r="E35" i="89"/>
  <c r="M59" i="54"/>
  <c r="M58" i="54"/>
  <c r="M29" i="54"/>
  <c r="M26" i="54"/>
  <c r="M30" i="54"/>
  <c r="M28" i="54"/>
  <c r="M27" i="54"/>
  <c r="M18" i="54"/>
  <c r="M20" i="54"/>
  <c r="M19" i="54"/>
  <c r="M9" i="54"/>
  <c r="M11" i="54"/>
  <c r="M12" i="54"/>
  <c r="M10" i="54"/>
  <c r="D24" i="54"/>
  <c r="D25" i="54"/>
  <c r="D21" i="54"/>
  <c r="D18" i="54"/>
  <c r="D20" i="54"/>
  <c r="D19" i="54"/>
  <c r="D39" i="54"/>
  <c r="D9" i="54"/>
  <c r="D11" i="54"/>
  <c r="D10" i="54"/>
  <c r="E12" i="54"/>
  <c r="F12" i="52"/>
  <c r="G12" i="52" s="1"/>
  <c r="E12" i="52"/>
  <c r="E15" i="52"/>
  <c r="F15" i="52" s="1"/>
  <c r="D31" i="54"/>
  <c r="D51" i="54"/>
  <c r="D35" i="54"/>
  <c r="D42" i="54"/>
  <c r="D45" i="54"/>
  <c r="D56" i="54"/>
  <c r="D46" i="54"/>
  <c r="D41" i="54"/>
  <c r="D50" i="54"/>
  <c r="D26" i="54"/>
  <c r="D40" i="54"/>
  <c r="D58" i="54"/>
  <c r="D16" i="54"/>
  <c r="D29" i="54"/>
  <c r="D47" i="54"/>
  <c r="D49" i="54"/>
  <c r="D53" i="54"/>
  <c r="D48" i="54"/>
  <c r="D43" i="54"/>
  <c r="D59" i="54"/>
  <c r="D57" i="54"/>
  <c r="D54" i="54"/>
  <c r="D17" i="54"/>
  <c r="D8" i="54"/>
  <c r="D60" i="54"/>
  <c r="D52" i="54"/>
  <c r="D30" i="54"/>
  <c r="D44" i="54"/>
  <c r="D27" i="54"/>
  <c r="D55" i="54"/>
  <c r="D32" i="54"/>
  <c r="D14" i="54"/>
  <c r="D23" i="54"/>
  <c r="D13" i="54"/>
  <c r="D37" i="54"/>
  <c r="D36" i="54"/>
  <c r="D22" i="54"/>
  <c r="D15" i="54"/>
  <c r="D38" i="54"/>
  <c r="D12" i="54"/>
  <c r="E35" i="55"/>
  <c r="E35" i="53"/>
  <c r="F35" i="53"/>
  <c r="G35" i="53" s="1"/>
  <c r="E36" i="55"/>
  <c r="E36" i="53"/>
  <c r="F36" i="53" s="1"/>
  <c r="E15" i="89"/>
  <c r="E15" i="87"/>
  <c r="F15" i="87" s="1"/>
  <c r="E32" i="55"/>
  <c r="E32" i="53"/>
  <c r="F32" i="53"/>
  <c r="G32" i="53" s="1"/>
  <c r="E67" i="88"/>
  <c r="F67" i="88"/>
  <c r="G67" i="88" s="1"/>
  <c r="E33" i="55"/>
  <c r="F33" i="53"/>
  <c r="G33" i="53" s="1"/>
  <c r="E33" i="53"/>
  <c r="E37" i="53"/>
  <c r="E37" i="55"/>
  <c r="F37" i="53"/>
  <c r="G37" i="53" s="1"/>
  <c r="E70" i="88"/>
  <c r="F70" i="88"/>
  <c r="G70" i="88" s="1"/>
  <c r="E69" i="88"/>
  <c r="F69" i="88"/>
  <c r="G69" i="88" s="1"/>
  <c r="E30" i="55"/>
  <c r="E30" i="53"/>
  <c r="F30" i="53" s="1"/>
  <c r="E25" i="89"/>
  <c r="E25" i="87"/>
  <c r="F25" i="87" s="1"/>
  <c r="E70" i="90"/>
  <c r="E69" i="90"/>
  <c r="N15" i="89"/>
  <c r="N15" i="87"/>
  <c r="M15" i="87"/>
  <c r="M8" i="87"/>
  <c r="N8" i="87" s="1"/>
  <c r="M39" i="54"/>
  <c r="M40" i="54"/>
  <c r="M16" i="54"/>
  <c r="M22" i="54"/>
  <c r="M13" i="54"/>
  <c r="M17" i="54"/>
  <c r="M23" i="54"/>
  <c r="M24" i="54"/>
  <c r="M21" i="54"/>
  <c r="M15" i="54"/>
  <c r="M14" i="54"/>
  <c r="M25" i="54"/>
  <c r="M23" i="52"/>
  <c r="N23" i="52" s="1"/>
  <c r="N31" i="54"/>
  <c r="M31" i="52"/>
  <c r="N31" i="52"/>
  <c r="N32" i="52"/>
  <c r="N32" i="54"/>
  <c r="M32" i="52"/>
  <c r="E37" i="52"/>
  <c r="F37" i="52"/>
  <c r="G37" i="52" s="1"/>
  <c r="H101" i="37"/>
  <c r="I33" i="81"/>
  <c r="K33" i="81" s="1"/>
  <c r="C33" i="37" s="1"/>
  <c r="D34" i="53" s="1"/>
  <c r="I30" i="81"/>
  <c r="K30" i="81" s="1"/>
  <c r="C30" i="37" s="1"/>
  <c r="D31" i="53" s="1"/>
  <c r="E13" i="52"/>
  <c r="F13" i="52"/>
  <c r="G13" i="52" s="1"/>
  <c r="E39" i="52"/>
  <c r="F39" i="52"/>
  <c r="M14" i="52"/>
  <c r="N14" i="52"/>
  <c r="O14" i="52" s="1"/>
  <c r="E66" i="55"/>
  <c r="E61" i="55"/>
  <c r="E61" i="53"/>
  <c r="F61" i="53"/>
  <c r="F69" i="53"/>
  <c r="E69" i="53"/>
  <c r="E69" i="55"/>
  <c r="F68" i="53"/>
  <c r="G68" i="53" s="1"/>
  <c r="E68" i="53"/>
  <c r="E68" i="55"/>
  <c r="F67" i="53"/>
  <c r="G67" i="53" s="1"/>
  <c r="E67" i="53"/>
  <c r="E67" i="55"/>
  <c r="E56" i="55"/>
  <c r="E56" i="53"/>
  <c r="F56" i="53"/>
  <c r="G56" i="53" s="1"/>
  <c r="D72" i="53"/>
  <c r="E72" i="53" s="1"/>
  <c r="D70" i="53"/>
  <c r="C54" i="37"/>
  <c r="D55" i="53" s="1"/>
  <c r="C59" i="37"/>
  <c r="D60" i="53" s="1"/>
  <c r="F48" i="53"/>
  <c r="E48" i="55"/>
  <c r="D72" i="62"/>
  <c r="F72" i="62" s="1"/>
  <c r="E72" i="62" s="1"/>
  <c r="H31" i="36"/>
  <c r="F17" i="91" s="1"/>
  <c r="C123" i="84"/>
  <c r="E8" i="87"/>
  <c r="F8" i="87" s="1"/>
  <c r="F18" i="91"/>
  <c r="B118" i="84"/>
  <c r="B121" i="84"/>
  <c r="C118" i="84"/>
  <c r="B87" i="74"/>
  <c r="B125" i="74" s="1"/>
  <c r="C31" i="74"/>
  <c r="C122" i="74" s="1"/>
  <c r="E122" i="36"/>
  <c r="E135" i="36" s="1"/>
  <c r="E83" i="68"/>
  <c r="B83" i="68" s="1"/>
  <c r="E83" i="37" s="1"/>
  <c r="E89" i="37" s="1"/>
  <c r="C99" i="37" s="1"/>
  <c r="J83" i="37"/>
  <c r="J89" i="37" s="1"/>
  <c r="B98" i="68"/>
  <c r="E72" i="37"/>
  <c r="C74" i="88"/>
  <c r="C74" i="90" s="1"/>
  <c r="A4" i="83"/>
  <c r="H62" i="38"/>
  <c r="G35" i="66"/>
  <c r="D16" i="92"/>
  <c r="D18" i="92" s="1"/>
  <c r="N61" i="52"/>
  <c r="B12" i="81"/>
  <c r="I12" i="81" s="1"/>
  <c r="K12" i="81" s="1"/>
  <c r="N61" i="54"/>
  <c r="G11" i="91"/>
  <c r="G45" i="91"/>
  <c r="H45" i="91" s="1"/>
  <c r="E59" i="55"/>
  <c r="F59" i="53"/>
  <c r="E59" i="53"/>
  <c r="F28" i="91"/>
  <c r="D7" i="88"/>
  <c r="G13" i="91"/>
  <c r="G12" i="91"/>
  <c r="F11" i="91"/>
  <c r="F31" i="91"/>
  <c r="H31" i="91" s="1"/>
  <c r="F33" i="91" s="1"/>
  <c r="H33" i="91" s="1"/>
  <c r="F30" i="91"/>
  <c r="G42" i="91"/>
  <c r="H42" i="91" s="1"/>
  <c r="L33" i="87"/>
  <c r="N33" i="89" s="1"/>
  <c r="D59" i="87"/>
  <c r="E59" i="89" s="1"/>
  <c r="G89" i="81"/>
  <c r="G58" i="80" s="1"/>
  <c r="G59" i="80" s="1"/>
  <c r="G61" i="80" s="1"/>
  <c r="G62" i="80" s="1"/>
  <c r="M63" i="54"/>
  <c r="M60" i="54"/>
  <c r="M36" i="54"/>
  <c r="M47" i="54"/>
  <c r="M41" i="54"/>
  <c r="M33" i="54"/>
  <c r="M52" i="54"/>
  <c r="M31" i="54"/>
  <c r="M57" i="54"/>
  <c r="M42" i="54"/>
  <c r="M55" i="54"/>
  <c r="M49" i="54"/>
  <c r="M53" i="54"/>
  <c r="M38" i="54"/>
  <c r="M56" i="54"/>
  <c r="M50" i="54"/>
  <c r="M37" i="54"/>
  <c r="M43" i="54"/>
  <c r="M54" i="54"/>
  <c r="M61" i="54"/>
  <c r="M32" i="54"/>
  <c r="M35" i="54"/>
  <c r="M45" i="54"/>
  <c r="M46" i="54"/>
  <c r="M44" i="54"/>
  <c r="M62" i="54"/>
  <c r="M8" i="54"/>
  <c r="M51" i="54"/>
  <c r="H32" i="66"/>
  <c r="G33" i="66" s="1"/>
  <c r="E77" i="53"/>
  <c r="F77" i="53" s="1"/>
  <c r="E77" i="55"/>
  <c r="B52" i="79"/>
  <c r="I52" i="79" s="1"/>
  <c r="K52" i="79" s="1"/>
  <c r="C52" i="36" s="1"/>
  <c r="B116" i="84"/>
  <c r="G24" i="91"/>
  <c r="H131" i="36"/>
  <c r="C126" i="74"/>
  <c r="B126" i="74"/>
  <c r="E24" i="53"/>
  <c r="F24" i="53" s="1"/>
  <c r="E24" i="55"/>
  <c r="E40" i="55"/>
  <c r="E40" i="53"/>
  <c r="F40" i="53" s="1"/>
  <c r="E23" i="53"/>
  <c r="F23" i="53" s="1"/>
  <c r="E23" i="55"/>
  <c r="E27" i="53"/>
  <c r="F27" i="53" s="1"/>
  <c r="E27" i="55"/>
  <c r="B113" i="84"/>
  <c r="F29" i="91"/>
  <c r="H29" i="91" s="1"/>
  <c r="D51" i="53"/>
  <c r="E96" i="37"/>
  <c r="C123" i="74"/>
  <c r="B58" i="74"/>
  <c r="B123" i="74" s="1"/>
  <c r="D119" i="46"/>
  <c r="F119" i="46" s="1"/>
  <c r="E119" i="46" s="1"/>
  <c r="A61" i="46" s="1"/>
  <c r="E73" i="68"/>
  <c r="B73" i="68" s="1"/>
  <c r="E55" i="54"/>
  <c r="E55" i="52"/>
  <c r="F55" i="52" s="1"/>
  <c r="F56" i="52"/>
  <c r="G56" i="52" s="1"/>
  <c r="E56" i="52"/>
  <c r="F58" i="52"/>
  <c r="G58" i="52" s="1"/>
  <c r="E58" i="52"/>
  <c r="N49" i="54"/>
  <c r="N49" i="52"/>
  <c r="B13" i="79"/>
  <c r="I13" i="79" s="1"/>
  <c r="K13" i="79" s="1"/>
  <c r="C13" i="36" s="1"/>
  <c r="B16" i="79"/>
  <c r="I16" i="79" s="1"/>
  <c r="K16" i="79" s="1"/>
  <c r="C16" i="36" s="1"/>
  <c r="D17" i="52" s="1"/>
  <c r="E17" i="54" s="1"/>
  <c r="E43" i="87"/>
  <c r="F43" i="87" s="1"/>
  <c r="E43" i="89"/>
  <c r="M44" i="87"/>
  <c r="N44" i="87" s="1"/>
  <c r="N44" i="89"/>
  <c r="F26" i="91"/>
  <c r="C101" i="74"/>
  <c r="G18" i="91"/>
  <c r="G16" i="91"/>
  <c r="G17" i="91"/>
  <c r="I74" i="81"/>
  <c r="K74" i="81" s="1"/>
  <c r="F25" i="91"/>
  <c r="H106" i="36"/>
  <c r="C52" i="75"/>
  <c r="E60" i="88"/>
  <c r="F60" i="88"/>
  <c r="E59" i="88"/>
  <c r="F59" i="88"/>
  <c r="G59" i="88" s="1"/>
  <c r="C72" i="35"/>
  <c r="I51" i="35"/>
  <c r="M57" i="52"/>
  <c r="N57" i="52" s="1"/>
  <c r="B6" i="81"/>
  <c r="N57" i="54"/>
  <c r="E47" i="88"/>
  <c r="F47" i="88" s="1"/>
  <c r="E98" i="68"/>
  <c r="I53" i="85"/>
  <c r="C53" i="38" s="1"/>
  <c r="G58" i="85"/>
  <c r="I58" i="85" s="1"/>
  <c r="C58" i="38" s="1"/>
  <c r="F138" i="62"/>
  <c r="E138" i="62" s="1"/>
  <c r="D169" i="62"/>
  <c r="D162" i="62"/>
  <c r="F162" i="62" s="1"/>
  <c r="E162" i="62" s="1"/>
  <c r="I7" i="85"/>
  <c r="C7" i="38" s="1"/>
  <c r="G20" i="85"/>
  <c r="E96" i="68"/>
  <c r="B49" i="68"/>
  <c r="B96" i="68" s="1"/>
  <c r="C73" i="53"/>
  <c r="C73" i="55" s="1"/>
  <c r="D73" i="55" s="1"/>
  <c r="B52" i="85"/>
  <c r="B59" i="85" s="1"/>
  <c r="B62" i="85" s="1"/>
  <c r="B64" i="85" s="1"/>
  <c r="G48" i="85"/>
  <c r="B62" i="84"/>
  <c r="D52" i="55"/>
  <c r="E60" i="46"/>
  <c r="C105" i="84"/>
  <c r="C110" i="84"/>
  <c r="C64" i="84"/>
  <c r="C106" i="84" s="1"/>
  <c r="I7" i="80"/>
  <c r="I32" i="80" s="1"/>
  <c r="E28" i="55"/>
  <c r="E28" i="53"/>
  <c r="F28" i="53"/>
  <c r="I53" i="80"/>
  <c r="K7" i="79"/>
  <c r="C7" i="36" s="1"/>
  <c r="I36" i="80"/>
  <c r="B45" i="80"/>
  <c r="E43" i="53"/>
  <c r="F43" i="53" s="1"/>
  <c r="E43" i="55"/>
  <c r="I34" i="79"/>
  <c r="I58" i="79" s="1"/>
  <c r="E41" i="55"/>
  <c r="E41" i="53"/>
  <c r="F41" i="53" s="1"/>
  <c r="G45" i="85"/>
  <c r="I45" i="85" s="1"/>
  <c r="C45" i="38" s="1"/>
  <c r="C111" i="38" s="1"/>
  <c r="I71" i="85"/>
  <c r="C77" i="38" s="1"/>
  <c r="G85" i="85"/>
  <c r="I85" i="85" s="1"/>
  <c r="B58" i="79" l="1"/>
  <c r="A1" i="46"/>
  <c r="E34" i="55"/>
  <c r="F34" i="53"/>
  <c r="G34" i="53" s="1"/>
  <c r="E34" i="53"/>
  <c r="H127" i="36"/>
  <c r="H17" i="91"/>
  <c r="J17" i="91" s="1"/>
  <c r="E31" i="55"/>
  <c r="F31" i="53"/>
  <c r="E31" i="53"/>
  <c r="F72" i="53"/>
  <c r="C120" i="38"/>
  <c r="E72" i="55"/>
  <c r="D16" i="2"/>
  <c r="E16" i="2" s="1"/>
  <c r="E17" i="52"/>
  <c r="F17" i="52" s="1"/>
  <c r="D14" i="52"/>
  <c r="C74" i="37"/>
  <c r="D75" i="53" s="1"/>
  <c r="F60" i="53"/>
  <c r="E60" i="53"/>
  <c r="E60" i="55"/>
  <c r="E55" i="55"/>
  <c r="E55" i="53"/>
  <c r="F55" i="53"/>
  <c r="C123" i="38"/>
  <c r="E70" i="53"/>
  <c r="F70" i="53"/>
  <c r="G70" i="53" s="1"/>
  <c r="E70" i="55"/>
  <c r="C12" i="37"/>
  <c r="C102" i="37" s="1"/>
  <c r="L47" i="87"/>
  <c r="N47" i="89" s="1"/>
  <c r="H132" i="36"/>
  <c r="C31" i="36"/>
  <c r="D6" i="2"/>
  <c r="E6" i="2" s="1"/>
  <c r="H18" i="91"/>
  <c r="J18" i="91" s="1"/>
  <c r="F16" i="91"/>
  <c r="H16" i="91" s="1"/>
  <c r="J16" i="91" s="1"/>
  <c r="F24" i="91"/>
  <c r="H24" i="91" s="1"/>
  <c r="J24" i="91" s="1"/>
  <c r="G30" i="91"/>
  <c r="H30" i="91" s="1"/>
  <c r="D32" i="87"/>
  <c r="E32" i="89" s="1"/>
  <c r="H59" i="36"/>
  <c r="H129" i="36" s="1"/>
  <c r="C59" i="74"/>
  <c r="C124" i="74" s="1"/>
  <c r="I31" i="79"/>
  <c r="K31" i="79" s="1"/>
  <c r="B31" i="79"/>
  <c r="E2" i="36"/>
  <c r="B31" i="74"/>
  <c r="B122" i="74" s="1"/>
  <c r="E126" i="36"/>
  <c r="C50" i="53"/>
  <c r="C50" i="55" s="1"/>
  <c r="E49" i="37"/>
  <c r="E97" i="37" s="1"/>
  <c r="H113" i="38"/>
  <c r="H114" i="38"/>
  <c r="H118" i="38"/>
  <c r="E73" i="37"/>
  <c r="C46" i="92"/>
  <c r="C15" i="92"/>
  <c r="C26" i="92" s="1"/>
  <c r="C45" i="92"/>
  <c r="J98" i="37"/>
  <c r="H99" i="37"/>
  <c r="H11" i="91"/>
  <c r="E7" i="88"/>
  <c r="F7" i="88" s="1"/>
  <c r="E7" i="90"/>
  <c r="D17" i="2"/>
  <c r="E17" i="2" s="1"/>
  <c r="D54" i="53"/>
  <c r="E59" i="87"/>
  <c r="F59" i="87" s="1"/>
  <c r="D53" i="52"/>
  <c r="C124" i="38"/>
  <c r="C132" i="38"/>
  <c r="D9" i="2"/>
  <c r="E98" i="37"/>
  <c r="G43" i="91"/>
  <c r="H43" i="91" s="1"/>
  <c r="B105" i="84"/>
  <c r="B110" i="84"/>
  <c r="C127" i="74"/>
  <c r="B101" i="74"/>
  <c r="B127" i="74" s="1"/>
  <c r="E51" i="55"/>
  <c r="E51" i="53"/>
  <c r="F51" i="53" s="1"/>
  <c r="F122" i="46"/>
  <c r="D122" i="46"/>
  <c r="C74" i="53"/>
  <c r="C74" i="55" s="1"/>
  <c r="M33" i="87"/>
  <c r="N33" i="87" s="1"/>
  <c r="C131" i="38"/>
  <c r="F22" i="91"/>
  <c r="M46" i="87"/>
  <c r="N46" i="87" s="1"/>
  <c r="G25" i="91"/>
  <c r="H25" i="91" s="1"/>
  <c r="F20" i="91"/>
  <c r="F21" i="91"/>
  <c r="E54" i="88"/>
  <c r="F54" i="88"/>
  <c r="G54" i="88" s="1"/>
  <c r="K51" i="35"/>
  <c r="C97" i="75"/>
  <c r="B52" i="75"/>
  <c r="B97" i="75" s="1"/>
  <c r="I6" i="81"/>
  <c r="D47" i="55"/>
  <c r="D49" i="62"/>
  <c r="G31" i="85"/>
  <c r="I31" i="85" s="1"/>
  <c r="C31" i="38" s="1"/>
  <c r="C110" i="38" s="1"/>
  <c r="I20" i="85"/>
  <c r="C20" i="38" s="1"/>
  <c r="D50" i="90"/>
  <c r="D74" i="90"/>
  <c r="D172" i="62"/>
  <c r="F169" i="62"/>
  <c r="E169" i="62" s="1"/>
  <c r="B64" i="84"/>
  <c r="B106" i="84" s="1"/>
  <c r="G52" i="85"/>
  <c r="I48" i="85"/>
  <c r="E122" i="46"/>
  <c r="A5" i="46"/>
  <c r="K34" i="79"/>
  <c r="C34" i="36" s="1"/>
  <c r="C58" i="36" s="1"/>
  <c r="C128" i="36" s="1"/>
  <c r="K58" i="79"/>
  <c r="B46" i="80"/>
  <c r="K53" i="80"/>
  <c r="C113" i="36" s="1"/>
  <c r="K7" i="80"/>
  <c r="C67" i="36" s="1"/>
  <c r="C92" i="36" s="1"/>
  <c r="C130" i="36" s="1"/>
  <c r="C143" i="38"/>
  <c r="C91" i="38"/>
  <c r="K36" i="80"/>
  <c r="C96" i="36" s="1"/>
  <c r="I45" i="80"/>
  <c r="K45" i="80" s="1"/>
  <c r="F18" i="66"/>
  <c r="D8" i="52"/>
  <c r="C126" i="38"/>
  <c r="D32" i="52" l="1"/>
  <c r="E32" i="54" s="1"/>
  <c r="F17" i="66"/>
  <c r="F22" i="90"/>
  <c r="G22" i="90" s="1"/>
  <c r="H22" i="90" s="1"/>
  <c r="F18" i="90"/>
  <c r="G18" i="90" s="1"/>
  <c r="H18" i="90" s="1"/>
  <c r="F15" i="90"/>
  <c r="G15" i="90" s="1"/>
  <c r="H15" i="90" s="1"/>
  <c r="F21" i="90"/>
  <c r="G21" i="90" s="1"/>
  <c r="H21" i="90" s="1"/>
  <c r="F17" i="90"/>
  <c r="G17" i="90" s="1"/>
  <c r="H17" i="90" s="1"/>
  <c r="F20" i="90"/>
  <c r="G20" i="90" s="1"/>
  <c r="H20" i="90" s="1"/>
  <c r="F16" i="90"/>
  <c r="G16" i="90" s="1"/>
  <c r="H16" i="90" s="1"/>
  <c r="F19" i="90"/>
  <c r="G19" i="90" s="1"/>
  <c r="H19" i="90" s="1"/>
  <c r="F9" i="90"/>
  <c r="G9" i="90" s="1"/>
  <c r="H9" i="90" s="1"/>
  <c r="F10" i="90"/>
  <c r="G10" i="90" s="1"/>
  <c r="H10" i="90" s="1"/>
  <c r="F11" i="90"/>
  <c r="G11" i="90" s="1"/>
  <c r="H11" i="90" s="1"/>
  <c r="D13" i="53"/>
  <c r="E13" i="55" s="1"/>
  <c r="C127" i="36"/>
  <c r="F66" i="90"/>
  <c r="G66" i="90" s="1"/>
  <c r="H66" i="90" s="1"/>
  <c r="F63" i="90"/>
  <c r="G63" i="90" s="1"/>
  <c r="H63" i="90" s="1"/>
  <c r="F62" i="90"/>
  <c r="G62" i="90" s="1"/>
  <c r="H62" i="90" s="1"/>
  <c r="F65" i="90"/>
  <c r="G65" i="90" s="1"/>
  <c r="H65" i="90" s="1"/>
  <c r="F64" i="90"/>
  <c r="G64" i="90" s="1"/>
  <c r="H64" i="90" s="1"/>
  <c r="F29" i="90"/>
  <c r="G29" i="90" s="1"/>
  <c r="H29" i="90" s="1"/>
  <c r="F33" i="90"/>
  <c r="G33" i="90" s="1"/>
  <c r="H33" i="90" s="1"/>
  <c r="F37" i="90"/>
  <c r="G37" i="90" s="1"/>
  <c r="H37" i="90" s="1"/>
  <c r="F30" i="90"/>
  <c r="G30" i="90" s="1"/>
  <c r="H30" i="90" s="1"/>
  <c r="F32" i="90"/>
  <c r="G32" i="90" s="1"/>
  <c r="H32" i="90" s="1"/>
  <c r="F36" i="90"/>
  <c r="G36" i="90" s="1"/>
  <c r="H36" i="90" s="1"/>
  <c r="F35" i="90"/>
  <c r="G35" i="90" s="1"/>
  <c r="H35" i="90" s="1"/>
  <c r="F38" i="90"/>
  <c r="G38" i="90" s="1"/>
  <c r="H38" i="90" s="1"/>
  <c r="F31" i="90"/>
  <c r="G31" i="90" s="1"/>
  <c r="H31" i="90" s="1"/>
  <c r="F34" i="90"/>
  <c r="G34" i="90" s="1"/>
  <c r="H34" i="90" s="1"/>
  <c r="E14" i="52"/>
  <c r="F14" i="52" s="1"/>
  <c r="E14" i="54"/>
  <c r="E75" i="55"/>
  <c r="E75" i="53"/>
  <c r="F75" i="53" s="1"/>
  <c r="D60" i="87"/>
  <c r="G20" i="91"/>
  <c r="H20" i="91" s="1"/>
  <c r="J20" i="91" s="1"/>
  <c r="G10" i="91"/>
  <c r="E32" i="87"/>
  <c r="F32" i="87" s="1"/>
  <c r="G36" i="91"/>
  <c r="H36" i="91" s="1"/>
  <c r="G38" i="91"/>
  <c r="H38" i="91" s="1"/>
  <c r="G39" i="91"/>
  <c r="H39" i="91" s="1"/>
  <c r="G28" i="91"/>
  <c r="H28" i="91" s="1"/>
  <c r="B59" i="74"/>
  <c r="B124" i="74" s="1"/>
  <c r="G31" i="87"/>
  <c r="C48" i="38"/>
  <c r="D4" i="92"/>
  <c r="D5" i="92"/>
  <c r="O54" i="87"/>
  <c r="F68" i="90"/>
  <c r="G68" i="90" s="1"/>
  <c r="H68" i="90" s="1"/>
  <c r="F40" i="90"/>
  <c r="G40" i="90" s="1"/>
  <c r="H40" i="90" s="1"/>
  <c r="F51" i="90"/>
  <c r="G51" i="90" s="1"/>
  <c r="H51" i="90" s="1"/>
  <c r="F78" i="90"/>
  <c r="G78" i="90" s="1"/>
  <c r="H78" i="90" s="1"/>
  <c r="F14" i="90"/>
  <c r="G14" i="90" s="1"/>
  <c r="H14" i="90" s="1"/>
  <c r="F59" i="90"/>
  <c r="G59" i="90" s="1"/>
  <c r="H59" i="90" s="1"/>
  <c r="F60" i="90"/>
  <c r="G60" i="90" s="1"/>
  <c r="H60" i="90" s="1"/>
  <c r="F54" i="90"/>
  <c r="G54" i="90" s="1"/>
  <c r="H54" i="90" s="1"/>
  <c r="F12" i="90"/>
  <c r="G12" i="90" s="1"/>
  <c r="H12" i="90" s="1"/>
  <c r="F67" i="90"/>
  <c r="G67" i="90" s="1"/>
  <c r="H67" i="90" s="1"/>
  <c r="F28" i="90"/>
  <c r="G28" i="90" s="1"/>
  <c r="H28" i="90" s="1"/>
  <c r="F46" i="90"/>
  <c r="G46" i="90" s="1"/>
  <c r="H46" i="90" s="1"/>
  <c r="F43" i="90"/>
  <c r="G43" i="90" s="1"/>
  <c r="H43" i="90" s="1"/>
  <c r="F47" i="90"/>
  <c r="G47" i="90" s="1"/>
  <c r="H47" i="90" s="1"/>
  <c r="F56" i="90"/>
  <c r="G56" i="90" s="1"/>
  <c r="H56" i="90" s="1"/>
  <c r="F27" i="90"/>
  <c r="G27" i="90" s="1"/>
  <c r="H27" i="90" s="1"/>
  <c r="F41" i="90"/>
  <c r="G41" i="90" s="1"/>
  <c r="H41" i="90" s="1"/>
  <c r="F8" i="90"/>
  <c r="G8" i="90" s="1"/>
  <c r="H8" i="90" s="1"/>
  <c r="F44" i="90"/>
  <c r="G44" i="90" s="1"/>
  <c r="H44" i="90" s="1"/>
  <c r="F69" i="90"/>
  <c r="G69" i="90" s="1"/>
  <c r="H69" i="90" s="1"/>
  <c r="F13" i="90"/>
  <c r="G13" i="90" s="1"/>
  <c r="H13" i="90" s="1"/>
  <c r="F77" i="90"/>
  <c r="G77" i="90" s="1"/>
  <c r="H77" i="90" s="1"/>
  <c r="F49" i="90"/>
  <c r="G49" i="90" s="1"/>
  <c r="H49" i="90" s="1"/>
  <c r="F7" i="90"/>
  <c r="G7" i="90" s="1"/>
  <c r="H7" i="90" s="1"/>
  <c r="F61" i="90"/>
  <c r="G61" i="90" s="1"/>
  <c r="H61" i="90" s="1"/>
  <c r="F48" i="90"/>
  <c r="G48" i="90" s="1"/>
  <c r="H48" i="90" s="1"/>
  <c r="F24" i="90"/>
  <c r="G24" i="90" s="1"/>
  <c r="H24" i="90" s="1"/>
  <c r="F23" i="90"/>
  <c r="G23" i="90" s="1"/>
  <c r="H23" i="90" s="1"/>
  <c r="F70" i="90"/>
  <c r="G70" i="90" s="1"/>
  <c r="H70" i="90" s="1"/>
  <c r="F55" i="90"/>
  <c r="G55" i="90" s="1"/>
  <c r="H55" i="90" s="1"/>
  <c r="F71" i="90"/>
  <c r="G71" i="90" s="1"/>
  <c r="H71" i="90" s="1"/>
  <c r="B59" i="79"/>
  <c r="E53" i="54"/>
  <c r="E53" i="52"/>
  <c r="F53" i="52" s="1"/>
  <c r="E54" i="55"/>
  <c r="F54" i="53"/>
  <c r="E54" i="53"/>
  <c r="C121" i="38"/>
  <c r="G28" i="87"/>
  <c r="C51" i="75"/>
  <c r="B51" i="75" s="1"/>
  <c r="B51" i="81" s="1"/>
  <c r="B52" i="81" s="1"/>
  <c r="I52" i="81" s="1"/>
  <c r="K52" i="81" s="1"/>
  <c r="H51" i="37"/>
  <c r="D52" i="88" s="1"/>
  <c r="E52" i="90" s="1"/>
  <c r="M47" i="87"/>
  <c r="N47" i="87" s="1"/>
  <c r="G27" i="87"/>
  <c r="G48" i="87"/>
  <c r="F53" i="90"/>
  <c r="G53" i="90" s="1"/>
  <c r="H53" i="90" s="1"/>
  <c r="F53" i="88"/>
  <c r="E53" i="88"/>
  <c r="K6" i="81"/>
  <c r="E47" i="53"/>
  <c r="F47" i="53" s="1"/>
  <c r="D74" i="55"/>
  <c r="D50" i="55"/>
  <c r="F44" i="66"/>
  <c r="F42" i="66"/>
  <c r="F45" i="66"/>
  <c r="F43" i="66"/>
  <c r="D178" i="62"/>
  <c r="F172" i="62"/>
  <c r="E172" i="62" s="1"/>
  <c r="D73" i="62"/>
  <c r="F49" i="62"/>
  <c r="E49" i="62" s="1"/>
  <c r="D80" i="62"/>
  <c r="I59" i="79"/>
  <c r="K59" i="79" s="1"/>
  <c r="G59" i="85"/>
  <c r="I52" i="85"/>
  <c r="C52" i="38" s="1"/>
  <c r="C105" i="36"/>
  <c r="C131" i="36" s="1"/>
  <c r="L37" i="52"/>
  <c r="C115" i="38"/>
  <c r="C117" i="38"/>
  <c r="D12" i="2"/>
  <c r="E12" i="2" s="1"/>
  <c r="L8" i="52"/>
  <c r="C129" i="38"/>
  <c r="K32" i="80"/>
  <c r="I46" i="80"/>
  <c r="G30" i="66"/>
  <c r="F16" i="66"/>
  <c r="E8" i="54"/>
  <c r="E8" i="52"/>
  <c r="F8" i="52" s="1"/>
  <c r="D35" i="52"/>
  <c r="L54" i="52"/>
  <c r="E13" i="53" l="1"/>
  <c r="F13" i="53" s="1"/>
  <c r="E60" i="89"/>
  <c r="E60" i="87"/>
  <c r="F60" i="87" s="1"/>
  <c r="D59" i="52"/>
  <c r="E59" i="54" s="1"/>
  <c r="I51" i="81"/>
  <c r="K51" i="81" s="1"/>
  <c r="C51" i="37" s="1"/>
  <c r="D52" i="53" s="1"/>
  <c r="E52" i="53" s="1"/>
  <c r="L46" i="52"/>
  <c r="F24" i="66"/>
  <c r="L33" i="52"/>
  <c r="N33" i="54" s="1"/>
  <c r="C6" i="37"/>
  <c r="F29" i="66" s="1"/>
  <c r="H29" i="66" s="1"/>
  <c r="E72" i="88"/>
  <c r="F72" i="88"/>
  <c r="E9" i="2"/>
  <c r="C52" i="37"/>
  <c r="D53" i="53" s="1"/>
  <c r="F178" i="62"/>
  <c r="C1" i="62" s="1"/>
  <c r="H123" i="46"/>
  <c r="E52" i="88"/>
  <c r="F52" i="88"/>
  <c r="F73" i="62"/>
  <c r="D83" i="62"/>
  <c r="F80" i="62"/>
  <c r="E80" i="62" s="1"/>
  <c r="I59" i="85"/>
  <c r="C59" i="38" s="1"/>
  <c r="C112" i="38" s="1"/>
  <c r="G62" i="85"/>
  <c r="E35" i="54"/>
  <c r="E35" i="52"/>
  <c r="F35" i="52"/>
  <c r="E32" i="52"/>
  <c r="F32" i="52" s="1"/>
  <c r="G24" i="66"/>
  <c r="K46" i="80"/>
  <c r="G18" i="66"/>
  <c r="H18" i="66" s="1"/>
  <c r="J18" i="66" s="1"/>
  <c r="F26" i="66"/>
  <c r="G42" i="66"/>
  <c r="H42" i="66" s="1"/>
  <c r="G17" i="66"/>
  <c r="H17" i="66" s="1"/>
  <c r="J17" i="66" s="1"/>
  <c r="C106" i="36"/>
  <c r="C132" i="36" s="1"/>
  <c r="G16" i="66"/>
  <c r="H16" i="66" s="1"/>
  <c r="J16" i="66" s="1"/>
  <c r="N37" i="52"/>
  <c r="M37" i="52"/>
  <c r="N37" i="54"/>
  <c r="N8" i="54"/>
  <c r="M8" i="52"/>
  <c r="N8" i="52" s="1"/>
  <c r="C59" i="36"/>
  <c r="C129" i="36" s="1"/>
  <c r="N54" i="52"/>
  <c r="N54" i="54"/>
  <c r="M54" i="52"/>
  <c r="F24" i="89" l="1"/>
  <c r="G24" i="89" s="1"/>
  <c r="H24" i="89" s="1"/>
  <c r="F34" i="89"/>
  <c r="G34" i="89" s="1"/>
  <c r="H34" i="89" s="1"/>
  <c r="F18" i="89"/>
  <c r="G18" i="89" s="1"/>
  <c r="H18" i="89" s="1"/>
  <c r="F21" i="89"/>
  <c r="G21" i="89" s="1"/>
  <c r="H21" i="89" s="1"/>
  <c r="F19" i="89"/>
  <c r="G19" i="89" s="1"/>
  <c r="H19" i="89" s="1"/>
  <c r="F20" i="89"/>
  <c r="G20" i="89" s="1"/>
  <c r="H20" i="89" s="1"/>
  <c r="F26" i="89"/>
  <c r="G26" i="89" s="1"/>
  <c r="H26" i="89" s="1"/>
  <c r="F9" i="89"/>
  <c r="G9" i="89" s="1"/>
  <c r="H9" i="89" s="1"/>
  <c r="F11" i="89"/>
  <c r="G11" i="89" s="1"/>
  <c r="H11" i="89" s="1"/>
  <c r="F10" i="89"/>
  <c r="G10" i="89" s="1"/>
  <c r="H10" i="89" s="1"/>
  <c r="F36" i="89"/>
  <c r="G36" i="89" s="1"/>
  <c r="H36" i="89" s="1"/>
  <c r="F39" i="89"/>
  <c r="G39" i="89" s="1"/>
  <c r="H39" i="89" s="1"/>
  <c r="F38" i="89"/>
  <c r="G38" i="89" s="1"/>
  <c r="H38" i="89" s="1"/>
  <c r="F37" i="89"/>
  <c r="G37" i="89" s="1"/>
  <c r="H37" i="89" s="1"/>
  <c r="F28" i="89"/>
  <c r="G28" i="89" s="1"/>
  <c r="H28" i="89" s="1"/>
  <c r="F15" i="89"/>
  <c r="G15" i="89" s="1"/>
  <c r="H15" i="89" s="1"/>
  <c r="F17" i="89"/>
  <c r="G17" i="89" s="1"/>
  <c r="H17" i="89" s="1"/>
  <c r="F13" i="89"/>
  <c r="G13" i="89" s="1"/>
  <c r="H13" i="89" s="1"/>
  <c r="F23" i="89"/>
  <c r="G23" i="89" s="1"/>
  <c r="H23" i="89" s="1"/>
  <c r="F14" i="89"/>
  <c r="G14" i="89" s="1"/>
  <c r="H14" i="89" s="1"/>
  <c r="F16" i="89"/>
  <c r="G16" i="89" s="1"/>
  <c r="H16" i="89" s="1"/>
  <c r="F22" i="89"/>
  <c r="G22" i="89" s="1"/>
  <c r="H22" i="89" s="1"/>
  <c r="F25" i="89"/>
  <c r="G25" i="89" s="1"/>
  <c r="H25" i="89" s="1"/>
  <c r="F12" i="89"/>
  <c r="G12" i="89" s="1"/>
  <c r="H12" i="89" s="1"/>
  <c r="F47" i="89"/>
  <c r="G47" i="89" s="1"/>
  <c r="H47" i="89" s="1"/>
  <c r="F52" i="89"/>
  <c r="G52" i="89" s="1"/>
  <c r="H52" i="89" s="1"/>
  <c r="F58" i="89"/>
  <c r="G58" i="89" s="1"/>
  <c r="H58" i="89" s="1"/>
  <c r="F51" i="89"/>
  <c r="G51" i="89" s="1"/>
  <c r="H51" i="89" s="1"/>
  <c r="F60" i="89"/>
  <c r="G60" i="89" s="1"/>
  <c r="H60" i="89" s="1"/>
  <c r="F30" i="89"/>
  <c r="G30" i="89" s="1"/>
  <c r="H30" i="89" s="1"/>
  <c r="F32" i="89"/>
  <c r="G32" i="89" s="1"/>
  <c r="H32" i="89" s="1"/>
  <c r="F8" i="89"/>
  <c r="G8" i="89" s="1"/>
  <c r="H8" i="89" s="1"/>
  <c r="F40" i="89"/>
  <c r="G40" i="89" s="1"/>
  <c r="H40" i="89" s="1"/>
  <c r="F54" i="89"/>
  <c r="G54" i="89" s="1"/>
  <c r="H54" i="89" s="1"/>
  <c r="F49" i="89"/>
  <c r="G49" i="89" s="1"/>
  <c r="H49" i="89" s="1"/>
  <c r="F41" i="89"/>
  <c r="G41" i="89" s="1"/>
  <c r="H41" i="89" s="1"/>
  <c r="F45" i="89"/>
  <c r="G45" i="89" s="1"/>
  <c r="H45" i="89" s="1"/>
  <c r="F31" i="89"/>
  <c r="G31" i="89" s="1"/>
  <c r="H31" i="89" s="1"/>
  <c r="F57" i="89"/>
  <c r="G57" i="89" s="1"/>
  <c r="H57" i="89" s="1"/>
  <c r="F46" i="89"/>
  <c r="G46" i="89" s="1"/>
  <c r="H46" i="89" s="1"/>
  <c r="F56" i="89"/>
  <c r="G56" i="89" s="1"/>
  <c r="H56" i="89" s="1"/>
  <c r="F42" i="89"/>
  <c r="G42" i="89" s="1"/>
  <c r="H42" i="89" s="1"/>
  <c r="F55" i="89"/>
  <c r="G55" i="89" s="1"/>
  <c r="H55" i="89" s="1"/>
  <c r="F53" i="89"/>
  <c r="G53" i="89" s="1"/>
  <c r="H53" i="89" s="1"/>
  <c r="F48" i="89"/>
  <c r="G48" i="89" s="1"/>
  <c r="H48" i="89" s="1"/>
  <c r="F35" i="89"/>
  <c r="G35" i="89" s="1"/>
  <c r="H35" i="89" s="1"/>
  <c r="F50" i="89"/>
  <c r="G50" i="89" s="1"/>
  <c r="H50" i="89" s="1"/>
  <c r="F43" i="89"/>
  <c r="G43" i="89" s="1"/>
  <c r="H43" i="89" s="1"/>
  <c r="F27" i="89"/>
  <c r="G27" i="89" s="1"/>
  <c r="H27" i="89" s="1"/>
  <c r="F44" i="89"/>
  <c r="G44" i="89" s="1"/>
  <c r="H44" i="89" s="1"/>
  <c r="F29" i="89"/>
  <c r="G29" i="89" s="1"/>
  <c r="H29" i="89" s="1"/>
  <c r="F59" i="89"/>
  <c r="G59" i="89" s="1"/>
  <c r="H59" i="89" s="1"/>
  <c r="M46" i="52"/>
  <c r="N46" i="52" s="1"/>
  <c r="N46" i="54"/>
  <c r="H24" i="66"/>
  <c r="J24" i="66" s="1"/>
  <c r="F52" i="53"/>
  <c r="E52" i="55"/>
  <c r="E53" i="55"/>
  <c r="F53" i="53"/>
  <c r="E53" i="53"/>
  <c r="L47" i="52"/>
  <c r="F75" i="90"/>
  <c r="G75" i="90" s="1"/>
  <c r="H75" i="90" s="1"/>
  <c r="F72" i="90"/>
  <c r="G72" i="90" s="1"/>
  <c r="H72" i="90" s="1"/>
  <c r="E75" i="88"/>
  <c r="F75" i="88" s="1"/>
  <c r="E178" i="62"/>
  <c r="I123" i="46" s="1"/>
  <c r="J123" i="46"/>
  <c r="F28" i="66"/>
  <c r="G45" i="66"/>
  <c r="H45" i="66" s="1"/>
  <c r="D7" i="53"/>
  <c r="F31" i="66"/>
  <c r="H31" i="66" s="1"/>
  <c r="F33" i="66" s="1"/>
  <c r="H33" i="66" s="1"/>
  <c r="G12" i="66"/>
  <c r="C101" i="37"/>
  <c r="G11" i="66"/>
  <c r="F11" i="66"/>
  <c r="G13" i="66"/>
  <c r="F30" i="66"/>
  <c r="H30" i="66" s="1"/>
  <c r="D89" i="62"/>
  <c r="F83" i="62"/>
  <c r="E83" i="62" s="1"/>
  <c r="I62" i="85"/>
  <c r="G64" i="85"/>
  <c r="I64" i="85" s="1"/>
  <c r="C64" i="38" s="1"/>
  <c r="D10" i="2" s="1"/>
  <c r="E10" i="2" s="1"/>
  <c r="G28" i="66"/>
  <c r="G20" i="66"/>
  <c r="G39" i="66"/>
  <c r="H39" i="66" s="1"/>
  <c r="G36" i="66"/>
  <c r="H36" i="66" s="1"/>
  <c r="G38" i="66"/>
  <c r="H38" i="66" s="1"/>
  <c r="F22" i="66"/>
  <c r="F21" i="66"/>
  <c r="G43" i="66"/>
  <c r="H43" i="66" s="1"/>
  <c r="F20" i="66"/>
  <c r="E59" i="52"/>
  <c r="F59" i="52" s="1"/>
  <c r="M33" i="52"/>
  <c r="N33" i="52" s="1"/>
  <c r="D60" i="52"/>
  <c r="M47" i="52" l="1"/>
  <c r="N47" i="52" s="1"/>
  <c r="N47" i="54"/>
  <c r="E60" i="54"/>
  <c r="F34" i="54" s="1"/>
  <c r="G34" i="54" s="1"/>
  <c r="H34" i="54" s="1"/>
  <c r="G31" i="52"/>
  <c r="A4" i="85"/>
  <c r="C62" i="38"/>
  <c r="O54" i="52"/>
  <c r="G28" i="52"/>
  <c r="F52" i="90"/>
  <c r="G52" i="90" s="1"/>
  <c r="H52" i="90" s="1"/>
  <c r="H28" i="66"/>
  <c r="F89" i="62"/>
  <c r="A1" i="62" s="1"/>
  <c r="D123" i="46"/>
  <c r="E7" i="53"/>
  <c r="F7" i="53" s="1"/>
  <c r="E7" i="55"/>
  <c r="H11" i="66"/>
  <c r="G48" i="52"/>
  <c r="G27" i="52"/>
  <c r="H20" i="66"/>
  <c r="J20" i="66" s="1"/>
  <c r="E60" i="52"/>
  <c r="F60" i="52" s="1"/>
  <c r="G10" i="66"/>
  <c r="F21" i="55" l="1"/>
  <c r="G21" i="55" s="1"/>
  <c r="H21" i="55" s="1"/>
  <c r="F19" i="55"/>
  <c r="G19" i="55" s="1"/>
  <c r="H19" i="55" s="1"/>
  <c r="F17" i="55"/>
  <c r="G17" i="55" s="1"/>
  <c r="H17" i="55" s="1"/>
  <c r="F15" i="55"/>
  <c r="G15" i="55" s="1"/>
  <c r="H15" i="55" s="1"/>
  <c r="F22" i="55"/>
  <c r="G22" i="55" s="1"/>
  <c r="H22" i="55" s="1"/>
  <c r="F20" i="55"/>
  <c r="G20" i="55" s="1"/>
  <c r="H20" i="55" s="1"/>
  <c r="F18" i="55"/>
  <c r="G18" i="55" s="1"/>
  <c r="H18" i="55" s="1"/>
  <c r="F16" i="55"/>
  <c r="G16" i="55" s="1"/>
  <c r="H16" i="55" s="1"/>
  <c r="F10" i="55"/>
  <c r="G10" i="55" s="1"/>
  <c r="H10" i="55" s="1"/>
  <c r="F11" i="55"/>
  <c r="G11" i="55" s="1"/>
  <c r="H11" i="55" s="1"/>
  <c r="F9" i="55"/>
  <c r="G9" i="55" s="1"/>
  <c r="H9" i="55" s="1"/>
  <c r="F12" i="55"/>
  <c r="G12" i="55" s="1"/>
  <c r="H12" i="55" s="1"/>
  <c r="F24" i="54"/>
  <c r="G24" i="54" s="1"/>
  <c r="H24" i="54" s="1"/>
  <c r="F25" i="54"/>
  <c r="G25" i="54" s="1"/>
  <c r="H25" i="54" s="1"/>
  <c r="F19" i="54"/>
  <c r="G19" i="54" s="1"/>
  <c r="H19" i="54" s="1"/>
  <c r="F21" i="54"/>
  <c r="G21" i="54" s="1"/>
  <c r="H21" i="54" s="1"/>
  <c r="F20" i="54"/>
  <c r="G20" i="54" s="1"/>
  <c r="H20" i="54" s="1"/>
  <c r="F18" i="54"/>
  <c r="G18" i="54" s="1"/>
  <c r="H18" i="54" s="1"/>
  <c r="F9" i="54"/>
  <c r="G9" i="54" s="1"/>
  <c r="H9" i="54" s="1"/>
  <c r="F10" i="54"/>
  <c r="G10" i="54" s="1"/>
  <c r="H10" i="54" s="1"/>
  <c r="F11" i="54"/>
  <c r="G11" i="54" s="1"/>
  <c r="H11" i="54" s="1"/>
  <c r="F65" i="55"/>
  <c r="G65" i="55" s="1"/>
  <c r="H65" i="55" s="1"/>
  <c r="F63" i="55"/>
  <c r="G63" i="55" s="1"/>
  <c r="H63" i="55" s="1"/>
  <c r="F64" i="55"/>
  <c r="G64" i="55" s="1"/>
  <c r="H64" i="55" s="1"/>
  <c r="F62" i="55"/>
  <c r="G62" i="55" s="1"/>
  <c r="H62" i="55" s="1"/>
  <c r="F58" i="55"/>
  <c r="G58" i="55" s="1"/>
  <c r="H58" i="55" s="1"/>
  <c r="F57" i="55"/>
  <c r="G57" i="55" s="1"/>
  <c r="H57" i="55" s="1"/>
  <c r="F59" i="55"/>
  <c r="G59" i="55" s="1"/>
  <c r="H59" i="55" s="1"/>
  <c r="F67" i="55"/>
  <c r="G67" i="55" s="1"/>
  <c r="H67" i="55" s="1"/>
  <c r="F69" i="55"/>
  <c r="G69" i="55" s="1"/>
  <c r="H69" i="55" s="1"/>
  <c r="F66" i="55"/>
  <c r="G66" i="55" s="1"/>
  <c r="H66" i="55" s="1"/>
  <c r="F56" i="55"/>
  <c r="G56" i="55" s="1"/>
  <c r="H56" i="55" s="1"/>
  <c r="F68" i="55"/>
  <c r="G68" i="55" s="1"/>
  <c r="H68" i="55" s="1"/>
  <c r="F70" i="55"/>
  <c r="G70" i="55" s="1"/>
  <c r="H70" i="55" s="1"/>
  <c r="F55" i="55"/>
  <c r="G55" i="55" s="1"/>
  <c r="H55" i="55" s="1"/>
  <c r="F72" i="55"/>
  <c r="G72" i="55" s="1"/>
  <c r="H72" i="55" s="1"/>
  <c r="F54" i="55"/>
  <c r="G54" i="55" s="1"/>
  <c r="H54" i="55" s="1"/>
  <c r="F35" i="55"/>
  <c r="G35" i="55" s="1"/>
  <c r="H35" i="55" s="1"/>
  <c r="F30" i="55"/>
  <c r="G30" i="55" s="1"/>
  <c r="H30" i="55" s="1"/>
  <c r="F34" i="55"/>
  <c r="G34" i="55" s="1"/>
  <c r="H34" i="55" s="1"/>
  <c r="F38" i="55"/>
  <c r="G38" i="55" s="1"/>
  <c r="H38" i="55" s="1"/>
  <c r="F31" i="55"/>
  <c r="G31" i="55" s="1"/>
  <c r="H31" i="55" s="1"/>
  <c r="F32" i="55"/>
  <c r="G32" i="55" s="1"/>
  <c r="H32" i="55" s="1"/>
  <c r="F36" i="55"/>
  <c r="G36" i="55" s="1"/>
  <c r="H36" i="55" s="1"/>
  <c r="F37" i="55"/>
  <c r="G37" i="55" s="1"/>
  <c r="H37" i="55" s="1"/>
  <c r="F33" i="55"/>
  <c r="G33" i="55" s="1"/>
  <c r="H33" i="55" s="1"/>
  <c r="F37" i="54"/>
  <c r="G37" i="54" s="1"/>
  <c r="H37" i="54" s="1"/>
  <c r="F39" i="54"/>
  <c r="G39" i="54" s="1"/>
  <c r="H39" i="54" s="1"/>
  <c r="F36" i="54"/>
  <c r="G36" i="54" s="1"/>
  <c r="H36" i="54" s="1"/>
  <c r="F38" i="54"/>
  <c r="G38" i="54" s="1"/>
  <c r="H38" i="54" s="1"/>
  <c r="F28" i="54"/>
  <c r="G28" i="54" s="1"/>
  <c r="H28" i="54" s="1"/>
  <c r="F17" i="54"/>
  <c r="G17" i="54" s="1"/>
  <c r="H17" i="54" s="1"/>
  <c r="F13" i="54"/>
  <c r="G13" i="54" s="1"/>
  <c r="H13" i="54" s="1"/>
  <c r="F23" i="54"/>
  <c r="G23" i="54" s="1"/>
  <c r="H23" i="54" s="1"/>
  <c r="F12" i="54"/>
  <c r="G12" i="54" s="1"/>
  <c r="H12" i="54" s="1"/>
  <c r="F22" i="54"/>
  <c r="G22" i="54" s="1"/>
  <c r="H22" i="54" s="1"/>
  <c r="F16" i="54"/>
  <c r="G16" i="54" s="1"/>
  <c r="H16" i="54" s="1"/>
  <c r="F14" i="54"/>
  <c r="G14" i="54" s="1"/>
  <c r="H14" i="54" s="1"/>
  <c r="F15" i="54"/>
  <c r="G15" i="54" s="1"/>
  <c r="H15" i="54" s="1"/>
  <c r="D13" i="2"/>
  <c r="E13" i="2" s="1"/>
  <c r="C113" i="38"/>
  <c r="C118" i="38"/>
  <c r="C114" i="38"/>
  <c r="E89" i="62"/>
  <c r="E123" i="46" s="1"/>
  <c r="F123" i="46"/>
  <c r="F27" i="55"/>
  <c r="G27" i="55" s="1"/>
  <c r="H27" i="55" s="1"/>
  <c r="F8" i="55"/>
  <c r="G8" i="55" s="1"/>
  <c r="H8" i="55" s="1"/>
  <c r="F75" i="55"/>
  <c r="G75" i="55" s="1"/>
  <c r="H75" i="55" s="1"/>
  <c r="F47" i="55"/>
  <c r="G47" i="55" s="1"/>
  <c r="H47" i="55" s="1"/>
  <c r="F61" i="55"/>
  <c r="G61" i="55" s="1"/>
  <c r="H61" i="55" s="1"/>
  <c r="F52" i="55"/>
  <c r="G52" i="55" s="1"/>
  <c r="H52" i="55" s="1"/>
  <c r="F53" i="55"/>
  <c r="G53" i="55" s="1"/>
  <c r="H53" i="55" s="1"/>
  <c r="F44" i="55"/>
  <c r="G44" i="55" s="1"/>
  <c r="H44" i="55" s="1"/>
  <c r="F29" i="55"/>
  <c r="G29" i="55" s="1"/>
  <c r="H29" i="55" s="1"/>
  <c r="F7" i="55"/>
  <c r="G7" i="55" s="1"/>
  <c r="H7" i="55" s="1"/>
  <c r="F48" i="55"/>
  <c r="G48" i="55" s="1"/>
  <c r="H48" i="55" s="1"/>
  <c r="F77" i="55"/>
  <c r="G77" i="55" s="1"/>
  <c r="H77" i="55" s="1"/>
  <c r="F28" i="55"/>
  <c r="G28" i="55" s="1"/>
  <c r="H28" i="55" s="1"/>
  <c r="F23" i="55"/>
  <c r="G23" i="55" s="1"/>
  <c r="H23" i="55" s="1"/>
  <c r="F41" i="55"/>
  <c r="G41" i="55" s="1"/>
  <c r="H41" i="55" s="1"/>
  <c r="F40" i="55"/>
  <c r="G40" i="55" s="1"/>
  <c r="H40" i="55" s="1"/>
  <c r="F60" i="55"/>
  <c r="G60" i="55" s="1"/>
  <c r="H60" i="55" s="1"/>
  <c r="F13" i="55"/>
  <c r="G13" i="55" s="1"/>
  <c r="H13" i="55" s="1"/>
  <c r="F14" i="55"/>
  <c r="G14" i="55" s="1"/>
  <c r="H14" i="55" s="1"/>
  <c r="F24" i="55"/>
  <c r="G24" i="55" s="1"/>
  <c r="H24" i="55" s="1"/>
  <c r="F43" i="55"/>
  <c r="G43" i="55" s="1"/>
  <c r="H43" i="55" s="1"/>
  <c r="F78" i="55"/>
  <c r="G78" i="55" s="1"/>
  <c r="H78" i="55" s="1"/>
  <c r="F51" i="55"/>
  <c r="G51" i="55" s="1"/>
  <c r="H51" i="55" s="1"/>
  <c r="F59" i="54"/>
  <c r="G59" i="54" s="1"/>
  <c r="H59" i="54" s="1"/>
  <c r="F55" i="54"/>
  <c r="G55" i="54" s="1"/>
  <c r="H55" i="54" s="1"/>
  <c r="F57" i="54"/>
  <c r="G57" i="54" s="1"/>
  <c r="H57" i="54" s="1"/>
  <c r="F56" i="54"/>
  <c r="G56" i="54" s="1"/>
  <c r="H56" i="54" s="1"/>
  <c r="F54" i="54"/>
  <c r="G54" i="54" s="1"/>
  <c r="H54" i="54" s="1"/>
  <c r="F58" i="54"/>
  <c r="G58" i="54" s="1"/>
  <c r="H58" i="54" s="1"/>
  <c r="F60" i="54"/>
  <c r="G60" i="54" s="1"/>
  <c r="H60" i="54" s="1"/>
  <c r="F47" i="54"/>
  <c r="G47" i="54" s="1"/>
  <c r="H47" i="54" s="1"/>
  <c r="F50" i="54"/>
  <c r="G50" i="54" s="1"/>
  <c r="H50" i="54" s="1"/>
  <c r="F53" i="54"/>
  <c r="G53" i="54" s="1"/>
  <c r="H53" i="54" s="1"/>
  <c r="F52" i="54"/>
  <c r="G52" i="54" s="1"/>
  <c r="H52" i="54" s="1"/>
  <c r="F31" i="54"/>
  <c r="G31" i="54" s="1"/>
  <c r="H31" i="54" s="1"/>
  <c r="F51" i="54"/>
  <c r="G51" i="54" s="1"/>
  <c r="H51" i="54" s="1"/>
  <c r="F29" i="54"/>
  <c r="G29" i="54" s="1"/>
  <c r="H29" i="54" s="1"/>
  <c r="F46" i="54"/>
  <c r="G46" i="54" s="1"/>
  <c r="H46" i="54" s="1"/>
  <c r="F42" i="54"/>
  <c r="G42" i="54" s="1"/>
  <c r="H42" i="54" s="1"/>
  <c r="F41" i="54"/>
  <c r="G41" i="54" s="1"/>
  <c r="H41" i="54" s="1"/>
  <c r="F48" i="54"/>
  <c r="G48" i="54" s="1"/>
  <c r="H48" i="54" s="1"/>
  <c r="F30" i="54"/>
  <c r="G30" i="54" s="1"/>
  <c r="H30" i="54" s="1"/>
  <c r="F45" i="54"/>
  <c r="G45" i="54" s="1"/>
  <c r="H45" i="54" s="1"/>
  <c r="F44" i="54"/>
  <c r="G44" i="54" s="1"/>
  <c r="H44" i="54" s="1"/>
  <c r="F40" i="54"/>
  <c r="G40" i="54" s="1"/>
  <c r="H40" i="54" s="1"/>
  <c r="F49" i="54"/>
  <c r="G49" i="54" s="1"/>
  <c r="H49" i="54" s="1"/>
  <c r="F43" i="54"/>
  <c r="G43" i="54" s="1"/>
  <c r="H43" i="54" s="1"/>
  <c r="F27" i="54"/>
  <c r="G27" i="54" s="1"/>
  <c r="H27" i="54" s="1"/>
  <c r="F26" i="54"/>
  <c r="G26" i="54" s="1"/>
  <c r="H26" i="54" s="1"/>
  <c r="F8" i="54"/>
  <c r="G8" i="54" s="1"/>
  <c r="H8" i="54" s="1"/>
  <c r="F32" i="54"/>
  <c r="G32" i="54" s="1"/>
  <c r="H32" i="54" s="1"/>
  <c r="F35" i="54"/>
  <c r="G35" i="54" s="1"/>
  <c r="H35" i="54" s="1"/>
  <c r="B25" i="69" l="1"/>
  <c r="B25" i="35" s="1"/>
  <c r="I25" i="35" s="1"/>
  <c r="K25" i="35" s="1"/>
  <c r="H25" i="37" s="1"/>
  <c r="C41" i="69"/>
  <c r="C44" i="69" s="1"/>
  <c r="B24" i="69"/>
  <c r="C25" i="75" l="1"/>
  <c r="B25" i="75" s="1"/>
  <c r="B25" i="81" s="1"/>
  <c r="I25" i="81" s="1"/>
  <c r="K25" i="81" s="1"/>
  <c r="D26" i="88"/>
  <c r="C72" i="69"/>
  <c r="C111" i="82"/>
  <c r="C95" i="69"/>
  <c r="B38" i="69"/>
  <c r="B93" i="69" s="1"/>
  <c r="C94" i="69"/>
  <c r="B24" i="35"/>
  <c r="B38" i="35" s="1"/>
  <c r="C49" i="69"/>
  <c r="C96" i="69" s="1"/>
  <c r="C25" i="37" l="1"/>
  <c r="D26" i="53" s="1"/>
  <c r="B41" i="35"/>
  <c r="B44" i="35" s="1"/>
  <c r="I24" i="35"/>
  <c r="I38" i="35" s="1"/>
  <c r="E26" i="88"/>
  <c r="F26" i="88" s="1"/>
  <c r="E26" i="90"/>
  <c r="F26" i="90" s="1"/>
  <c r="G26" i="90" s="1"/>
  <c r="H26" i="90" s="1"/>
  <c r="D41" i="69"/>
  <c r="D94" i="69" s="1"/>
  <c r="C73" i="69"/>
  <c r="C80" i="69"/>
  <c r="C98" i="69"/>
  <c r="E26" i="53" l="1"/>
  <c r="F26" i="53" s="1"/>
  <c r="E26" i="55"/>
  <c r="F26" i="55" s="1"/>
  <c r="G26" i="55" s="1"/>
  <c r="H26" i="55" s="1"/>
  <c r="K24" i="35"/>
  <c r="I41" i="35"/>
  <c r="C83" i="69"/>
  <c r="D44" i="69"/>
  <c r="D95" i="69" s="1"/>
  <c r="B41" i="69"/>
  <c r="K38" i="35" l="1"/>
  <c r="H38" i="37" s="1"/>
  <c r="H24" i="37"/>
  <c r="K41" i="35"/>
  <c r="H41" i="37" s="1"/>
  <c r="I44" i="35"/>
  <c r="B94" i="69"/>
  <c r="C24" i="75"/>
  <c r="C38" i="75" s="1"/>
  <c r="C93" i="75" s="1"/>
  <c r="C89" i="69"/>
  <c r="D111" i="82"/>
  <c r="D72" i="69"/>
  <c r="B72" i="69" s="1"/>
  <c r="B72" i="35" s="1"/>
  <c r="D49" i="69"/>
  <c r="D96" i="69" s="1"/>
  <c r="B44" i="69"/>
  <c r="H94" i="37" l="1"/>
  <c r="B111" i="82"/>
  <c r="B98" i="69"/>
  <c r="D25" i="88"/>
  <c r="G14" i="91"/>
  <c r="B95" i="69"/>
  <c r="D98" i="69"/>
  <c r="B24" i="75"/>
  <c r="K44" i="35"/>
  <c r="H44" i="37" s="1"/>
  <c r="H96" i="37" s="1"/>
  <c r="I72" i="35"/>
  <c r="K72" i="35" s="1"/>
  <c r="I49" i="35"/>
  <c r="D73" i="69"/>
  <c r="B73" i="69" s="1"/>
  <c r="B73" i="35" s="1"/>
  <c r="D80" i="69"/>
  <c r="B49" i="69"/>
  <c r="B49" i="35" s="1"/>
  <c r="F14" i="91"/>
  <c r="H95" i="37"/>
  <c r="F12" i="91"/>
  <c r="H12" i="91" s="1"/>
  <c r="D39" i="88"/>
  <c r="F23" i="91"/>
  <c r="F7" i="91"/>
  <c r="D42" i="88"/>
  <c r="F10" i="91"/>
  <c r="H10" i="91" s="1"/>
  <c r="G21" i="88" l="1"/>
  <c r="G15" i="88"/>
  <c r="G22" i="88"/>
  <c r="G11" i="88"/>
  <c r="G10" i="88"/>
  <c r="G9" i="88"/>
  <c r="G12" i="88"/>
  <c r="O58" i="87"/>
  <c r="O30" i="87"/>
  <c r="O19" i="87"/>
  <c r="O9" i="87"/>
  <c r="G18" i="87"/>
  <c r="G9" i="87"/>
  <c r="O29" i="87"/>
  <c r="O18" i="87"/>
  <c r="G24" i="87"/>
  <c r="G19" i="87"/>
  <c r="O27" i="87"/>
  <c r="O28" i="87"/>
  <c r="O11" i="87"/>
  <c r="G34" i="87"/>
  <c r="G21" i="87"/>
  <c r="O26" i="87"/>
  <c r="O20" i="87"/>
  <c r="O10" i="87"/>
  <c r="G20" i="87"/>
  <c r="G10" i="87"/>
  <c r="G72" i="88"/>
  <c r="G36" i="88"/>
  <c r="G30" i="88"/>
  <c r="O21" i="87"/>
  <c r="O22" i="87"/>
  <c r="G23" i="87"/>
  <c r="G17" i="87"/>
  <c r="G38" i="88"/>
  <c r="G39" i="87"/>
  <c r="O25" i="87"/>
  <c r="O23" i="87"/>
  <c r="G14" i="87"/>
  <c r="G31" i="88"/>
  <c r="O16" i="87"/>
  <c r="G16" i="87"/>
  <c r="G25" i="87"/>
  <c r="O40" i="87"/>
  <c r="O24" i="87"/>
  <c r="O17" i="87"/>
  <c r="O15" i="87"/>
  <c r="G15" i="87"/>
  <c r="G22" i="87"/>
  <c r="O51" i="87"/>
  <c r="O52" i="87"/>
  <c r="G26" i="87"/>
  <c r="G61" i="88"/>
  <c r="G60" i="88"/>
  <c r="G53" i="88"/>
  <c r="G52" i="88"/>
  <c r="D83" i="69"/>
  <c r="B80" i="69"/>
  <c r="B80" i="35" s="1"/>
  <c r="B24" i="81"/>
  <c r="B38" i="81" s="1"/>
  <c r="F9" i="91"/>
  <c r="H119" i="38"/>
  <c r="F8" i="91"/>
  <c r="H8" i="91" s="1"/>
  <c r="F13" i="91"/>
  <c r="H13" i="91" s="1"/>
  <c r="G44" i="91"/>
  <c r="H44" i="91" s="1"/>
  <c r="D45" i="88"/>
  <c r="E42" i="88"/>
  <c r="F42" i="88" s="1"/>
  <c r="G42" i="88" s="1"/>
  <c r="E42" i="90"/>
  <c r="F42" i="90" s="1"/>
  <c r="G42" i="90" s="1"/>
  <c r="H42" i="90" s="1"/>
  <c r="O42" i="87"/>
  <c r="O53" i="87"/>
  <c r="G47" i="87"/>
  <c r="G32" i="87"/>
  <c r="G29" i="87"/>
  <c r="G41" i="87"/>
  <c r="O49" i="87"/>
  <c r="G43" i="88"/>
  <c r="G77" i="88"/>
  <c r="O44" i="87"/>
  <c r="O57" i="87"/>
  <c r="G13" i="88"/>
  <c r="G27" i="88"/>
  <c r="G8" i="88"/>
  <c r="G59" i="87"/>
  <c r="G48" i="88"/>
  <c r="O55" i="87"/>
  <c r="G14" i="88"/>
  <c r="O43" i="87"/>
  <c r="G51" i="88"/>
  <c r="G43" i="87"/>
  <c r="G40" i="88"/>
  <c r="O31" i="87"/>
  <c r="G75" i="88"/>
  <c r="G7" i="88"/>
  <c r="O37" i="87"/>
  <c r="G29" i="88"/>
  <c r="G52" i="87"/>
  <c r="G23" i="88"/>
  <c r="O35" i="87"/>
  <c r="G41" i="88"/>
  <c r="O8" i="87"/>
  <c r="G60" i="87"/>
  <c r="G28" i="88"/>
  <c r="O46" i="87"/>
  <c r="E39" i="88"/>
  <c r="F39" i="88" s="1"/>
  <c r="G39" i="88" s="1"/>
  <c r="G24" i="88"/>
  <c r="O45" i="87"/>
  <c r="G8" i="87"/>
  <c r="G35" i="87"/>
  <c r="G49" i="87"/>
  <c r="G51" i="87"/>
  <c r="O32" i="87"/>
  <c r="G46" i="87"/>
  <c r="G50" i="87"/>
  <c r="G56" i="87"/>
  <c r="O36" i="87"/>
  <c r="G47" i="88"/>
  <c r="O38" i="87"/>
  <c r="G42" i="87"/>
  <c r="O33" i="87"/>
  <c r="G44" i="87"/>
  <c r="G54" i="87"/>
  <c r="G55" i="87"/>
  <c r="G53" i="87"/>
  <c r="O61" i="87"/>
  <c r="O47" i="87"/>
  <c r="G45" i="87"/>
  <c r="E39" i="90"/>
  <c r="F39" i="90" s="1"/>
  <c r="G39" i="90" s="1"/>
  <c r="H39" i="90" s="1"/>
  <c r="G26" i="88"/>
  <c r="I80" i="35"/>
  <c r="K49" i="35"/>
  <c r="I73" i="35"/>
  <c r="K73" i="35" s="1"/>
  <c r="B38" i="75"/>
  <c r="B93" i="75" s="1"/>
  <c r="C41" i="75"/>
  <c r="C94" i="75" s="1"/>
  <c r="H14" i="91"/>
  <c r="B96" i="69"/>
  <c r="H72" i="37"/>
  <c r="D73" i="88" s="1"/>
  <c r="C72" i="75"/>
  <c r="B72" i="75" s="1"/>
  <c r="B72" i="81" s="1"/>
  <c r="I72" i="81" s="1"/>
  <c r="K72" i="81" s="1"/>
  <c r="E25" i="88"/>
  <c r="F25" i="88" s="1"/>
  <c r="G25" i="88" s="1"/>
  <c r="E25" i="90"/>
  <c r="F25" i="90" s="1"/>
  <c r="G25" i="90" s="1"/>
  <c r="H25" i="90" s="1"/>
  <c r="C72" i="37" l="1"/>
  <c r="D73" i="53" s="1"/>
  <c r="E73" i="55" s="1"/>
  <c r="F73" i="55" s="1"/>
  <c r="G73" i="55" s="1"/>
  <c r="H73" i="55" s="1"/>
  <c r="D71" i="53"/>
  <c r="H73" i="37"/>
  <c r="D74" i="88" s="1"/>
  <c r="C73" i="75"/>
  <c r="B73" i="75" s="1"/>
  <c r="B73" i="81" s="1"/>
  <c r="I73" i="81" s="1"/>
  <c r="K73" i="81" s="1"/>
  <c r="C73" i="37" s="1"/>
  <c r="D74" i="53" s="1"/>
  <c r="B41" i="81"/>
  <c r="B44" i="81" s="1"/>
  <c r="I24" i="81"/>
  <c r="I90" i="81" s="1"/>
  <c r="E45" i="88"/>
  <c r="F45" i="88" s="1"/>
  <c r="G45" i="88" s="1"/>
  <c r="E45" i="90"/>
  <c r="F45" i="90" s="1"/>
  <c r="G45" i="90" s="1"/>
  <c r="H45" i="90" s="1"/>
  <c r="C49" i="75"/>
  <c r="H49" i="37"/>
  <c r="E73" i="88"/>
  <c r="F73" i="88" s="1"/>
  <c r="G73" i="88" s="1"/>
  <c r="E73" i="90"/>
  <c r="F73" i="90" s="1"/>
  <c r="G73" i="90" s="1"/>
  <c r="H73" i="90" s="1"/>
  <c r="I83" i="35"/>
  <c r="K80" i="35"/>
  <c r="H80" i="37" s="1"/>
  <c r="C44" i="75"/>
  <c r="B41" i="75"/>
  <c r="D89" i="69"/>
  <c r="B89" i="69" s="1"/>
  <c r="B89" i="35" s="1"/>
  <c r="B83" i="69"/>
  <c r="B83" i="35" s="1"/>
  <c r="E73" i="53" l="1"/>
  <c r="F73" i="53" s="1"/>
  <c r="F71" i="53"/>
  <c r="E71" i="55"/>
  <c r="F71" i="55" s="1"/>
  <c r="G71" i="55" s="1"/>
  <c r="H71" i="55" s="1"/>
  <c r="E71" i="53"/>
  <c r="I38" i="81"/>
  <c r="K38" i="81" s="1"/>
  <c r="K83" i="35"/>
  <c r="H83" i="37" s="1"/>
  <c r="I89" i="35"/>
  <c r="D50" i="88"/>
  <c r="H97" i="37"/>
  <c r="K24" i="81"/>
  <c r="C24" i="37" s="1"/>
  <c r="C98" i="75"/>
  <c r="B44" i="75"/>
  <c r="B95" i="75" s="1"/>
  <c r="C111" i="84"/>
  <c r="C96" i="75"/>
  <c r="B49" i="75"/>
  <c r="B49" i="81" s="1"/>
  <c r="C80" i="75"/>
  <c r="E74" i="53"/>
  <c r="F74" i="53" s="1"/>
  <c r="E74" i="55"/>
  <c r="F74" i="55" s="1"/>
  <c r="G74" i="55" s="1"/>
  <c r="H74" i="55" s="1"/>
  <c r="B91" i="35"/>
  <c r="C95" i="75"/>
  <c r="B94" i="75"/>
  <c r="E74" i="88"/>
  <c r="F74" i="88" s="1"/>
  <c r="G74" i="88" s="1"/>
  <c r="E74" i="90"/>
  <c r="F74" i="90" s="1"/>
  <c r="G74" i="90" s="1"/>
  <c r="H74" i="90" s="1"/>
  <c r="I41" i="81" l="1"/>
  <c r="K41" i="81" s="1"/>
  <c r="C41" i="37" s="1"/>
  <c r="C38" i="37"/>
  <c r="E50" i="90"/>
  <c r="F50" i="90" s="1"/>
  <c r="G50" i="90" s="1"/>
  <c r="H50" i="90" s="1"/>
  <c r="E50" i="88"/>
  <c r="F50" i="88" s="1"/>
  <c r="G50" i="88" s="1"/>
  <c r="K89" i="35"/>
  <c r="I58" i="34"/>
  <c r="C83" i="75"/>
  <c r="B83" i="75" s="1"/>
  <c r="B83" i="81" s="1"/>
  <c r="B80" i="75"/>
  <c r="B80" i="81" s="1"/>
  <c r="B98" i="75"/>
  <c r="B111" i="84"/>
  <c r="B96" i="75"/>
  <c r="C95" i="37" l="1"/>
  <c r="C94" i="37"/>
  <c r="I44" i="81"/>
  <c r="I49" i="81" s="1"/>
  <c r="F10" i="66"/>
  <c r="H10" i="66" s="1"/>
  <c r="F23" i="66"/>
  <c r="F7" i="66"/>
  <c r="D42" i="53"/>
  <c r="F14" i="66"/>
  <c r="F12" i="66"/>
  <c r="H12" i="66" s="1"/>
  <c r="D39" i="53"/>
  <c r="G14" i="66"/>
  <c r="D25" i="53"/>
  <c r="I59" i="34"/>
  <c r="K58" i="34"/>
  <c r="H89" i="37"/>
  <c r="H98" i="37" s="1"/>
  <c r="C89" i="75"/>
  <c r="B89" i="75" s="1"/>
  <c r="B89" i="81" s="1"/>
  <c r="G15" i="53" l="1"/>
  <c r="G21" i="53"/>
  <c r="G11" i="53"/>
  <c r="G9" i="53"/>
  <c r="G10" i="53"/>
  <c r="O58" i="52"/>
  <c r="O28" i="52"/>
  <c r="O19" i="52"/>
  <c r="O11" i="52"/>
  <c r="G19" i="52"/>
  <c r="G9" i="52"/>
  <c r="O27" i="52"/>
  <c r="O30" i="52"/>
  <c r="G34" i="52"/>
  <c r="O29" i="52"/>
  <c r="O9" i="52"/>
  <c r="G10" i="52"/>
  <c r="O26" i="52"/>
  <c r="O18" i="52"/>
  <c r="G24" i="52"/>
  <c r="G18" i="52"/>
  <c r="O10" i="52"/>
  <c r="G20" i="52"/>
  <c r="O20" i="52"/>
  <c r="G21" i="52"/>
  <c r="G31" i="53"/>
  <c r="O40" i="52"/>
  <c r="G30" i="53"/>
  <c r="G36" i="53"/>
  <c r="G38" i="53"/>
  <c r="O25" i="52"/>
  <c r="O16" i="52"/>
  <c r="G39" i="52"/>
  <c r="O24" i="52"/>
  <c r="O17" i="52"/>
  <c r="G59" i="53"/>
  <c r="G17" i="52"/>
  <c r="G16" i="52"/>
  <c r="G14" i="52"/>
  <c r="G25" i="52"/>
  <c r="G15" i="52"/>
  <c r="G22" i="52"/>
  <c r="G23" i="52"/>
  <c r="K44" i="81"/>
  <c r="C44" i="37" s="1"/>
  <c r="G55" i="53"/>
  <c r="G54" i="53"/>
  <c r="G72" i="53"/>
  <c r="G78" i="53"/>
  <c r="G69" i="53"/>
  <c r="G71" i="53"/>
  <c r="O51" i="52"/>
  <c r="O52" i="52"/>
  <c r="G26" i="52"/>
  <c r="G52" i="53"/>
  <c r="G53" i="53"/>
  <c r="G61" i="53"/>
  <c r="G60" i="53"/>
  <c r="H14" i="66"/>
  <c r="E25" i="53"/>
  <c r="F25" i="53" s="1"/>
  <c r="G25" i="53" s="1"/>
  <c r="E25" i="55"/>
  <c r="F25" i="55" s="1"/>
  <c r="G25" i="55" s="1"/>
  <c r="H25" i="55" s="1"/>
  <c r="K59" i="34"/>
  <c r="I61" i="34"/>
  <c r="I80" i="81"/>
  <c r="K49" i="81"/>
  <c r="C49" i="37" s="1"/>
  <c r="C105" i="37" s="1"/>
  <c r="K90" i="35"/>
  <c r="K91" i="35" s="1"/>
  <c r="H118" i="36"/>
  <c r="L59" i="87" s="1"/>
  <c r="C113" i="74"/>
  <c r="G47" i="53"/>
  <c r="O22" i="52"/>
  <c r="G43" i="52"/>
  <c r="G52" i="52"/>
  <c r="O36" i="52"/>
  <c r="G55" i="52"/>
  <c r="O15" i="52"/>
  <c r="G24" i="53"/>
  <c r="O37" i="52"/>
  <c r="O45" i="52"/>
  <c r="G7" i="53"/>
  <c r="G35" i="52"/>
  <c r="G40" i="53"/>
  <c r="O61" i="52"/>
  <c r="G27" i="53"/>
  <c r="G77" i="53"/>
  <c r="O49" i="52"/>
  <c r="O57" i="52"/>
  <c r="O31" i="52"/>
  <c r="G23" i="53"/>
  <c r="O33" i="52"/>
  <c r="G51" i="52"/>
  <c r="G44" i="52"/>
  <c r="G41" i="52"/>
  <c r="O35" i="52"/>
  <c r="G43" i="53"/>
  <c r="G50" i="52"/>
  <c r="O46" i="52"/>
  <c r="G41" i="53"/>
  <c r="G48" i="53"/>
  <c r="O38" i="52"/>
  <c r="G49" i="52"/>
  <c r="G47" i="52"/>
  <c r="G51" i="53"/>
  <c r="G75" i="53"/>
  <c r="E39" i="53"/>
  <c r="F39" i="53" s="1"/>
  <c r="G39" i="53" s="1"/>
  <c r="G28" i="53"/>
  <c r="G46" i="52"/>
  <c r="G32" i="52"/>
  <c r="O42" i="52"/>
  <c r="G8" i="53"/>
  <c r="O43" i="52"/>
  <c r="G42" i="52"/>
  <c r="O32" i="52"/>
  <c r="G12" i="53"/>
  <c r="O53" i="52"/>
  <c r="G14" i="53"/>
  <c r="G29" i="52"/>
  <c r="G59" i="52"/>
  <c r="O44" i="52"/>
  <c r="O23" i="52"/>
  <c r="G13" i="53"/>
  <c r="G53" i="52"/>
  <c r="O47" i="52"/>
  <c r="O8" i="52"/>
  <c r="G29" i="53"/>
  <c r="G8" i="52"/>
  <c r="G45" i="52"/>
  <c r="O21" i="52"/>
  <c r="G22" i="53"/>
  <c r="O55" i="52"/>
  <c r="G54" i="52"/>
  <c r="G60" i="52"/>
  <c r="E39" i="55"/>
  <c r="F39" i="55" s="1"/>
  <c r="G39" i="55" s="1"/>
  <c r="H39" i="55" s="1"/>
  <c r="G26" i="53"/>
  <c r="G73" i="53"/>
  <c r="G74" i="53"/>
  <c r="E42" i="53"/>
  <c r="F42" i="53" s="1"/>
  <c r="G42" i="53" s="1"/>
  <c r="E42" i="55"/>
  <c r="F42" i="55" s="1"/>
  <c r="G42" i="55" s="1"/>
  <c r="H42" i="55" s="1"/>
  <c r="N59" i="89" l="1"/>
  <c r="M59" i="87"/>
  <c r="N59" i="87" s="1"/>
  <c r="O59" i="87" s="1"/>
  <c r="C119" i="38"/>
  <c r="C97" i="37"/>
  <c r="C96" i="37"/>
  <c r="D45" i="53"/>
  <c r="E45" i="53" s="1"/>
  <c r="F45" i="53" s="1"/>
  <c r="G45" i="53" s="1"/>
  <c r="F8" i="66"/>
  <c r="H8" i="66" s="1"/>
  <c r="G44" i="66"/>
  <c r="H44" i="66" s="1"/>
  <c r="D14" i="2"/>
  <c r="E14" i="2" s="1"/>
  <c r="F13" i="66"/>
  <c r="H13" i="66" s="1"/>
  <c r="F9" i="66"/>
  <c r="C108" i="37"/>
  <c r="D50" i="53"/>
  <c r="E45" i="55"/>
  <c r="F45" i="55" s="1"/>
  <c r="G45" i="55" s="1"/>
  <c r="H45" i="55" s="1"/>
  <c r="B113" i="74"/>
  <c r="C114" i="74"/>
  <c r="K80" i="81"/>
  <c r="C80" i="37" s="1"/>
  <c r="I83" i="81"/>
  <c r="H119" i="36"/>
  <c r="H133" i="36" s="1"/>
  <c r="I62" i="34"/>
  <c r="K61" i="34"/>
  <c r="I63" i="34" l="1"/>
  <c r="K62" i="34"/>
  <c r="I60" i="33"/>
  <c r="C116" i="74"/>
  <c r="C129" i="74" s="1"/>
  <c r="B114" i="74"/>
  <c r="B128" i="74" s="1"/>
  <c r="C128" i="74"/>
  <c r="E50" i="53"/>
  <c r="F50" i="53" s="1"/>
  <c r="G50" i="53" s="1"/>
  <c r="E50" i="55"/>
  <c r="F50" i="55" s="1"/>
  <c r="G50" i="55" s="1"/>
  <c r="H50" i="55" s="1"/>
  <c r="G26" i="91"/>
  <c r="H26" i="91" s="1"/>
  <c r="J26" i="91" s="1"/>
  <c r="L60" i="87"/>
  <c r="H121" i="36"/>
  <c r="H134" i="36" s="1"/>
  <c r="B58" i="80"/>
  <c r="B59" i="80" s="1"/>
  <c r="B61" i="80" s="1"/>
  <c r="K83" i="81"/>
  <c r="C83" i="37" s="1"/>
  <c r="I89" i="81"/>
  <c r="K60" i="33" l="1"/>
  <c r="A4" i="34"/>
  <c r="A4" i="35"/>
  <c r="A4" i="33"/>
  <c r="K63" i="34"/>
  <c r="B62" i="80"/>
  <c r="B90" i="81"/>
  <c r="B91" i="81" s="1"/>
  <c r="K89" i="81"/>
  <c r="C89" i="37" s="1"/>
  <c r="C98" i="37" s="1"/>
  <c r="I58" i="80"/>
  <c r="G22" i="91"/>
  <c r="H22" i="91" s="1"/>
  <c r="J22" i="91" s="1"/>
  <c r="F35" i="91"/>
  <c r="H35" i="91" s="1"/>
  <c r="G21" i="91"/>
  <c r="H21" i="91" s="1"/>
  <c r="J21" i="91" s="1"/>
  <c r="G7" i="91"/>
  <c r="H7" i="91" s="1"/>
  <c r="G9" i="91"/>
  <c r="H9" i="91" s="1"/>
  <c r="L62" i="87"/>
  <c r="H122" i="36"/>
  <c r="H135" i="36" s="1"/>
  <c r="M60" i="87"/>
  <c r="N60" i="87" s="1"/>
  <c r="O60" i="87" s="1"/>
  <c r="N60" i="89"/>
  <c r="B116" i="74"/>
  <c r="B129" i="74" s="1"/>
  <c r="C117" i="74"/>
  <c r="B117" i="74" l="1"/>
  <c r="B121" i="74" s="1"/>
  <c r="C121" i="74"/>
  <c r="B60" i="79"/>
  <c r="B63" i="80"/>
  <c r="C130" i="74"/>
  <c r="I59" i="80"/>
  <c r="K58" i="80"/>
  <c r="H126" i="36"/>
  <c r="H2" i="36"/>
  <c r="L63" i="87"/>
  <c r="M62" i="87"/>
  <c r="N62" i="87" s="1"/>
  <c r="O62" i="87" s="1"/>
  <c r="N62" i="89"/>
  <c r="B130" i="74" l="1"/>
  <c r="M63" i="87"/>
  <c r="N63" i="87" s="1"/>
  <c r="O63" i="87" s="1"/>
  <c r="N63" i="89"/>
  <c r="K90" i="81"/>
  <c r="K91" i="81" s="1"/>
  <c r="C118" i="36"/>
  <c r="I61" i="80"/>
  <c r="K59" i="80"/>
  <c r="C119" i="36" l="1"/>
  <c r="C138" i="36" s="1"/>
  <c r="L59" i="52"/>
  <c r="O59" i="89"/>
  <c r="P59" i="89" s="1"/>
  <c r="Q59" i="89" s="1"/>
  <c r="O58" i="89"/>
  <c r="P58" i="89" s="1"/>
  <c r="Q58" i="89" s="1"/>
  <c r="O30" i="89"/>
  <c r="P30" i="89" s="1"/>
  <c r="Q30" i="89" s="1"/>
  <c r="O28" i="89"/>
  <c r="P28" i="89" s="1"/>
  <c r="Q28" i="89" s="1"/>
  <c r="O26" i="89"/>
  <c r="P26" i="89" s="1"/>
  <c r="Q26" i="89" s="1"/>
  <c r="O29" i="89"/>
  <c r="P29" i="89" s="1"/>
  <c r="Q29" i="89" s="1"/>
  <c r="O27" i="89"/>
  <c r="P27" i="89" s="1"/>
  <c r="Q27" i="89" s="1"/>
  <c r="O18" i="89"/>
  <c r="P18" i="89" s="1"/>
  <c r="Q18" i="89" s="1"/>
  <c r="O20" i="89"/>
  <c r="P20" i="89" s="1"/>
  <c r="Q20" i="89" s="1"/>
  <c r="O19" i="89"/>
  <c r="P19" i="89" s="1"/>
  <c r="Q19" i="89" s="1"/>
  <c r="O10" i="89"/>
  <c r="P10" i="89" s="1"/>
  <c r="Q10" i="89" s="1"/>
  <c r="O9" i="89"/>
  <c r="P9" i="89" s="1"/>
  <c r="Q9" i="89" s="1"/>
  <c r="O12" i="89"/>
  <c r="P12" i="89" s="1"/>
  <c r="Q12" i="89" s="1"/>
  <c r="O11" i="89"/>
  <c r="P11" i="89" s="1"/>
  <c r="Q11" i="89" s="1"/>
  <c r="O39" i="89"/>
  <c r="P39" i="89" s="1"/>
  <c r="Q39" i="89" s="1"/>
  <c r="O40" i="89"/>
  <c r="P40" i="89" s="1"/>
  <c r="Q40" i="89" s="1"/>
  <c r="O21" i="89"/>
  <c r="P21" i="89" s="1"/>
  <c r="Q21" i="89" s="1"/>
  <c r="O14" i="89"/>
  <c r="P14" i="89" s="1"/>
  <c r="Q14" i="89" s="1"/>
  <c r="O13" i="89"/>
  <c r="P13" i="89" s="1"/>
  <c r="Q13" i="89" s="1"/>
  <c r="O22" i="89"/>
  <c r="P22" i="89" s="1"/>
  <c r="Q22" i="89" s="1"/>
  <c r="O15" i="89"/>
  <c r="P15" i="89" s="1"/>
  <c r="Q15" i="89" s="1"/>
  <c r="O16" i="89"/>
  <c r="P16" i="89" s="1"/>
  <c r="Q16" i="89" s="1"/>
  <c r="O24" i="89"/>
  <c r="P24" i="89" s="1"/>
  <c r="Q24" i="89" s="1"/>
  <c r="O23" i="89"/>
  <c r="P23" i="89" s="1"/>
  <c r="Q23" i="89" s="1"/>
  <c r="O25" i="89"/>
  <c r="P25" i="89" s="1"/>
  <c r="Q25" i="89" s="1"/>
  <c r="O17" i="89"/>
  <c r="P17" i="89" s="1"/>
  <c r="Q17" i="89" s="1"/>
  <c r="K61" i="80"/>
  <c r="I62" i="80"/>
  <c r="O35" i="89"/>
  <c r="P35" i="89" s="1"/>
  <c r="Q35" i="89" s="1"/>
  <c r="O56" i="89"/>
  <c r="P56" i="89" s="1"/>
  <c r="Q56" i="89" s="1"/>
  <c r="O55" i="89"/>
  <c r="P55" i="89" s="1"/>
  <c r="Q55" i="89" s="1"/>
  <c r="O41" i="89"/>
  <c r="P41" i="89" s="1"/>
  <c r="Q41" i="89" s="1"/>
  <c r="O44" i="89"/>
  <c r="P44" i="89" s="1"/>
  <c r="Q44" i="89" s="1"/>
  <c r="O37" i="89"/>
  <c r="P37" i="89" s="1"/>
  <c r="Q37" i="89" s="1"/>
  <c r="O54" i="89"/>
  <c r="P54" i="89" s="1"/>
  <c r="Q54" i="89" s="1"/>
  <c r="O36" i="89"/>
  <c r="P36" i="89" s="1"/>
  <c r="Q36" i="89" s="1"/>
  <c r="O46" i="89"/>
  <c r="P46" i="89" s="1"/>
  <c r="Q46" i="89" s="1"/>
  <c r="O42" i="89"/>
  <c r="P42" i="89" s="1"/>
  <c r="Q42" i="89" s="1"/>
  <c r="O57" i="89"/>
  <c r="P57" i="89" s="1"/>
  <c r="Q57" i="89" s="1"/>
  <c r="O47" i="89"/>
  <c r="P47" i="89" s="1"/>
  <c r="Q47" i="89" s="1"/>
  <c r="O51" i="89"/>
  <c r="P51" i="89" s="1"/>
  <c r="Q51" i="89" s="1"/>
  <c r="O43" i="89"/>
  <c r="P43" i="89" s="1"/>
  <c r="Q43" i="89" s="1"/>
  <c r="O31" i="89"/>
  <c r="P31" i="89" s="1"/>
  <c r="Q31" i="89" s="1"/>
  <c r="O45" i="89"/>
  <c r="P45" i="89" s="1"/>
  <c r="Q45" i="89" s="1"/>
  <c r="O52" i="89"/>
  <c r="P52" i="89" s="1"/>
  <c r="Q52" i="89" s="1"/>
  <c r="O61" i="89"/>
  <c r="P61" i="89" s="1"/>
  <c r="Q61" i="89" s="1"/>
  <c r="O50" i="89"/>
  <c r="P50" i="89" s="1"/>
  <c r="Q50" i="89" s="1"/>
  <c r="O33" i="89"/>
  <c r="P33" i="89" s="1"/>
  <c r="Q33" i="89" s="1"/>
  <c r="O32" i="89"/>
  <c r="P32" i="89" s="1"/>
  <c r="Q32" i="89" s="1"/>
  <c r="O8" i="89"/>
  <c r="P8" i="89" s="1"/>
  <c r="Q8" i="89" s="1"/>
  <c r="O38" i="89"/>
  <c r="P38" i="89" s="1"/>
  <c r="Q38" i="89" s="1"/>
  <c r="O53" i="89"/>
  <c r="P53" i="89" s="1"/>
  <c r="Q53" i="89" s="1"/>
  <c r="O49" i="89"/>
  <c r="P49" i="89" s="1"/>
  <c r="Q49" i="89" s="1"/>
  <c r="O63" i="89"/>
  <c r="P63" i="89" s="1"/>
  <c r="Q63" i="89" s="1"/>
  <c r="O60" i="89"/>
  <c r="P60" i="89" s="1"/>
  <c r="Q60" i="89" s="1"/>
  <c r="O62" i="89"/>
  <c r="P62" i="89" s="1"/>
  <c r="Q62" i="89" s="1"/>
  <c r="D7" i="2"/>
  <c r="E7" i="2" s="1"/>
  <c r="N59" i="54" l="1"/>
  <c r="N60" i="54" s="1"/>
  <c r="M59" i="52"/>
  <c r="N59" i="52" s="1"/>
  <c r="O59" i="52" s="1"/>
  <c r="C133" i="36"/>
  <c r="I63" i="80"/>
  <c r="I60" i="79"/>
  <c r="K62" i="80"/>
  <c r="A4" i="80"/>
  <c r="C141" i="36"/>
  <c r="C121" i="36"/>
  <c r="L60" i="52"/>
  <c r="G26" i="66"/>
  <c r="H26" i="66" s="1"/>
  <c r="J26" i="66" s="1"/>
  <c r="F35" i="66" l="1"/>
  <c r="H35" i="66" s="1"/>
  <c r="G9" i="66"/>
  <c r="H9" i="66" s="1"/>
  <c r="G7" i="66"/>
  <c r="H7" i="66" s="1"/>
  <c r="C122" i="36"/>
  <c r="C135" i="36" s="1"/>
  <c r="G22" i="66"/>
  <c r="H22" i="66" s="1"/>
  <c r="J22" i="66" s="1"/>
  <c r="G21" i="66"/>
  <c r="H21" i="66" s="1"/>
  <c r="J21" i="66" s="1"/>
  <c r="L62" i="52"/>
  <c r="N62" i="54" s="1"/>
  <c r="C16" i="92"/>
  <c r="C18" i="92" s="1"/>
  <c r="K63" i="80"/>
  <c r="A4" i="81"/>
  <c r="K60" i="79"/>
  <c r="A4" i="79"/>
  <c r="M60" i="52"/>
  <c r="N60" i="52" s="1"/>
  <c r="O60" i="52" s="1"/>
  <c r="C134" i="36"/>
  <c r="C5" i="92" l="1"/>
  <c r="C4" i="92"/>
  <c r="C2" i="36"/>
  <c r="C126" i="36"/>
  <c r="D5" i="2"/>
  <c r="E5" i="2" s="1"/>
  <c r="M62" i="52"/>
  <c r="N62" i="52" s="1"/>
  <c r="O62" i="52" s="1"/>
  <c r="L63" i="52"/>
  <c r="N63" i="54" s="1"/>
  <c r="O59" i="54" l="1"/>
  <c r="P59" i="54" s="1"/>
  <c r="Q59" i="54" s="1"/>
  <c r="O58" i="54"/>
  <c r="P58" i="54" s="1"/>
  <c r="Q58" i="54" s="1"/>
  <c r="O28" i="54"/>
  <c r="P28" i="54" s="1"/>
  <c r="Q28" i="54" s="1"/>
  <c r="O30" i="54"/>
  <c r="P30" i="54" s="1"/>
  <c r="Q30" i="54" s="1"/>
  <c r="O29" i="54"/>
  <c r="P29" i="54" s="1"/>
  <c r="Q29" i="54" s="1"/>
  <c r="O26" i="54"/>
  <c r="P26" i="54" s="1"/>
  <c r="Q26" i="54" s="1"/>
  <c r="O27" i="54"/>
  <c r="P27" i="54" s="1"/>
  <c r="Q27" i="54" s="1"/>
  <c r="O18" i="54"/>
  <c r="P18" i="54" s="1"/>
  <c r="Q18" i="54" s="1"/>
  <c r="O19" i="54"/>
  <c r="P19" i="54" s="1"/>
  <c r="Q19" i="54" s="1"/>
  <c r="O20" i="54"/>
  <c r="P20" i="54" s="1"/>
  <c r="Q20" i="54" s="1"/>
  <c r="O10" i="54"/>
  <c r="P10" i="54" s="1"/>
  <c r="Q10" i="54" s="1"/>
  <c r="O12" i="54"/>
  <c r="P12" i="54" s="1"/>
  <c r="Q12" i="54" s="1"/>
  <c r="O9" i="54"/>
  <c r="P9" i="54" s="1"/>
  <c r="Q9" i="54" s="1"/>
  <c r="O11" i="54"/>
  <c r="P11" i="54" s="1"/>
  <c r="Q11" i="54" s="1"/>
  <c r="O40" i="54"/>
  <c r="P40" i="54" s="1"/>
  <c r="Q40" i="54" s="1"/>
  <c r="O39" i="54"/>
  <c r="P39" i="54" s="1"/>
  <c r="Q39" i="54" s="1"/>
  <c r="O60" i="54"/>
  <c r="P60" i="54" s="1"/>
  <c r="Q60" i="54" s="1"/>
  <c r="O23" i="54"/>
  <c r="P23" i="54" s="1"/>
  <c r="Q23" i="54" s="1"/>
  <c r="O21" i="54"/>
  <c r="P21" i="54" s="1"/>
  <c r="Q21" i="54" s="1"/>
  <c r="O24" i="54"/>
  <c r="P24" i="54" s="1"/>
  <c r="Q24" i="54" s="1"/>
  <c r="O14" i="54"/>
  <c r="P14" i="54" s="1"/>
  <c r="Q14" i="54" s="1"/>
  <c r="O13" i="54"/>
  <c r="P13" i="54" s="1"/>
  <c r="Q13" i="54" s="1"/>
  <c r="O22" i="54"/>
  <c r="P22" i="54" s="1"/>
  <c r="Q22" i="54" s="1"/>
  <c r="O16" i="54"/>
  <c r="P16" i="54" s="1"/>
  <c r="Q16" i="54" s="1"/>
  <c r="O25" i="54"/>
  <c r="P25" i="54" s="1"/>
  <c r="Q25" i="54" s="1"/>
  <c r="O15" i="54"/>
  <c r="P15" i="54" s="1"/>
  <c r="Q15" i="54" s="1"/>
  <c r="O17" i="54"/>
  <c r="P17" i="54" s="1"/>
  <c r="Q17" i="54" s="1"/>
  <c r="O50" i="54"/>
  <c r="P50" i="54" s="1"/>
  <c r="Q50" i="54" s="1"/>
  <c r="O43" i="54"/>
  <c r="P43" i="54" s="1"/>
  <c r="Q43" i="54" s="1"/>
  <c r="O44" i="54"/>
  <c r="P44" i="54" s="1"/>
  <c r="Q44" i="54" s="1"/>
  <c r="O54" i="54"/>
  <c r="P54" i="54" s="1"/>
  <c r="Q54" i="54" s="1"/>
  <c r="O51" i="54"/>
  <c r="P51" i="54" s="1"/>
  <c r="Q51" i="54" s="1"/>
  <c r="O57" i="54"/>
  <c r="P57" i="54" s="1"/>
  <c r="Q57" i="54" s="1"/>
  <c r="O31" i="54"/>
  <c r="P31" i="54" s="1"/>
  <c r="Q31" i="54" s="1"/>
  <c r="O35" i="54"/>
  <c r="P35" i="54" s="1"/>
  <c r="Q35" i="54" s="1"/>
  <c r="O55" i="54"/>
  <c r="P55" i="54" s="1"/>
  <c r="Q55" i="54" s="1"/>
  <c r="O32" i="54"/>
  <c r="P32" i="54" s="1"/>
  <c r="Q32" i="54" s="1"/>
  <c r="O8" i="54"/>
  <c r="P8" i="54" s="1"/>
  <c r="Q8" i="54" s="1"/>
  <c r="O38" i="54"/>
  <c r="P38" i="54" s="1"/>
  <c r="Q38" i="54" s="1"/>
  <c r="O52" i="54"/>
  <c r="P52" i="54" s="1"/>
  <c r="Q52" i="54" s="1"/>
  <c r="O41" i="54"/>
  <c r="P41" i="54" s="1"/>
  <c r="Q41" i="54" s="1"/>
  <c r="O47" i="54"/>
  <c r="P47" i="54" s="1"/>
  <c r="Q47" i="54" s="1"/>
  <c r="O61" i="54"/>
  <c r="P61" i="54" s="1"/>
  <c r="Q61" i="54" s="1"/>
  <c r="O33" i="54"/>
  <c r="P33" i="54" s="1"/>
  <c r="Q33" i="54" s="1"/>
  <c r="O63" i="54"/>
  <c r="P63" i="54" s="1"/>
  <c r="Q63" i="54" s="1"/>
  <c r="O46" i="54"/>
  <c r="P46" i="54" s="1"/>
  <c r="Q46" i="54" s="1"/>
  <c r="O56" i="54"/>
  <c r="P56" i="54" s="1"/>
  <c r="Q56" i="54" s="1"/>
  <c r="O45" i="54"/>
  <c r="P45" i="54" s="1"/>
  <c r="Q45" i="54" s="1"/>
  <c r="O42" i="54"/>
  <c r="P42" i="54" s="1"/>
  <c r="Q42" i="54" s="1"/>
  <c r="O36" i="54"/>
  <c r="P36" i="54" s="1"/>
  <c r="Q36" i="54" s="1"/>
  <c r="O37" i="54"/>
  <c r="P37" i="54" s="1"/>
  <c r="Q37" i="54" s="1"/>
  <c r="O49" i="54"/>
  <c r="P49" i="54" s="1"/>
  <c r="Q49" i="54" s="1"/>
  <c r="O53" i="54"/>
  <c r="P53" i="54" s="1"/>
  <c r="Q53" i="54" s="1"/>
  <c r="M63" i="52"/>
  <c r="N63" i="52" s="1"/>
  <c r="O63" i="52" s="1"/>
  <c r="O62" i="54"/>
  <c r="P62" i="54" s="1"/>
  <c r="Q62" i="54" s="1"/>
</calcChain>
</file>

<file path=xl/comments1.xml><?xml version="1.0" encoding="utf-8"?>
<comments xmlns="http://schemas.openxmlformats.org/spreadsheetml/2006/main">
  <authors>
    <author>admin</author>
  </authors>
  <commentList>
    <comment ref="B9" authorId="0">
      <text>
        <r>
          <rPr>
            <b/>
            <sz val="9"/>
            <color indexed="81"/>
            <rFont val="宋体"/>
            <family val="3"/>
            <charset val="134"/>
          </rPr>
          <t>admin:</t>
        </r>
        <r>
          <rPr>
            <sz val="9"/>
            <color indexed="81"/>
            <rFont val="宋体"/>
            <family val="3"/>
            <charset val="134"/>
          </rPr>
          <t xml:space="preserve">
已执行新金融工具准则</t>
        </r>
      </text>
    </comment>
    <comment ref="B10" authorId="0">
      <text>
        <r>
          <rPr>
            <b/>
            <sz val="9"/>
            <color indexed="81"/>
            <rFont val="宋体"/>
            <family val="3"/>
            <charset val="134"/>
          </rPr>
          <t>admin:</t>
        </r>
        <r>
          <rPr>
            <sz val="9"/>
            <color indexed="81"/>
            <rFont val="宋体"/>
            <family val="3"/>
            <charset val="134"/>
          </rPr>
          <t xml:space="preserve">
未执行新金融工具准则</t>
        </r>
      </text>
    </comment>
    <comment ref="G10" authorId="0">
      <text>
        <r>
          <rPr>
            <b/>
            <sz val="9"/>
            <color indexed="81"/>
            <rFont val="宋体"/>
            <family val="3"/>
            <charset val="134"/>
          </rPr>
          <t>admin:</t>
        </r>
        <r>
          <rPr>
            <sz val="9"/>
            <color indexed="81"/>
            <rFont val="宋体"/>
            <family val="3"/>
            <charset val="134"/>
          </rPr>
          <t xml:space="preserve">
已执行新金融工具准则</t>
        </r>
      </text>
    </comment>
    <comment ref="G11" authorId="0">
      <text>
        <r>
          <rPr>
            <b/>
            <sz val="9"/>
            <color indexed="81"/>
            <rFont val="宋体"/>
            <family val="3"/>
            <charset val="134"/>
          </rPr>
          <t>admin:</t>
        </r>
        <r>
          <rPr>
            <sz val="9"/>
            <color indexed="81"/>
            <rFont val="宋体"/>
            <family val="3"/>
            <charset val="134"/>
          </rPr>
          <t xml:space="preserve">
未执行新金融工具准则</t>
        </r>
      </text>
    </comment>
    <comment ref="B12" authorId="0">
      <text>
        <r>
          <rPr>
            <b/>
            <sz val="9"/>
            <color indexed="81"/>
            <rFont val="宋体"/>
            <family val="3"/>
            <charset val="134"/>
          </rPr>
          <t>admin:</t>
        </r>
        <r>
          <rPr>
            <sz val="9"/>
            <color indexed="81"/>
            <rFont val="宋体"/>
            <family val="3"/>
            <charset val="134"/>
          </rPr>
          <t xml:space="preserve">
财会[2019]6号</t>
        </r>
      </text>
    </comment>
    <comment ref="B13" authorId="0">
      <text>
        <r>
          <rPr>
            <b/>
            <sz val="9"/>
            <color indexed="81"/>
            <rFont val="宋体"/>
            <family val="3"/>
            <charset val="134"/>
          </rPr>
          <t>admin:</t>
        </r>
        <r>
          <rPr>
            <sz val="9"/>
            <color indexed="81"/>
            <rFont val="宋体"/>
            <family val="3"/>
            <charset val="134"/>
          </rPr>
          <t xml:space="preserve">
财会[2019]6号</t>
        </r>
      </text>
    </comment>
    <comment ref="G13" authorId="0">
      <text>
        <r>
          <rPr>
            <b/>
            <sz val="9"/>
            <color indexed="81"/>
            <rFont val="宋体"/>
            <family val="3"/>
            <charset val="134"/>
          </rPr>
          <t>admin:</t>
        </r>
        <r>
          <rPr>
            <sz val="9"/>
            <color indexed="81"/>
            <rFont val="宋体"/>
            <family val="3"/>
            <charset val="134"/>
          </rPr>
          <t xml:space="preserve">
财会[2019]6号</t>
        </r>
      </text>
    </comment>
    <comment ref="B14" authorId="0">
      <text>
        <r>
          <rPr>
            <b/>
            <sz val="9"/>
            <color indexed="81"/>
            <rFont val="宋体"/>
            <family val="3"/>
            <charset val="134"/>
          </rPr>
          <t>admin:</t>
        </r>
        <r>
          <rPr>
            <sz val="9"/>
            <color indexed="81"/>
            <rFont val="宋体"/>
            <family val="3"/>
            <charset val="134"/>
          </rPr>
          <t xml:space="preserve">
财会[2019]6号</t>
        </r>
      </text>
    </comment>
    <comment ref="G14" authorId="0">
      <text>
        <r>
          <rPr>
            <b/>
            <sz val="9"/>
            <color indexed="81"/>
            <rFont val="宋体"/>
            <family val="3"/>
            <charset val="134"/>
          </rPr>
          <t>admin:</t>
        </r>
        <r>
          <rPr>
            <sz val="9"/>
            <color indexed="81"/>
            <rFont val="宋体"/>
            <family val="3"/>
            <charset val="134"/>
          </rPr>
          <t xml:space="preserve">
财会[2019]6号</t>
        </r>
      </text>
    </comment>
    <comment ref="G18" authorId="0">
      <text>
        <r>
          <rPr>
            <b/>
            <sz val="9"/>
            <color indexed="81"/>
            <rFont val="宋体"/>
            <family val="3"/>
            <charset val="134"/>
          </rPr>
          <t>admin:</t>
        </r>
        <r>
          <rPr>
            <sz val="9"/>
            <color indexed="81"/>
            <rFont val="宋体"/>
            <family val="3"/>
            <charset val="134"/>
          </rPr>
          <t xml:space="preserve">
已执行新收入准则</t>
        </r>
      </text>
    </comment>
    <comment ref="B19" authorId="0">
      <text>
        <r>
          <rPr>
            <b/>
            <sz val="9"/>
            <color indexed="81"/>
            <rFont val="宋体"/>
            <family val="3"/>
            <charset val="134"/>
          </rPr>
          <t>admin:</t>
        </r>
        <r>
          <rPr>
            <sz val="9"/>
            <color indexed="81"/>
            <rFont val="宋体"/>
            <family val="3"/>
            <charset val="134"/>
          </rPr>
          <t xml:space="preserve">
应收利息+应收股利+其他应收款</t>
        </r>
      </text>
    </comment>
    <comment ref="G21" authorId="0">
      <text>
        <r>
          <rPr>
            <b/>
            <sz val="9"/>
            <color indexed="81"/>
            <rFont val="宋体"/>
            <family val="3"/>
            <charset val="134"/>
          </rPr>
          <t>admin:</t>
        </r>
        <r>
          <rPr>
            <sz val="9"/>
            <color indexed="81"/>
            <rFont val="宋体"/>
            <family val="3"/>
            <charset val="134"/>
          </rPr>
          <t xml:space="preserve">
应付利息+应付股利+其他应付款</t>
        </r>
      </text>
    </comment>
    <comment ref="B24" authorId="0">
      <text>
        <r>
          <rPr>
            <b/>
            <sz val="9"/>
            <color indexed="81"/>
            <rFont val="宋体"/>
            <family val="3"/>
            <charset val="134"/>
          </rPr>
          <t>admin:</t>
        </r>
        <r>
          <rPr>
            <sz val="9"/>
            <color indexed="81"/>
            <rFont val="宋体"/>
            <family val="3"/>
            <charset val="134"/>
          </rPr>
          <t xml:space="preserve">
已执行新收入准则</t>
        </r>
      </text>
    </comment>
    <comment ref="B33" authorId="0">
      <text>
        <r>
          <rPr>
            <b/>
            <sz val="9"/>
            <color indexed="81"/>
            <rFont val="宋体"/>
            <family val="3"/>
            <charset val="134"/>
          </rPr>
          <t>admin:</t>
        </r>
        <r>
          <rPr>
            <sz val="9"/>
            <color indexed="81"/>
            <rFont val="宋体"/>
            <family val="3"/>
            <charset val="134"/>
          </rPr>
          <t xml:space="preserve">
已执行新金融工具准则</t>
        </r>
      </text>
    </comment>
    <comment ref="B34" authorId="0">
      <text>
        <r>
          <rPr>
            <b/>
            <sz val="9"/>
            <color indexed="81"/>
            <rFont val="宋体"/>
            <family val="3"/>
            <charset val="134"/>
          </rPr>
          <t>admin:</t>
        </r>
        <r>
          <rPr>
            <sz val="9"/>
            <color indexed="81"/>
            <rFont val="宋体"/>
            <family val="3"/>
            <charset val="134"/>
          </rPr>
          <t xml:space="preserve">
未执行新金融工具准则</t>
        </r>
      </text>
    </comment>
    <comment ref="B35" authorId="0">
      <text>
        <r>
          <rPr>
            <b/>
            <sz val="9"/>
            <color indexed="81"/>
            <rFont val="宋体"/>
            <family val="3"/>
            <charset val="134"/>
          </rPr>
          <t>admin:</t>
        </r>
        <r>
          <rPr>
            <sz val="9"/>
            <color indexed="81"/>
            <rFont val="宋体"/>
            <family val="3"/>
            <charset val="134"/>
          </rPr>
          <t xml:space="preserve">
已执行新金融工具准则</t>
        </r>
      </text>
    </comment>
    <comment ref="B36" authorId="0">
      <text>
        <r>
          <rPr>
            <b/>
            <sz val="9"/>
            <color indexed="81"/>
            <rFont val="宋体"/>
            <family val="3"/>
            <charset val="134"/>
          </rPr>
          <t>admin:</t>
        </r>
        <r>
          <rPr>
            <sz val="9"/>
            <color indexed="81"/>
            <rFont val="宋体"/>
            <family val="3"/>
            <charset val="134"/>
          </rPr>
          <t xml:space="preserve">
未执行新金融工具准则</t>
        </r>
      </text>
    </comment>
    <comment ref="G37" authorId="0">
      <text>
        <r>
          <rPr>
            <b/>
            <sz val="9"/>
            <color indexed="81"/>
            <rFont val="宋体"/>
            <family val="3"/>
            <charset val="134"/>
          </rPr>
          <t>admin:</t>
        </r>
        <r>
          <rPr>
            <sz val="9"/>
            <color indexed="81"/>
            <rFont val="宋体"/>
            <family val="3"/>
            <charset val="134"/>
          </rPr>
          <t xml:space="preserve">
已执行新租赁准则</t>
        </r>
      </text>
    </comment>
    <comment ref="B40" authorId="0">
      <text>
        <r>
          <rPr>
            <b/>
            <sz val="9"/>
            <color indexed="81"/>
            <rFont val="宋体"/>
            <family val="3"/>
            <charset val="134"/>
          </rPr>
          <t>admin:</t>
        </r>
        <r>
          <rPr>
            <sz val="9"/>
            <color indexed="81"/>
            <rFont val="宋体"/>
            <family val="3"/>
            <charset val="134"/>
          </rPr>
          <t xml:space="preserve">
已执行新金融工具准则</t>
        </r>
      </text>
    </comment>
    <comment ref="B41" authorId="0">
      <text>
        <r>
          <rPr>
            <b/>
            <sz val="9"/>
            <color indexed="81"/>
            <rFont val="宋体"/>
            <family val="3"/>
            <charset val="134"/>
          </rPr>
          <t>admin:</t>
        </r>
        <r>
          <rPr>
            <sz val="9"/>
            <color indexed="81"/>
            <rFont val="宋体"/>
            <family val="3"/>
            <charset val="134"/>
          </rPr>
          <t xml:space="preserve">
已执行新金融工具准则</t>
        </r>
      </text>
    </comment>
    <comment ref="B43" authorId="0">
      <text>
        <r>
          <rPr>
            <b/>
            <sz val="9"/>
            <color indexed="81"/>
            <rFont val="宋体"/>
            <family val="3"/>
            <charset val="134"/>
          </rPr>
          <t>admin:</t>
        </r>
        <r>
          <rPr>
            <sz val="9"/>
            <color indexed="81"/>
            <rFont val="宋体"/>
            <family val="3"/>
            <charset val="134"/>
          </rPr>
          <t xml:space="preserve">
固定资产+固定资产清理</t>
        </r>
      </text>
    </comment>
    <comment ref="B44" authorId="0">
      <text>
        <r>
          <rPr>
            <b/>
            <sz val="9"/>
            <color indexed="81"/>
            <rFont val="宋体"/>
            <family val="3"/>
            <charset val="134"/>
          </rPr>
          <t>admin:</t>
        </r>
        <r>
          <rPr>
            <sz val="9"/>
            <color indexed="81"/>
            <rFont val="宋体"/>
            <family val="3"/>
            <charset val="134"/>
          </rPr>
          <t xml:space="preserve">
在建工程+工程物资</t>
        </r>
      </text>
    </comment>
    <comment ref="B47" authorId="0">
      <text>
        <r>
          <rPr>
            <b/>
            <sz val="9"/>
            <color indexed="81"/>
            <rFont val="宋体"/>
            <family val="3"/>
            <charset val="134"/>
          </rPr>
          <t>admin:</t>
        </r>
        <r>
          <rPr>
            <sz val="9"/>
            <color indexed="81"/>
            <rFont val="宋体"/>
            <family val="3"/>
            <charset val="134"/>
          </rPr>
          <t xml:space="preserve">
已执行新租赁准则</t>
        </r>
      </text>
    </comment>
    <comment ref="L55" authorId="0">
      <text>
        <r>
          <rPr>
            <b/>
            <sz val="9"/>
            <color indexed="81"/>
            <rFont val="宋体"/>
            <family val="3"/>
            <charset val="134"/>
          </rPr>
          <t>admin:</t>
        </r>
        <r>
          <rPr>
            <sz val="9"/>
            <color indexed="81"/>
            <rFont val="宋体"/>
            <family val="3"/>
            <charset val="134"/>
          </rPr>
          <t xml:space="preserve">
已执行新金融工具准则</t>
        </r>
      </text>
    </comment>
    <comment ref="L56" authorId="0">
      <text>
        <r>
          <rPr>
            <b/>
            <sz val="9"/>
            <color indexed="81"/>
            <rFont val="宋体"/>
            <family val="3"/>
            <charset val="134"/>
          </rPr>
          <t>admin:</t>
        </r>
        <r>
          <rPr>
            <sz val="9"/>
            <color indexed="81"/>
            <rFont val="宋体"/>
            <family val="3"/>
            <charset val="134"/>
          </rPr>
          <t xml:space="preserve">
已执行新金融工具准则</t>
        </r>
      </text>
    </comment>
    <comment ref="L60" authorId="0">
      <text>
        <r>
          <rPr>
            <b/>
            <sz val="9"/>
            <color indexed="81"/>
            <rFont val="宋体"/>
            <family val="3"/>
            <charset val="134"/>
          </rPr>
          <t>admin:</t>
        </r>
        <r>
          <rPr>
            <sz val="9"/>
            <color indexed="81"/>
            <rFont val="宋体"/>
            <family val="3"/>
            <charset val="134"/>
          </rPr>
          <t xml:space="preserve">
已执行新金融工具准则</t>
        </r>
      </text>
    </comment>
    <comment ref="L61" authorId="0">
      <text>
        <r>
          <rPr>
            <b/>
            <sz val="9"/>
            <color indexed="81"/>
            <rFont val="宋体"/>
            <family val="3"/>
            <charset val="134"/>
          </rPr>
          <t>admin:</t>
        </r>
        <r>
          <rPr>
            <sz val="9"/>
            <color indexed="81"/>
            <rFont val="宋体"/>
            <family val="3"/>
            <charset val="134"/>
          </rPr>
          <t xml:space="preserve">
未执行新金融工具准则</t>
        </r>
      </text>
    </comment>
    <comment ref="L62" authorId="0">
      <text>
        <r>
          <rPr>
            <b/>
            <sz val="9"/>
            <color indexed="81"/>
            <rFont val="宋体"/>
            <family val="3"/>
            <charset val="134"/>
          </rPr>
          <t>admin:</t>
        </r>
        <r>
          <rPr>
            <sz val="9"/>
            <color indexed="81"/>
            <rFont val="宋体"/>
            <family val="3"/>
            <charset val="134"/>
          </rPr>
          <t xml:space="preserve">
已执行新金融工具准则</t>
        </r>
      </text>
    </comment>
    <comment ref="L63" authorId="0">
      <text>
        <r>
          <rPr>
            <b/>
            <sz val="9"/>
            <color indexed="81"/>
            <rFont val="宋体"/>
            <family val="3"/>
            <charset val="134"/>
          </rPr>
          <t>admin:</t>
        </r>
        <r>
          <rPr>
            <sz val="9"/>
            <color indexed="81"/>
            <rFont val="宋体"/>
            <family val="3"/>
            <charset val="134"/>
          </rPr>
          <t xml:space="preserve">
未执行新金融工具准则</t>
        </r>
      </text>
    </comment>
    <comment ref="L64" authorId="0">
      <text>
        <r>
          <rPr>
            <b/>
            <sz val="9"/>
            <color indexed="81"/>
            <rFont val="宋体"/>
            <family val="3"/>
            <charset val="134"/>
          </rPr>
          <t>admin:</t>
        </r>
        <r>
          <rPr>
            <sz val="9"/>
            <color indexed="81"/>
            <rFont val="宋体"/>
            <family val="3"/>
            <charset val="134"/>
          </rPr>
          <t xml:space="preserve">
已执行新金融工具准则</t>
        </r>
      </text>
    </comment>
  </commentList>
</comments>
</file>

<file path=xl/sharedStrings.xml><?xml version="1.0" encoding="utf-8"?>
<sst xmlns="http://schemas.openxmlformats.org/spreadsheetml/2006/main" count="1816" uniqueCount="1190">
  <si>
    <r>
      <t xml:space="preserve">     </t>
    </r>
    <r>
      <rPr>
        <b/>
        <sz val="10"/>
        <rFont val="宋体"/>
        <family val="3"/>
        <charset val="134"/>
      </rPr>
      <t>投资活动现金流入小计</t>
    </r>
    <phoneticPr fontId="3" type="noConversion"/>
  </si>
  <si>
    <t>其他</t>
    <phoneticPr fontId="3" type="noConversion"/>
  </si>
  <si>
    <t>投资性房地产</t>
    <phoneticPr fontId="3" type="noConversion"/>
  </si>
  <si>
    <r>
      <t xml:space="preserve">    </t>
    </r>
    <r>
      <rPr>
        <sz val="10"/>
        <rFont val="宋体"/>
        <family val="3"/>
        <charset val="134"/>
      </rPr>
      <t>加：营业外收入</t>
    </r>
    <phoneticPr fontId="3" type="noConversion"/>
  </si>
  <si>
    <t>其他</t>
    <phoneticPr fontId="3" type="noConversion"/>
  </si>
  <si>
    <r>
      <t xml:space="preserve">     </t>
    </r>
    <r>
      <rPr>
        <sz val="10"/>
        <rFont val="宋体"/>
        <family val="3"/>
        <charset val="134"/>
      </rPr>
      <t>购置固定资产、无形资产和其他长期资产所支付现金</t>
    </r>
    <r>
      <rPr>
        <sz val="10"/>
        <rFont val="Times New Roman"/>
        <family val="1"/>
      </rPr>
      <t xml:space="preserve"> </t>
    </r>
    <phoneticPr fontId="3" type="noConversion"/>
  </si>
  <si>
    <r>
      <t xml:space="preserve">     </t>
    </r>
    <r>
      <rPr>
        <b/>
        <sz val="10"/>
        <rFont val="宋体"/>
        <family val="3"/>
        <charset val="134"/>
      </rPr>
      <t>经营活动产生的现金流量净额</t>
    </r>
    <phoneticPr fontId="3" type="noConversion"/>
  </si>
  <si>
    <t>D18</t>
  </si>
  <si>
    <t>固定资产</t>
    <phoneticPr fontId="3" type="noConversion"/>
  </si>
  <si>
    <t>递延所得税负债</t>
    <phoneticPr fontId="3" type="noConversion"/>
  </si>
  <si>
    <r>
      <t xml:space="preserve">     </t>
    </r>
    <r>
      <rPr>
        <sz val="10"/>
        <rFont val="宋体"/>
        <family val="3"/>
        <charset val="134"/>
      </rPr>
      <t>投资所支付的现金</t>
    </r>
    <phoneticPr fontId="3" type="noConversion"/>
  </si>
  <si>
    <t>D19</t>
  </si>
  <si>
    <t>其他非流动负债</t>
    <phoneticPr fontId="3" type="noConversion"/>
  </si>
  <si>
    <t>专项应付款</t>
    <phoneticPr fontId="3" type="noConversion"/>
  </si>
  <si>
    <t>投资收益</t>
    <phoneticPr fontId="3" type="noConversion"/>
  </si>
  <si>
    <t>D20</t>
  </si>
  <si>
    <t>长期股权投资</t>
    <phoneticPr fontId="3" type="noConversion"/>
  </si>
  <si>
    <t>其他长期负债</t>
    <phoneticPr fontId="3" type="noConversion"/>
  </si>
  <si>
    <t>期货收益</t>
    <phoneticPr fontId="3" type="noConversion"/>
  </si>
  <si>
    <r>
      <t xml:space="preserve">     </t>
    </r>
    <r>
      <rPr>
        <sz val="10"/>
        <rFont val="宋体"/>
        <family val="3"/>
        <charset val="134"/>
      </rPr>
      <t>支付其他与投资活动有关的现金</t>
    </r>
    <phoneticPr fontId="3" type="noConversion"/>
  </si>
  <si>
    <t>投资所支付的现金</t>
    <phoneticPr fontId="3" type="noConversion"/>
  </si>
  <si>
    <t>D21</t>
  </si>
  <si>
    <t>补贴收入</t>
    <phoneticPr fontId="3" type="noConversion"/>
  </si>
  <si>
    <t xml:space="preserve">生产性生物资产 </t>
    <phoneticPr fontId="3" type="noConversion"/>
  </si>
  <si>
    <t>非流动负债合计</t>
    <phoneticPr fontId="3" type="noConversion"/>
  </si>
  <si>
    <r>
      <t xml:space="preserve">      </t>
    </r>
    <r>
      <rPr>
        <b/>
        <sz val="10"/>
        <rFont val="宋体"/>
        <family val="3"/>
        <charset val="134"/>
      </rPr>
      <t>投资活动现金流出小计</t>
    </r>
    <phoneticPr fontId="3" type="noConversion"/>
  </si>
  <si>
    <t>油气资产</t>
    <phoneticPr fontId="3" type="noConversion"/>
  </si>
  <si>
    <r>
      <t>负</t>
    </r>
    <r>
      <rPr>
        <b/>
        <sz val="10"/>
        <rFont val="Times New Roman"/>
        <family val="1"/>
      </rPr>
      <t xml:space="preserve"> </t>
    </r>
    <r>
      <rPr>
        <b/>
        <sz val="10"/>
        <rFont val="宋体"/>
        <family val="3"/>
        <charset val="134"/>
      </rPr>
      <t>债</t>
    </r>
    <r>
      <rPr>
        <b/>
        <sz val="10"/>
        <rFont val="Times New Roman"/>
        <family val="1"/>
      </rPr>
      <t xml:space="preserve"> </t>
    </r>
    <r>
      <rPr>
        <b/>
        <sz val="10"/>
        <rFont val="宋体"/>
        <family val="3"/>
        <charset val="134"/>
      </rPr>
      <t>合</t>
    </r>
    <r>
      <rPr>
        <b/>
        <sz val="10"/>
        <rFont val="Times New Roman"/>
        <family val="1"/>
      </rPr>
      <t xml:space="preserve"> </t>
    </r>
    <r>
      <rPr>
        <b/>
        <sz val="10"/>
        <rFont val="宋体"/>
        <family val="3"/>
        <charset val="134"/>
      </rPr>
      <t>计</t>
    </r>
    <phoneticPr fontId="3" type="noConversion"/>
  </si>
  <si>
    <t>营业外收入</t>
    <phoneticPr fontId="3" type="noConversion"/>
  </si>
  <si>
    <r>
      <t xml:space="preserve">     </t>
    </r>
    <r>
      <rPr>
        <b/>
        <sz val="10"/>
        <rFont val="宋体"/>
        <family val="3"/>
        <charset val="134"/>
      </rPr>
      <t>投资活动产生的现金流量净额</t>
    </r>
    <phoneticPr fontId="3" type="noConversion"/>
  </si>
  <si>
    <r>
      <t xml:space="preserve">     </t>
    </r>
    <r>
      <rPr>
        <sz val="10"/>
        <rFont val="宋体"/>
        <family val="3"/>
        <charset val="134"/>
      </rPr>
      <t>其他</t>
    </r>
    <phoneticPr fontId="3" type="noConversion"/>
  </si>
  <si>
    <t>D24</t>
  </si>
  <si>
    <t>三、筹资活动产生的现金流量</t>
    <phoneticPr fontId="3" type="noConversion"/>
  </si>
  <si>
    <t>D25</t>
  </si>
  <si>
    <t>开发支出</t>
    <phoneticPr fontId="3" type="noConversion"/>
  </si>
  <si>
    <r>
      <t xml:space="preserve">     </t>
    </r>
    <r>
      <rPr>
        <sz val="10"/>
        <rFont val="宋体"/>
        <family val="3"/>
        <charset val="134"/>
      </rPr>
      <t>吸收投资所收到的现金</t>
    </r>
    <phoneticPr fontId="3" type="noConversion"/>
  </si>
  <si>
    <r>
      <t>3</t>
    </r>
    <r>
      <rPr>
        <sz val="10"/>
        <rFont val="宋体"/>
        <family val="3"/>
        <charset val="134"/>
      </rPr>
      <t>、现金及现金等价物净变动情况：</t>
    </r>
    <phoneticPr fontId="3" type="noConversion"/>
  </si>
  <si>
    <t>其他</t>
    <phoneticPr fontId="3" type="noConversion"/>
  </si>
  <si>
    <t>D26</t>
  </si>
  <si>
    <t>商誉</t>
    <phoneticPr fontId="3" type="noConversion"/>
  </si>
  <si>
    <t>三、利润总额（亏损总额以“－”号填列）</t>
  </si>
  <si>
    <r>
      <t xml:space="preserve">     </t>
    </r>
    <r>
      <rPr>
        <sz val="10"/>
        <rFont val="宋体"/>
        <family val="3"/>
        <charset val="134"/>
      </rPr>
      <t>现金的期末余额</t>
    </r>
    <phoneticPr fontId="3" type="noConversion"/>
  </si>
  <si>
    <t>D27</t>
  </si>
  <si>
    <t>长期待摊费用</t>
    <phoneticPr fontId="3" type="noConversion"/>
  </si>
  <si>
    <r>
      <t xml:space="preserve">     </t>
    </r>
    <r>
      <rPr>
        <sz val="10"/>
        <rFont val="宋体"/>
        <family val="3"/>
        <charset val="134"/>
      </rPr>
      <t>取得借款收到的现金</t>
    </r>
    <phoneticPr fontId="3" type="noConversion"/>
  </si>
  <si>
    <t>D28</t>
  </si>
  <si>
    <t>递延所得税资产</t>
    <phoneticPr fontId="3" type="noConversion"/>
  </si>
  <si>
    <r>
      <t xml:space="preserve">     </t>
    </r>
    <r>
      <rPr>
        <sz val="10"/>
        <rFont val="宋体"/>
        <family val="3"/>
        <charset val="134"/>
      </rPr>
      <t>收到的其他与筹资活动有关的现金</t>
    </r>
    <phoneticPr fontId="3" type="noConversion"/>
  </si>
  <si>
    <t>现金的期末余额</t>
    <phoneticPr fontId="3" type="noConversion"/>
  </si>
  <si>
    <t>D29</t>
  </si>
  <si>
    <t>其他非流动资产</t>
    <phoneticPr fontId="3" type="noConversion"/>
  </si>
  <si>
    <t>累计折旧</t>
    <phoneticPr fontId="3" type="noConversion"/>
  </si>
  <si>
    <t>四、净利润（净亏损以“－”号填列）</t>
  </si>
  <si>
    <r>
      <t xml:space="preserve">     </t>
    </r>
    <r>
      <rPr>
        <b/>
        <sz val="10"/>
        <rFont val="宋体"/>
        <family val="3"/>
        <charset val="134"/>
      </rPr>
      <t>筹资活动现金流入小计</t>
    </r>
    <phoneticPr fontId="3" type="noConversion"/>
  </si>
  <si>
    <r>
      <t xml:space="preserve">     </t>
    </r>
    <r>
      <rPr>
        <sz val="10"/>
        <rFont val="宋体"/>
        <family val="3"/>
        <charset val="134"/>
      </rPr>
      <t>减：现金等价物的期初余额</t>
    </r>
    <phoneticPr fontId="3" type="noConversion"/>
  </si>
  <si>
    <t>现金的期初余额</t>
    <phoneticPr fontId="3" type="noConversion"/>
  </si>
  <si>
    <r>
      <t xml:space="preserve">     </t>
    </r>
    <r>
      <rPr>
        <sz val="10"/>
        <rFont val="宋体"/>
        <family val="3"/>
        <charset val="134"/>
      </rPr>
      <t>偿还债务支付的现金</t>
    </r>
    <phoneticPr fontId="3" type="noConversion"/>
  </si>
  <si>
    <t>固定资产减值准备</t>
    <phoneticPr fontId="3" type="noConversion"/>
  </si>
  <si>
    <t>营业外支出</t>
    <phoneticPr fontId="3" type="noConversion"/>
  </si>
  <si>
    <r>
      <t xml:space="preserve">     </t>
    </r>
    <r>
      <rPr>
        <sz val="10"/>
        <rFont val="宋体"/>
        <family val="3"/>
        <charset val="134"/>
      </rPr>
      <t>分配股利、利润或偿付利息支付的现金</t>
    </r>
    <phoneticPr fontId="3" type="noConversion"/>
  </si>
  <si>
    <t>现金等价物的期初余额</t>
    <phoneticPr fontId="3" type="noConversion"/>
  </si>
  <si>
    <t>偿还债务所支付的现金</t>
    <phoneticPr fontId="3" type="noConversion"/>
  </si>
  <si>
    <t>分配股利、利润和偿付利息所支付的现金</t>
    <phoneticPr fontId="3" type="noConversion"/>
  </si>
  <si>
    <r>
      <t xml:space="preserve">     </t>
    </r>
    <r>
      <rPr>
        <sz val="10"/>
        <rFont val="宋体"/>
        <family val="3"/>
        <charset val="134"/>
      </rPr>
      <t>支付其他与筹资活动有关的现金</t>
    </r>
    <phoneticPr fontId="3" type="noConversion"/>
  </si>
  <si>
    <r>
      <t xml:space="preserve">     </t>
    </r>
    <r>
      <rPr>
        <b/>
        <sz val="10"/>
        <rFont val="宋体"/>
        <family val="3"/>
        <charset val="134"/>
      </rPr>
      <t>筹资活动现金流出小计</t>
    </r>
    <phoneticPr fontId="3" type="noConversion"/>
  </si>
  <si>
    <t>待处理固定资产净损失</t>
    <phoneticPr fontId="3" type="noConversion"/>
  </si>
  <si>
    <t>法人资本</t>
    <phoneticPr fontId="3" type="noConversion"/>
  </si>
  <si>
    <t>四、汇率变动对现金及现金等价物的影响</t>
  </si>
  <si>
    <t>E1</t>
    <phoneticPr fontId="3" type="noConversion"/>
  </si>
  <si>
    <t xml:space="preserve">    加：期初现金及现金等价物余额</t>
  </si>
  <si>
    <t>六、期末现金及现金等价物余额</t>
    <phoneticPr fontId="3" type="noConversion"/>
  </si>
  <si>
    <r>
      <t xml:space="preserve">     </t>
    </r>
    <r>
      <rPr>
        <b/>
        <sz val="10"/>
        <rFont val="宋体"/>
        <family val="3"/>
        <charset val="134"/>
      </rPr>
      <t>现金及现金等价物净增加额</t>
    </r>
    <phoneticPr fontId="3" type="noConversion"/>
  </si>
  <si>
    <t>E3</t>
  </si>
  <si>
    <t>所得税</t>
    <phoneticPr fontId="3" type="noConversion"/>
  </si>
  <si>
    <t>汇率变动对现金的影响额</t>
    <phoneticPr fontId="3" type="noConversion"/>
  </si>
  <si>
    <t>E4</t>
  </si>
  <si>
    <t>资本公积</t>
    <phoneticPr fontId="3" type="noConversion"/>
  </si>
  <si>
    <t>盈余公积━法定或任意公积</t>
    <phoneticPr fontId="3" type="noConversion"/>
  </si>
  <si>
    <t>E6</t>
  </si>
  <si>
    <t>其中：固定资产修理</t>
    <phoneticPr fontId="3" type="noConversion"/>
  </si>
  <si>
    <t>盈余公积━法定公益金</t>
    <phoneticPr fontId="3" type="noConversion"/>
  </si>
  <si>
    <t>E7</t>
  </si>
  <si>
    <t>固定资产改良支出</t>
    <phoneticPr fontId="3" type="noConversion"/>
  </si>
  <si>
    <t>未确认的投资损失</t>
    <phoneticPr fontId="3" type="noConversion"/>
  </si>
  <si>
    <t>年初未分配利润</t>
    <phoneticPr fontId="3" type="noConversion"/>
  </si>
  <si>
    <t>E8</t>
  </si>
  <si>
    <t>其他长期资产</t>
    <phoneticPr fontId="3" type="noConversion"/>
  </si>
  <si>
    <t>未分配利润</t>
    <phoneticPr fontId="3" type="noConversion"/>
  </si>
  <si>
    <t>盈余公积金转入数</t>
    <phoneticPr fontId="3" type="noConversion"/>
  </si>
  <si>
    <t>递延税款借项</t>
    <phoneticPr fontId="3" type="noConversion"/>
  </si>
  <si>
    <t>提取储备基金</t>
    <phoneticPr fontId="3" type="noConversion"/>
  </si>
  <si>
    <t xml:space="preserve">提取企业发展基金 </t>
    <phoneticPr fontId="3" type="noConversion"/>
  </si>
  <si>
    <t xml:space="preserve">利润归还投资 </t>
    <phoneticPr fontId="3" type="noConversion"/>
  </si>
  <si>
    <t>E20</t>
  </si>
  <si>
    <t>应付优先股股利</t>
    <phoneticPr fontId="3" type="noConversion"/>
  </si>
  <si>
    <t>提取任意盈余公积金</t>
    <phoneticPr fontId="3" type="noConversion"/>
  </si>
  <si>
    <t>应付普通股股利</t>
    <phoneticPr fontId="3" type="noConversion"/>
  </si>
  <si>
    <t>转作资本的普通股股利</t>
    <phoneticPr fontId="3" type="noConversion"/>
  </si>
  <si>
    <t>G1</t>
    <phoneticPr fontId="3" type="noConversion"/>
  </si>
  <si>
    <t>G2</t>
    <phoneticPr fontId="3" type="noConversion"/>
  </si>
  <si>
    <t>G3</t>
    <phoneticPr fontId="3" type="noConversion"/>
  </si>
  <si>
    <t>勾稽核对：</t>
    <phoneticPr fontId="13" type="noConversion"/>
  </si>
  <si>
    <t>资产负债平衡</t>
    <phoneticPr fontId="13" type="noConversion"/>
  </si>
  <si>
    <t>检验非流动资产公式</t>
    <phoneticPr fontId="3" type="noConversion"/>
  </si>
  <si>
    <t>检验非流动资产公式</t>
    <phoneticPr fontId="3" type="noConversion"/>
  </si>
  <si>
    <t>检验非流动负债公式</t>
    <phoneticPr fontId="3" type="noConversion"/>
  </si>
  <si>
    <t>检验非流动负债公式</t>
    <phoneticPr fontId="3" type="noConversion"/>
  </si>
  <si>
    <t>检验归属于母公司股东权益公式</t>
    <phoneticPr fontId="3" type="noConversion"/>
  </si>
  <si>
    <t>检验归属于母公司股东权益公式</t>
    <phoneticPr fontId="3" type="noConversion"/>
  </si>
  <si>
    <t>检验股东权益公式</t>
    <phoneticPr fontId="3" type="noConversion"/>
  </si>
  <si>
    <t>检验股东权益公式</t>
    <phoneticPr fontId="3" type="noConversion"/>
  </si>
  <si>
    <t>检验营业收入公式</t>
    <phoneticPr fontId="7" type="noConversion"/>
  </si>
  <si>
    <t>检验营业成本公式</t>
    <phoneticPr fontId="7" type="noConversion"/>
  </si>
  <si>
    <t>检验净利润公式</t>
    <phoneticPr fontId="7" type="noConversion"/>
  </si>
  <si>
    <t>检验归属于母公司所有者的净利润公式</t>
    <phoneticPr fontId="7" type="noConversion"/>
  </si>
  <si>
    <t>母公司资产负债表汇总（审定数）</t>
    <phoneticPr fontId="13" type="noConversion"/>
  </si>
  <si>
    <t>母公司现金流量表汇总（审定数）</t>
    <phoneticPr fontId="13" type="noConversion"/>
  </si>
  <si>
    <t>主表期末现金及现金等价物余额公式</t>
    <phoneticPr fontId="13" type="noConversion"/>
  </si>
  <si>
    <t>附表公允价值变动损失与P/L公允价值变动收益勾稽</t>
    <phoneticPr fontId="67" type="noConversion"/>
  </si>
  <si>
    <t>附表财务费用与P/L财务费用-利息支出勾稽</t>
    <phoneticPr fontId="67" type="noConversion"/>
  </si>
  <si>
    <t>附表递延所得税资产减少与B/S延所得税资产勾稽</t>
    <phoneticPr fontId="67" type="noConversion"/>
  </si>
  <si>
    <t>附表递延所得税负债增加与B/S延所得税负债勾稽</t>
    <phoneticPr fontId="67" type="noConversion"/>
  </si>
  <si>
    <t>辅助检验：</t>
    <phoneticPr fontId="13" type="noConversion"/>
  </si>
  <si>
    <t>附表存货的减少与B/S存货检验</t>
    <phoneticPr fontId="13" type="noConversion"/>
  </si>
  <si>
    <t>附注金额：</t>
    <phoneticPr fontId="13" type="noConversion"/>
  </si>
  <si>
    <t>附注</t>
    <phoneticPr fontId="67" type="noConversion"/>
  </si>
  <si>
    <t>差异：</t>
    <phoneticPr fontId="13" type="noConversion"/>
  </si>
  <si>
    <t>母公司汇总</t>
    <phoneticPr fontId="3" type="noConversion"/>
  </si>
  <si>
    <t>附表递延所得税资产减少与B/S延所得税资产勾稽</t>
    <phoneticPr fontId="67" type="noConversion"/>
  </si>
  <si>
    <t>附表递延所得税负债增加与B/S延所得税负债勾稽</t>
    <phoneticPr fontId="67" type="noConversion"/>
  </si>
  <si>
    <t>辅助检验：</t>
    <phoneticPr fontId="13" type="noConversion"/>
  </si>
  <si>
    <t>主表借款、还款与B/S长短期借款检验</t>
    <phoneticPr fontId="13" type="noConversion"/>
  </si>
  <si>
    <t>附表存货的减少与B/S存货检验</t>
    <phoneticPr fontId="13" type="noConversion"/>
  </si>
  <si>
    <t>附表经营性应收项目的减少与B/S经营性应收检验（坏账准备后）</t>
    <phoneticPr fontId="13" type="noConversion"/>
  </si>
  <si>
    <t>附表经营性应付项目的增加与B/S经营性应付检验</t>
    <phoneticPr fontId="13" type="noConversion"/>
  </si>
  <si>
    <t>附注金额：</t>
    <phoneticPr fontId="13" type="noConversion"/>
  </si>
  <si>
    <t>计提的资产减值准备</t>
    <phoneticPr fontId="13" type="noConversion"/>
  </si>
  <si>
    <t>固定资产折旧</t>
    <phoneticPr fontId="13" type="noConversion"/>
  </si>
  <si>
    <t>无形资产摊销</t>
    <phoneticPr fontId="13" type="noConversion"/>
  </si>
  <si>
    <t>长期待摊费用摊销</t>
    <phoneticPr fontId="13" type="noConversion"/>
  </si>
  <si>
    <t>处置固定资产、无形资产和其他长期资产的损失（减：收益）</t>
    <phoneticPr fontId="13" type="noConversion"/>
  </si>
  <si>
    <t>固定资产报废损失</t>
    <phoneticPr fontId="13" type="noConversion"/>
  </si>
  <si>
    <t>差异：</t>
    <phoneticPr fontId="13" type="noConversion"/>
  </si>
  <si>
    <t>公允价值变动损失</t>
  </si>
  <si>
    <t>公允价值变动损失</t>
    <phoneticPr fontId="13" type="noConversion"/>
  </si>
  <si>
    <t>审定汇总</t>
    <phoneticPr fontId="3" type="noConversion"/>
  </si>
  <si>
    <t>审定汇总</t>
    <phoneticPr fontId="3" type="noConversion"/>
  </si>
  <si>
    <t>检验营业收入公式</t>
    <phoneticPr fontId="7" type="noConversion"/>
  </si>
  <si>
    <t>检验营业成本公式</t>
    <phoneticPr fontId="7" type="noConversion"/>
  </si>
  <si>
    <t>检验净利润公式</t>
    <phoneticPr fontId="7" type="noConversion"/>
  </si>
  <si>
    <t>检验归属于母公司所有者的净利润公式</t>
    <phoneticPr fontId="7" type="noConversion"/>
  </si>
  <si>
    <t>合并报表归属于母公司所有者权益与母公司所有者权益检验</t>
    <phoneticPr fontId="7" type="noConversion"/>
  </si>
  <si>
    <t>合并报表归属于母公司所有者的净利润与母公司净利润检验</t>
    <phoneticPr fontId="7" type="noConversion"/>
  </si>
  <si>
    <t>内部形成存货中未实现的销售利润</t>
  </si>
  <si>
    <t>调整年初内部形成存货中未实现的销售利润</t>
  </si>
  <si>
    <t>公允价值变动损失</t>
    <phoneticPr fontId="67" type="noConversion"/>
  </si>
  <si>
    <t>母公司附注</t>
    <phoneticPr fontId="67" type="noConversion"/>
  </si>
  <si>
    <r>
      <t>毛利</t>
    </r>
    <r>
      <rPr>
        <sz val="9"/>
        <rFont val="Times New Roman"/>
        <family val="1"/>
      </rPr>
      <t>/</t>
    </r>
    <r>
      <rPr>
        <sz val="9"/>
        <rFont val="宋体"/>
        <family val="3"/>
        <charset val="134"/>
      </rPr>
      <t>营业收入净额</t>
    </r>
    <phoneticPr fontId="3" type="noConversion"/>
  </si>
  <si>
    <r>
      <t>（营业利润</t>
    </r>
    <r>
      <rPr>
        <sz val="9"/>
        <rFont val="Times New Roman"/>
        <family val="1"/>
      </rPr>
      <t>+</t>
    </r>
    <r>
      <rPr>
        <sz val="9"/>
        <rFont val="宋体"/>
        <family val="3"/>
        <charset val="134"/>
      </rPr>
      <t>利息支出净额）</t>
    </r>
    <r>
      <rPr>
        <sz val="9"/>
        <rFont val="Times New Roman"/>
        <family val="1"/>
      </rPr>
      <t>/</t>
    </r>
    <r>
      <rPr>
        <sz val="9"/>
        <rFont val="宋体"/>
        <family val="3"/>
        <charset val="134"/>
      </rPr>
      <t>营业收入净额</t>
    </r>
    <phoneticPr fontId="3" type="noConversion"/>
  </si>
  <si>
    <r>
      <t>净利润</t>
    </r>
    <r>
      <rPr>
        <sz val="9"/>
        <rFont val="Times New Roman"/>
        <family val="1"/>
      </rPr>
      <t>/</t>
    </r>
    <r>
      <rPr>
        <sz val="9"/>
        <rFont val="宋体"/>
        <family val="3"/>
        <charset val="134"/>
      </rPr>
      <t>营业收入净额</t>
    </r>
    <phoneticPr fontId="3" type="noConversion"/>
  </si>
  <si>
    <r>
      <t>营业利润</t>
    </r>
    <r>
      <rPr>
        <sz val="9"/>
        <rFont val="Times New Roman"/>
        <family val="1"/>
      </rPr>
      <t>/</t>
    </r>
    <r>
      <rPr>
        <sz val="9"/>
        <rFont val="宋体"/>
        <family val="3"/>
        <charset val="134"/>
      </rPr>
      <t>（营业成本</t>
    </r>
    <r>
      <rPr>
        <sz val="9"/>
        <rFont val="Times New Roman"/>
        <family val="1"/>
      </rPr>
      <t>+</t>
    </r>
    <r>
      <rPr>
        <sz val="9"/>
        <rFont val="宋体"/>
        <family val="3"/>
        <charset val="134"/>
      </rPr>
      <t>销售费用</t>
    </r>
    <r>
      <rPr>
        <sz val="9"/>
        <rFont val="Times New Roman"/>
        <family val="1"/>
      </rPr>
      <t>+</t>
    </r>
    <r>
      <rPr>
        <sz val="9"/>
        <rFont val="宋体"/>
        <family val="3"/>
        <charset val="134"/>
      </rPr>
      <t>管理费用</t>
    </r>
    <r>
      <rPr>
        <sz val="9"/>
        <rFont val="Times New Roman"/>
        <family val="1"/>
      </rPr>
      <t>+</t>
    </r>
    <r>
      <rPr>
        <sz val="9"/>
        <rFont val="宋体"/>
        <family val="3"/>
        <charset val="134"/>
      </rPr>
      <t>财务费用）</t>
    </r>
    <phoneticPr fontId="3" type="noConversion"/>
  </si>
  <si>
    <r>
      <t>（货币资金</t>
    </r>
    <r>
      <rPr>
        <sz val="9"/>
        <rFont val="Times New Roman"/>
        <family val="1"/>
      </rPr>
      <t>+</t>
    </r>
    <r>
      <rPr>
        <sz val="9"/>
        <rFont val="宋体"/>
        <family val="3"/>
        <charset val="134"/>
      </rPr>
      <t>交易性金融资产）</t>
    </r>
    <r>
      <rPr>
        <sz val="9"/>
        <rFont val="Times New Roman"/>
        <family val="1"/>
      </rPr>
      <t>/</t>
    </r>
    <r>
      <rPr>
        <sz val="9"/>
        <rFont val="宋体"/>
        <family val="3"/>
        <charset val="134"/>
      </rPr>
      <t>流动负债</t>
    </r>
    <phoneticPr fontId="3" type="noConversion"/>
  </si>
  <si>
    <r>
      <t>负债总额</t>
    </r>
    <r>
      <rPr>
        <sz val="9"/>
        <rFont val="Times New Roman"/>
        <family val="1"/>
      </rPr>
      <t>/</t>
    </r>
    <r>
      <rPr>
        <sz val="9"/>
        <rFont val="宋体"/>
        <family val="3"/>
        <charset val="134"/>
      </rPr>
      <t>（所有者权益</t>
    </r>
    <r>
      <rPr>
        <sz val="9"/>
        <rFont val="Times New Roman"/>
        <family val="1"/>
      </rPr>
      <t>-</t>
    </r>
    <r>
      <rPr>
        <sz val="9"/>
        <rFont val="宋体"/>
        <family val="3"/>
        <charset val="134"/>
      </rPr>
      <t>无形资产</t>
    </r>
    <r>
      <rPr>
        <sz val="9"/>
        <rFont val="Times New Roman"/>
        <family val="1"/>
      </rPr>
      <t>-</t>
    </r>
    <r>
      <rPr>
        <sz val="9"/>
        <rFont val="宋体"/>
        <family val="3"/>
        <charset val="134"/>
      </rPr>
      <t>开发支出</t>
    </r>
    <r>
      <rPr>
        <sz val="9"/>
        <rFont val="Times New Roman"/>
        <family val="1"/>
      </rPr>
      <t>-</t>
    </r>
    <r>
      <rPr>
        <sz val="9"/>
        <rFont val="宋体"/>
        <family val="3"/>
        <charset val="134"/>
      </rPr>
      <t>商誉</t>
    </r>
    <r>
      <rPr>
        <sz val="9"/>
        <rFont val="Times New Roman"/>
        <family val="1"/>
      </rPr>
      <t>-</t>
    </r>
    <r>
      <rPr>
        <sz val="9"/>
        <rFont val="宋体"/>
        <family val="3"/>
        <charset val="134"/>
      </rPr>
      <t>递延资产）</t>
    </r>
    <phoneticPr fontId="3" type="noConversion"/>
  </si>
  <si>
    <r>
      <t>（税前利润</t>
    </r>
    <r>
      <rPr>
        <sz val="9"/>
        <rFont val="Times New Roman"/>
        <family val="1"/>
      </rPr>
      <t>+</t>
    </r>
    <r>
      <rPr>
        <sz val="9"/>
        <rFont val="宋体"/>
        <family val="3"/>
        <charset val="134"/>
      </rPr>
      <t>利息支出净额）</t>
    </r>
    <r>
      <rPr>
        <sz val="9"/>
        <rFont val="Times New Roman"/>
        <family val="1"/>
      </rPr>
      <t>/</t>
    </r>
    <r>
      <rPr>
        <sz val="9"/>
        <rFont val="宋体"/>
        <family val="3"/>
        <charset val="134"/>
      </rPr>
      <t>利息支出净额</t>
    </r>
    <phoneticPr fontId="3" type="noConversion"/>
  </si>
  <si>
    <r>
      <t>（流动资产</t>
    </r>
    <r>
      <rPr>
        <sz val="9"/>
        <rFont val="Times New Roman"/>
        <family val="1"/>
      </rPr>
      <t>-</t>
    </r>
    <r>
      <rPr>
        <sz val="9"/>
        <rFont val="宋体"/>
        <family val="3"/>
        <charset val="134"/>
      </rPr>
      <t>流动负债）</t>
    </r>
    <r>
      <rPr>
        <sz val="9"/>
        <rFont val="Times New Roman"/>
        <family val="1"/>
      </rPr>
      <t>/</t>
    </r>
    <r>
      <rPr>
        <sz val="9"/>
        <rFont val="宋体"/>
        <family val="3"/>
        <charset val="134"/>
      </rPr>
      <t>非流动负债</t>
    </r>
    <phoneticPr fontId="3" type="noConversion"/>
  </si>
  <si>
    <r>
      <t>非流动负债</t>
    </r>
    <r>
      <rPr>
        <sz val="9"/>
        <rFont val="Times New Roman"/>
        <family val="1"/>
      </rPr>
      <t>/</t>
    </r>
    <r>
      <rPr>
        <sz val="9"/>
        <rFont val="宋体"/>
        <family val="3"/>
        <charset val="134"/>
      </rPr>
      <t>负债总额</t>
    </r>
    <phoneticPr fontId="3" type="noConversion"/>
  </si>
  <si>
    <r>
      <t>营业收入净额</t>
    </r>
    <r>
      <rPr>
        <sz val="9"/>
        <rFont val="Times New Roman"/>
        <family val="1"/>
      </rPr>
      <t>(annualized)/</t>
    </r>
    <r>
      <rPr>
        <sz val="9"/>
        <rFont val="宋体"/>
        <family val="3"/>
        <charset val="134"/>
      </rPr>
      <t>平均资产总额</t>
    </r>
    <phoneticPr fontId="3" type="noConversion"/>
  </si>
  <si>
    <r>
      <t>营业收入净额</t>
    </r>
    <r>
      <rPr>
        <sz val="9"/>
        <rFont val="Times New Roman"/>
        <family val="1"/>
      </rPr>
      <t>(annualized)/</t>
    </r>
    <r>
      <rPr>
        <sz val="9"/>
        <rFont val="宋体"/>
        <family val="3"/>
        <charset val="134"/>
      </rPr>
      <t>固定资产平均净值</t>
    </r>
    <phoneticPr fontId="3" type="noConversion"/>
  </si>
  <si>
    <r>
      <t>营业收入净额</t>
    </r>
    <r>
      <rPr>
        <sz val="9"/>
        <rFont val="Times New Roman"/>
        <family val="1"/>
      </rPr>
      <t>(annualized)/</t>
    </r>
    <r>
      <rPr>
        <sz val="9"/>
        <rFont val="宋体"/>
        <family val="3"/>
        <charset val="134"/>
      </rPr>
      <t>流动资产平均占用额</t>
    </r>
    <phoneticPr fontId="3" type="noConversion"/>
  </si>
  <si>
    <r>
      <t>营业成本</t>
    </r>
    <r>
      <rPr>
        <sz val="9"/>
        <rFont val="Times New Roman"/>
        <family val="1"/>
      </rPr>
      <t>(annualized)/</t>
    </r>
    <r>
      <rPr>
        <sz val="9"/>
        <rFont val="宋体"/>
        <family val="3"/>
        <charset val="134"/>
      </rPr>
      <t>存货平均余额</t>
    </r>
    <phoneticPr fontId="3" type="noConversion"/>
  </si>
  <si>
    <r>
      <t>经营活动净现金流量</t>
    </r>
    <r>
      <rPr>
        <sz val="9"/>
        <rFont val="Times New Roman"/>
        <family val="1"/>
      </rPr>
      <t>/</t>
    </r>
    <r>
      <rPr>
        <sz val="9"/>
        <rFont val="宋体"/>
        <family val="3"/>
        <charset val="134"/>
      </rPr>
      <t>营业收入净额</t>
    </r>
    <phoneticPr fontId="3" type="noConversion"/>
  </si>
  <si>
    <t>基本每股收益</t>
    <phoneticPr fontId="13" type="noConversion"/>
  </si>
  <si>
    <t>稀释每股收益</t>
    <phoneticPr fontId="13" type="noConversion"/>
  </si>
  <si>
    <t>归属于公司普通股股东的净利润</t>
    <phoneticPr fontId="13" type="noConversion"/>
  </si>
  <si>
    <r>
      <t>扣除非经常性损益后归属于公司普通股股东的净利润</t>
    </r>
    <r>
      <rPr>
        <sz val="10"/>
        <rFont val="Arial Narrow"/>
        <family val="2"/>
      </rPr>
      <t xml:space="preserve"> </t>
    </r>
    <phoneticPr fontId="13" type="noConversion"/>
  </si>
  <si>
    <t>项目</t>
    <phoneticPr fontId="13" type="noConversion"/>
  </si>
  <si>
    <t>本年数据</t>
    <phoneticPr fontId="13" type="noConversion"/>
  </si>
  <si>
    <t>上年数据</t>
    <phoneticPr fontId="13" type="noConversion"/>
  </si>
  <si>
    <t>归属于母公司股东的净利润</t>
    <phoneticPr fontId="13" type="noConversion"/>
  </si>
  <si>
    <t>减项</t>
    <phoneticPr fontId="13" type="noConversion"/>
  </si>
  <si>
    <t>已确认为费用的稀释性潜在普通股利息</t>
    <phoneticPr fontId="13" type="noConversion"/>
  </si>
  <si>
    <r>
      <t>归属于公司普通股股东的净利润</t>
    </r>
    <r>
      <rPr>
        <sz val="10"/>
        <rFont val="Arial Narrow"/>
        <family val="2"/>
      </rPr>
      <t>NP</t>
    </r>
    <phoneticPr fontId="13" type="noConversion"/>
  </si>
  <si>
    <r>
      <t>扣除非经常性损益后归属于公司普通股股东的净利润</t>
    </r>
    <r>
      <rPr>
        <sz val="10"/>
        <rFont val="Arial Narrow"/>
        <family val="2"/>
      </rPr>
      <t>P</t>
    </r>
    <phoneticPr fontId="13" type="noConversion"/>
  </si>
  <si>
    <t>转换费用</t>
    <phoneticPr fontId="13" type="noConversion"/>
  </si>
  <si>
    <t>非经常性损益（母＋子公司中母普通股股东所占份额）</t>
    <phoneticPr fontId="13" type="noConversion"/>
  </si>
  <si>
    <t>所得税率</t>
    <phoneticPr fontId="13" type="noConversion"/>
  </si>
  <si>
    <r>
      <t>归属于公司普通股股东的期初净资产</t>
    </r>
    <r>
      <rPr>
        <sz val="10"/>
        <rFont val="Arial Narrow"/>
        <family val="2"/>
      </rPr>
      <t>E0</t>
    </r>
    <phoneticPr fontId="13" type="noConversion"/>
  </si>
  <si>
    <t>少数股东权益</t>
    <phoneticPr fontId="13" type="noConversion"/>
  </si>
  <si>
    <r>
      <t>归属于公司普通股股东的期末净资产</t>
    </r>
    <r>
      <rPr>
        <sz val="10"/>
        <rFont val="Arial Narrow"/>
        <family val="2"/>
      </rPr>
      <t>E</t>
    </r>
    <phoneticPr fontId="13" type="noConversion"/>
  </si>
  <si>
    <r>
      <t>报告期月份数</t>
    </r>
    <r>
      <rPr>
        <sz val="10"/>
        <rFont val="Arial Narrow"/>
        <family val="2"/>
      </rPr>
      <t>M0</t>
    </r>
    <phoneticPr fontId="13" type="noConversion"/>
  </si>
  <si>
    <r>
      <t>发行新股或债转股等新增的、归属于公司普通股股东的净资产</t>
    </r>
    <r>
      <rPr>
        <sz val="10"/>
        <rFont val="Arial Narrow"/>
        <family val="2"/>
      </rPr>
      <t>Ei</t>
    </r>
    <phoneticPr fontId="13" type="noConversion"/>
  </si>
  <si>
    <r>
      <t>全面摊薄净资产收益率＝</t>
    </r>
    <r>
      <rPr>
        <sz val="10"/>
        <rFont val="Arial Narrow"/>
        <family val="2"/>
      </rPr>
      <t>P÷E</t>
    </r>
    <phoneticPr fontId="13" type="noConversion"/>
  </si>
  <si>
    <r>
      <t>新增净资产下一个月份至报告期期末的月份</t>
    </r>
    <r>
      <rPr>
        <sz val="10"/>
        <rFont val="Arial Narrow"/>
        <family val="2"/>
      </rPr>
      <t>Mi</t>
    </r>
    <phoneticPr fontId="13" type="noConversion"/>
  </si>
  <si>
    <r>
      <t>回购或现金分红等减少的、归属于公司普通股股东的净资产</t>
    </r>
    <r>
      <rPr>
        <sz val="10"/>
        <rFont val="Arial Narrow"/>
        <family val="2"/>
      </rPr>
      <t>Ej</t>
    </r>
    <phoneticPr fontId="13" type="noConversion"/>
  </si>
  <si>
    <t>加权平均净资产收益率：</t>
    <phoneticPr fontId="13" type="noConversion"/>
  </si>
  <si>
    <r>
      <t>减少净资产下一个月份至报告期期末的月份</t>
    </r>
    <r>
      <rPr>
        <sz val="10"/>
        <rFont val="Arial Narrow"/>
        <family val="2"/>
      </rPr>
      <t>Mj</t>
    </r>
    <phoneticPr fontId="13" type="noConversion"/>
  </si>
  <si>
    <t>P</t>
    <phoneticPr fontId="13" type="noConversion"/>
  </si>
  <si>
    <r>
      <t>其他交易或事项引起的净资产增减变动</t>
    </r>
    <r>
      <rPr>
        <sz val="10"/>
        <rFont val="Arial Narrow"/>
        <family val="2"/>
      </rPr>
      <t>Ek</t>
    </r>
    <phoneticPr fontId="13" type="noConversion"/>
  </si>
  <si>
    <t>ROE = ——————————————————</t>
    <phoneticPr fontId="13" type="noConversion"/>
  </si>
  <si>
    <r>
      <t>发生其他净资产增减变动下一月份起至报告期期末的月份数</t>
    </r>
    <r>
      <rPr>
        <sz val="10"/>
        <rFont val="Arial Narrow"/>
        <family val="2"/>
      </rPr>
      <t>Mk</t>
    </r>
    <phoneticPr fontId="13" type="noConversion"/>
  </si>
  <si>
    <t>E0 + NP÷2 + Ei×Mi÷M0 - Ej×Mj÷M0±Ek×Mk÷M0</t>
    <phoneticPr fontId="13" type="noConversion"/>
  </si>
  <si>
    <r>
      <t>期初股份总数</t>
    </r>
    <r>
      <rPr>
        <sz val="10"/>
        <rFont val="Arial Narrow"/>
        <family val="2"/>
      </rPr>
      <t>S0</t>
    </r>
    <phoneticPr fontId="13" type="noConversion"/>
  </si>
  <si>
    <t>期末股份总数</t>
    <phoneticPr fontId="13" type="noConversion"/>
  </si>
  <si>
    <r>
      <t>公积金转增股本或股票股利分配等增加股份数</t>
    </r>
    <r>
      <rPr>
        <sz val="10"/>
        <rFont val="Arial Narrow"/>
        <family val="2"/>
      </rPr>
      <t>S1</t>
    </r>
    <phoneticPr fontId="13" type="noConversion"/>
  </si>
  <si>
    <t>稀释性普通股</t>
    <phoneticPr fontId="13" type="noConversion"/>
  </si>
  <si>
    <r>
      <t>发行新股或债转股等增加股份数</t>
    </r>
    <r>
      <rPr>
        <sz val="10"/>
        <rFont val="Arial Narrow"/>
        <family val="2"/>
      </rPr>
      <t>Si</t>
    </r>
    <phoneticPr fontId="13" type="noConversion"/>
  </si>
  <si>
    <r>
      <t>增加股份下一月份起至报告期期末的月份数</t>
    </r>
    <r>
      <rPr>
        <sz val="10"/>
        <rFont val="Arial Narrow"/>
        <family val="2"/>
      </rPr>
      <t>Mi</t>
    </r>
    <phoneticPr fontId="13" type="noConversion"/>
  </si>
  <si>
    <r>
      <t>回购或缩股等减少股份数</t>
    </r>
    <r>
      <rPr>
        <sz val="10"/>
        <rFont val="Arial Narrow"/>
        <family val="2"/>
      </rPr>
      <t>Sj</t>
    </r>
    <phoneticPr fontId="13" type="noConversion"/>
  </si>
  <si>
    <r>
      <t>减少股份下一月份起至报告期期末的月份数</t>
    </r>
    <r>
      <rPr>
        <sz val="10"/>
        <rFont val="Arial Narrow"/>
        <family val="2"/>
      </rPr>
      <t>Mj</t>
    </r>
    <phoneticPr fontId="13" type="noConversion"/>
  </si>
  <si>
    <r>
      <t>为报告期缩股数</t>
    </r>
    <r>
      <rPr>
        <sz val="10"/>
        <rFont val="Arial Narrow"/>
        <family val="2"/>
      </rPr>
      <t>Sk</t>
    </r>
    <phoneticPr fontId="13" type="noConversion"/>
  </si>
  <si>
    <r>
      <t>发行在外的普通股加权平均数</t>
    </r>
    <r>
      <rPr>
        <sz val="10"/>
        <rFont val="Arial Narrow"/>
        <family val="2"/>
      </rPr>
      <t>S</t>
    </r>
    <phoneticPr fontId="13" type="noConversion"/>
  </si>
  <si>
    <t>稀释每股收益：</t>
    <phoneticPr fontId="13" type="noConversion"/>
  </si>
  <si>
    <r>
      <t>基本每股收益＝</t>
    </r>
    <r>
      <rPr>
        <sz val="10"/>
        <rFont val="Arial Narrow"/>
        <family val="2"/>
      </rPr>
      <t>P÷S</t>
    </r>
    <phoneticPr fontId="13" type="noConversion"/>
  </si>
  <si>
    <r>
      <t xml:space="preserve">                             P+</t>
    </r>
    <r>
      <rPr>
        <sz val="10"/>
        <rFont val="宋体"/>
        <family val="3"/>
        <charset val="134"/>
      </rPr>
      <t>（已确认为费用的稀释性潜在普通股利息－转换费用）</t>
    </r>
    <r>
      <rPr>
        <sz val="10"/>
        <rFont val="Times New Roman"/>
        <family val="1"/>
      </rPr>
      <t>×</t>
    </r>
    <r>
      <rPr>
        <sz val="10"/>
        <rFont val="宋体"/>
        <family val="3"/>
        <charset val="134"/>
      </rPr>
      <t>（</t>
    </r>
    <r>
      <rPr>
        <sz val="10"/>
        <rFont val="Times New Roman"/>
        <family val="1"/>
      </rPr>
      <t>1</t>
    </r>
    <r>
      <rPr>
        <sz val="10"/>
        <rFont val="宋体"/>
        <family val="3"/>
        <charset val="134"/>
      </rPr>
      <t>－所得税率）</t>
    </r>
    <phoneticPr fontId="13" type="noConversion"/>
  </si>
  <si>
    <r>
      <t>S</t>
    </r>
    <r>
      <rPr>
        <sz val="10"/>
        <rFont val="宋体"/>
        <family val="3"/>
        <charset val="134"/>
      </rPr>
      <t>＝</t>
    </r>
    <r>
      <rPr>
        <sz val="10"/>
        <rFont val="Arial Narrow"/>
        <family val="2"/>
      </rPr>
      <t>S0</t>
    </r>
    <r>
      <rPr>
        <sz val="10"/>
        <rFont val="宋体"/>
        <family val="3"/>
        <charset val="134"/>
      </rPr>
      <t>＋</t>
    </r>
    <r>
      <rPr>
        <sz val="10"/>
        <rFont val="Arial Narrow"/>
        <family val="2"/>
      </rPr>
      <t>S1</t>
    </r>
    <r>
      <rPr>
        <sz val="10"/>
        <rFont val="宋体"/>
        <family val="3"/>
        <charset val="134"/>
      </rPr>
      <t>＋</t>
    </r>
    <r>
      <rPr>
        <sz val="10"/>
        <rFont val="Arial Narrow"/>
        <family val="2"/>
      </rPr>
      <t>Si×Mi÷M0</t>
    </r>
    <r>
      <rPr>
        <sz val="10"/>
        <rFont val="宋体"/>
        <family val="3"/>
        <charset val="134"/>
      </rPr>
      <t>－</t>
    </r>
    <r>
      <rPr>
        <sz val="10"/>
        <rFont val="Arial Narrow"/>
        <family val="2"/>
      </rPr>
      <t>Sj×Mj÷M0</t>
    </r>
    <r>
      <rPr>
        <sz val="10"/>
        <rFont val="宋体"/>
        <family val="3"/>
        <charset val="134"/>
      </rPr>
      <t>－</t>
    </r>
    <r>
      <rPr>
        <sz val="10"/>
        <rFont val="Arial Narrow"/>
        <family val="2"/>
      </rPr>
      <t>Sk</t>
    </r>
    <phoneticPr fontId="13" type="noConversion"/>
  </si>
  <si>
    <t>DEPS = ———————————————————————————————————————————</t>
    <phoneticPr fontId="13" type="noConversion"/>
  </si>
  <si>
    <r>
      <t xml:space="preserve">          S0</t>
    </r>
    <r>
      <rPr>
        <sz val="10"/>
        <rFont val="宋体"/>
        <family val="3"/>
        <charset val="134"/>
      </rPr>
      <t>＋</t>
    </r>
    <r>
      <rPr>
        <sz val="10"/>
        <rFont val="Times New Roman"/>
        <family val="1"/>
      </rPr>
      <t>S1</t>
    </r>
    <r>
      <rPr>
        <sz val="10"/>
        <rFont val="宋体"/>
        <family val="3"/>
        <charset val="134"/>
      </rPr>
      <t>＋</t>
    </r>
    <r>
      <rPr>
        <sz val="10"/>
        <rFont val="Times New Roman"/>
        <family val="1"/>
      </rPr>
      <t>Si×Mi÷M0</t>
    </r>
    <r>
      <rPr>
        <sz val="10"/>
        <rFont val="宋体"/>
        <family val="3"/>
        <charset val="134"/>
      </rPr>
      <t>－</t>
    </r>
    <r>
      <rPr>
        <sz val="10"/>
        <rFont val="Times New Roman"/>
        <family val="1"/>
      </rPr>
      <t>Sj×Mj÷M0</t>
    </r>
    <r>
      <rPr>
        <sz val="10"/>
        <rFont val="宋体"/>
        <family val="3"/>
        <charset val="134"/>
      </rPr>
      <t>－</t>
    </r>
    <r>
      <rPr>
        <sz val="10"/>
        <rFont val="Times New Roman"/>
        <family val="1"/>
      </rPr>
      <t>Sk</t>
    </r>
    <r>
      <rPr>
        <sz val="10"/>
        <rFont val="宋体"/>
        <family val="3"/>
        <charset val="134"/>
      </rPr>
      <t>＋认股权证、股份期权、可转换债券等增加的普通股加权平均数</t>
    </r>
    <phoneticPr fontId="13" type="noConversion"/>
  </si>
  <si>
    <t>上期利润</t>
    <phoneticPr fontId="13" type="noConversion"/>
  </si>
  <si>
    <t>报告期利润</t>
    <phoneticPr fontId="13" type="noConversion"/>
  </si>
  <si>
    <t>两年未分配利润勾稽</t>
    <phoneticPr fontId="7" type="noConversion"/>
  </si>
  <si>
    <t>附注</t>
    <phoneticPr fontId="3" type="noConversion"/>
  </si>
  <si>
    <t>流动资产合计</t>
  </si>
  <si>
    <t>资 产 总 计</t>
  </si>
  <si>
    <t>长期债权投资</t>
  </si>
  <si>
    <t>少数股东权益</t>
    <phoneticPr fontId="3" type="noConversion"/>
  </si>
  <si>
    <t>少数股东收益</t>
    <phoneticPr fontId="3" type="noConversion"/>
  </si>
  <si>
    <t>五、现金及现金等价物净增加额</t>
  </si>
  <si>
    <t>期货保证金</t>
    <phoneticPr fontId="3" type="noConversion"/>
  </si>
  <si>
    <t>应收出口退税</t>
    <phoneticPr fontId="3" type="noConversion"/>
  </si>
  <si>
    <t>其中：原材料</t>
  </si>
  <si>
    <t>库存商品（产成品）</t>
  </si>
  <si>
    <t>合并价差</t>
    <phoneticPr fontId="3" type="noConversion"/>
  </si>
  <si>
    <t>其中：土地使用权</t>
  </si>
  <si>
    <t>其中：特准储备资金</t>
    <phoneticPr fontId="3" type="noConversion"/>
  </si>
  <si>
    <t>其中：特准储备物资</t>
    <phoneticPr fontId="3" type="noConversion"/>
  </si>
  <si>
    <t>国家资本</t>
    <phoneticPr fontId="3" type="noConversion"/>
  </si>
  <si>
    <t>集体资本</t>
    <phoneticPr fontId="3" type="noConversion"/>
  </si>
  <si>
    <t>其中：国有法人资本</t>
    <phoneticPr fontId="3" type="noConversion"/>
  </si>
  <si>
    <t>集体法人资本</t>
    <phoneticPr fontId="3" type="noConversion"/>
  </si>
  <si>
    <t>个人资本</t>
    <phoneticPr fontId="3" type="noConversion"/>
  </si>
  <si>
    <t>外商资本</t>
    <phoneticPr fontId="3" type="noConversion"/>
  </si>
  <si>
    <t>其中：现金股利</t>
    <phoneticPr fontId="3" type="noConversion"/>
  </si>
  <si>
    <t>代购代销收入</t>
    <phoneticPr fontId="3" type="noConversion"/>
  </si>
  <si>
    <t>其他支出</t>
    <phoneticPr fontId="3" type="noConversion"/>
  </si>
  <si>
    <t>提取法定公积金</t>
  </si>
  <si>
    <t>提取职工福利及奖励金</t>
  </si>
  <si>
    <t>补充流动资本</t>
    <phoneticPr fontId="3" type="noConversion"/>
  </si>
  <si>
    <t>单项留用的利润</t>
    <phoneticPr fontId="3" type="noConversion"/>
  </si>
  <si>
    <t>在建工程</t>
    <phoneticPr fontId="3" type="noConversion"/>
  </si>
  <si>
    <t>无形资产</t>
    <phoneticPr fontId="3" type="noConversion"/>
  </si>
  <si>
    <t>其他应付款</t>
  </si>
  <si>
    <t>其他流动负债</t>
  </si>
  <si>
    <t>递延税款贷项</t>
    <phoneticPr fontId="3" type="noConversion"/>
  </si>
  <si>
    <t>项          目</t>
  </si>
  <si>
    <t>附注</t>
    <phoneticPr fontId="7" type="noConversion"/>
  </si>
  <si>
    <t>行次</t>
    <phoneticPr fontId="7" type="noConversion"/>
  </si>
  <si>
    <t>code</t>
    <phoneticPr fontId="50" type="noConversion"/>
  </si>
  <si>
    <t>报表勾稽关系审核表</t>
    <phoneticPr fontId="3" type="noConversion"/>
  </si>
  <si>
    <t>No.</t>
    <phoneticPr fontId="3" type="noConversion"/>
  </si>
  <si>
    <t>勾稽审核内容</t>
    <phoneticPr fontId="13" type="noConversion"/>
  </si>
  <si>
    <t>审核结果</t>
    <phoneticPr fontId="3" type="noConversion"/>
  </si>
  <si>
    <t>不符原因</t>
    <phoneticPr fontId="3" type="noConversion"/>
  </si>
  <si>
    <t>金额</t>
    <phoneticPr fontId="3" type="noConversion"/>
  </si>
  <si>
    <t>日期：</t>
  </si>
  <si>
    <t>流动资产：</t>
  </si>
  <si>
    <t>固定资产清理</t>
  </si>
  <si>
    <t>资本公积</t>
  </si>
  <si>
    <t>盈余公积</t>
  </si>
  <si>
    <t>未分配利润</t>
  </si>
  <si>
    <t>外币报表折算差额</t>
  </si>
  <si>
    <t>提取法定公益金</t>
  </si>
  <si>
    <t>索引：</t>
    <phoneticPr fontId="50" type="noConversion"/>
  </si>
  <si>
    <t>借方调整累计</t>
    <phoneticPr fontId="50" type="noConversion"/>
  </si>
  <si>
    <t>页码：</t>
    <phoneticPr fontId="50" type="noConversion"/>
  </si>
  <si>
    <t>贷方调整累计</t>
    <phoneticPr fontId="50" type="noConversion"/>
  </si>
  <si>
    <t>序号</t>
    <phoneticPr fontId="3" type="noConversion"/>
  </si>
  <si>
    <t>索引号</t>
    <phoneticPr fontId="50" type="noConversion"/>
  </si>
  <si>
    <t>调整说明</t>
    <phoneticPr fontId="3" type="noConversion"/>
  </si>
  <si>
    <t>借方科目</t>
    <phoneticPr fontId="3" type="noConversion"/>
  </si>
  <si>
    <t>二级科目</t>
    <phoneticPr fontId="3" type="noConversion"/>
  </si>
  <si>
    <t>贷方科目</t>
    <phoneticPr fontId="3" type="noConversion"/>
  </si>
  <si>
    <t>金额</t>
    <phoneticPr fontId="3" type="noConversion"/>
  </si>
  <si>
    <t>索引：</t>
    <phoneticPr fontId="50" type="noConversion"/>
  </si>
  <si>
    <t>借方调整累计</t>
    <phoneticPr fontId="50" type="noConversion"/>
  </si>
  <si>
    <t>页码：</t>
    <phoneticPr fontId="50" type="noConversion"/>
  </si>
  <si>
    <t>贷方调整累计</t>
    <phoneticPr fontId="50" type="noConversion"/>
  </si>
  <si>
    <t>索引号</t>
    <phoneticPr fontId="50" type="noConversion"/>
  </si>
  <si>
    <t>调整说明</t>
    <phoneticPr fontId="3" type="noConversion"/>
  </si>
  <si>
    <t>借方科目</t>
    <phoneticPr fontId="3" type="noConversion"/>
  </si>
  <si>
    <t>二级科目</t>
    <phoneticPr fontId="3" type="noConversion"/>
  </si>
  <si>
    <t>贷方科目</t>
    <phoneticPr fontId="3" type="noConversion"/>
  </si>
  <si>
    <t>一年内到期的长期债权投资</t>
    <phoneticPr fontId="3" type="noConversion"/>
  </si>
  <si>
    <t>工程物资</t>
    <phoneticPr fontId="3" type="noConversion"/>
  </si>
  <si>
    <t>code</t>
    <phoneticPr fontId="50" type="noConversion"/>
  </si>
  <si>
    <r>
      <t>索引：</t>
    </r>
    <r>
      <rPr>
        <sz val="10"/>
        <rFont val="Arial Narrow"/>
        <family val="2"/>
      </rPr>
      <t xml:space="preserve"> </t>
    </r>
    <r>
      <rPr>
        <u/>
        <sz val="10"/>
        <rFont val="Arial Narrow"/>
        <family val="2"/>
      </rPr>
      <t xml:space="preserve">           </t>
    </r>
    <phoneticPr fontId="3" type="noConversion"/>
  </si>
  <si>
    <t>日期：</t>
    <phoneticPr fontId="3" type="noConversion"/>
  </si>
  <si>
    <r>
      <t>分页：</t>
    </r>
    <r>
      <rPr>
        <u/>
        <sz val="10"/>
        <rFont val="Arial Narrow"/>
        <family val="2"/>
      </rPr>
      <t xml:space="preserve">       </t>
    </r>
    <r>
      <rPr>
        <sz val="10"/>
        <rFont val="Arial Narrow"/>
        <family val="2"/>
      </rPr>
      <t xml:space="preserve">    </t>
    </r>
    <phoneticPr fontId="3" type="noConversion"/>
  </si>
  <si>
    <t>账项调整</t>
    <phoneticPr fontId="3" type="noConversion"/>
  </si>
  <si>
    <t>报表调整</t>
    <phoneticPr fontId="3" type="noConversion"/>
  </si>
  <si>
    <t>调后数</t>
    <phoneticPr fontId="3" type="noConversion"/>
  </si>
  <si>
    <t>剥离调整</t>
    <phoneticPr fontId="3" type="noConversion"/>
  </si>
  <si>
    <t>项      目</t>
  </si>
  <si>
    <t>资产负债表</t>
    <phoneticPr fontId="3" type="noConversion"/>
  </si>
  <si>
    <t xml:space="preserve">  项   目</t>
    <phoneticPr fontId="3" type="noConversion"/>
  </si>
  <si>
    <t>资产负债表（续）</t>
    <phoneticPr fontId="3" type="noConversion"/>
  </si>
  <si>
    <t>现金流量表--补充资料</t>
    <phoneticPr fontId="3" type="noConversion"/>
  </si>
  <si>
    <r>
      <t>项</t>
    </r>
    <r>
      <rPr>
        <b/>
        <sz val="10"/>
        <rFont val="Times New Roman"/>
        <family val="1"/>
      </rPr>
      <t xml:space="preserve">            </t>
    </r>
    <r>
      <rPr>
        <b/>
        <sz val="10"/>
        <rFont val="宋体"/>
        <family val="3"/>
        <charset val="134"/>
      </rPr>
      <t>目</t>
    </r>
    <phoneticPr fontId="67" type="noConversion"/>
  </si>
  <si>
    <t>1、将净利润调节为经营活动现金流量：</t>
    <phoneticPr fontId="3" type="noConversion"/>
  </si>
  <si>
    <t>2、不涉及现金收支的投资和筹资活动：</t>
    <phoneticPr fontId="3" type="noConversion"/>
  </si>
  <si>
    <t>应付票据</t>
    <phoneticPr fontId="3" type="noConversion"/>
  </si>
  <si>
    <t>行次</t>
    <phoneticPr fontId="3" type="noConversion"/>
  </si>
  <si>
    <t>序号</t>
    <phoneticPr fontId="3" type="noConversion"/>
  </si>
  <si>
    <t>流动负债：</t>
    <phoneticPr fontId="3" type="noConversion"/>
  </si>
  <si>
    <t>应付工资</t>
    <phoneticPr fontId="3" type="noConversion"/>
  </si>
  <si>
    <t>应付福利费</t>
    <phoneticPr fontId="3" type="noConversion"/>
  </si>
  <si>
    <t>应付股利</t>
    <phoneticPr fontId="3" type="noConversion"/>
  </si>
  <si>
    <t>应交税金</t>
    <phoneticPr fontId="3" type="noConversion"/>
  </si>
  <si>
    <t>流动资产：</t>
    <phoneticPr fontId="3" type="noConversion"/>
  </si>
  <si>
    <t>二、投资活动产生的现金流量</t>
    <phoneticPr fontId="3" type="noConversion"/>
  </si>
  <si>
    <r>
      <t xml:space="preserve">     </t>
    </r>
    <r>
      <rPr>
        <b/>
        <sz val="10"/>
        <rFont val="宋体"/>
        <family val="3"/>
        <charset val="134"/>
      </rPr>
      <t>经营活动产生的现金流量净额</t>
    </r>
    <phoneticPr fontId="3" type="noConversion"/>
  </si>
  <si>
    <t>现金流量表</t>
    <phoneticPr fontId="3" type="noConversion"/>
  </si>
  <si>
    <t>支付的其他与筹资活动有关的现金</t>
    <phoneticPr fontId="3" type="noConversion"/>
  </si>
  <si>
    <r>
      <t xml:space="preserve">     </t>
    </r>
    <r>
      <rPr>
        <b/>
        <sz val="10"/>
        <rFont val="宋体"/>
        <family val="3"/>
        <charset val="134"/>
      </rPr>
      <t>筹资活动产生的现金流量净额</t>
    </r>
    <phoneticPr fontId="3" type="noConversion"/>
  </si>
  <si>
    <t>支付的其他与经营活动有关的现金</t>
    <phoneticPr fontId="3" type="noConversion"/>
  </si>
  <si>
    <t>取得投资收益所收到的现金</t>
    <phoneticPr fontId="3" type="noConversion"/>
  </si>
  <si>
    <t>处置固定资产、无形资产和其他长期资产所收回的现金净额</t>
    <phoneticPr fontId="3" type="noConversion"/>
  </si>
  <si>
    <t>收到的其他与投资活动有关的现金</t>
    <phoneticPr fontId="3" type="noConversion"/>
  </si>
  <si>
    <t>购置固定资产、无形资产和其他长期资产所支付的现金</t>
    <phoneticPr fontId="3" type="noConversion"/>
  </si>
  <si>
    <t>支付的其他与投资活动有关的现金</t>
    <phoneticPr fontId="3" type="noConversion"/>
  </si>
  <si>
    <t>吸收投资所收到的现金</t>
    <phoneticPr fontId="3" type="noConversion"/>
  </si>
  <si>
    <t>取得借款所收到的现金</t>
    <phoneticPr fontId="3" type="noConversion"/>
  </si>
  <si>
    <t>收到的其他与筹资活动有关的现金</t>
    <phoneticPr fontId="3" type="noConversion"/>
  </si>
  <si>
    <t>债务转为资本</t>
    <phoneticPr fontId="3" type="noConversion"/>
  </si>
  <si>
    <t>一年内到期的可转换公司债券</t>
    <phoneticPr fontId="3" type="noConversion"/>
  </si>
  <si>
    <t>融资租入固定资产</t>
    <phoneticPr fontId="3" type="noConversion"/>
  </si>
  <si>
    <r>
      <t xml:space="preserve">     </t>
    </r>
    <r>
      <rPr>
        <sz val="10"/>
        <rFont val="宋体"/>
        <family val="3"/>
        <charset val="134"/>
      </rPr>
      <t>债务转为资本</t>
    </r>
    <phoneticPr fontId="3" type="noConversion"/>
  </si>
  <si>
    <r>
      <t xml:space="preserve">     </t>
    </r>
    <r>
      <rPr>
        <sz val="10"/>
        <rFont val="宋体"/>
        <family val="3"/>
        <charset val="134"/>
      </rPr>
      <t>一年内到期的可转换公司债券</t>
    </r>
    <phoneticPr fontId="3" type="noConversion"/>
  </si>
  <si>
    <r>
      <t xml:space="preserve">     </t>
    </r>
    <r>
      <rPr>
        <sz val="10"/>
        <rFont val="宋体"/>
        <family val="3"/>
        <charset val="134"/>
      </rPr>
      <t>融资租入固定资产</t>
    </r>
    <phoneticPr fontId="3" type="noConversion"/>
  </si>
  <si>
    <r>
      <t xml:space="preserve">     </t>
    </r>
    <r>
      <rPr>
        <sz val="10"/>
        <rFont val="宋体"/>
        <family val="3"/>
        <charset val="134"/>
      </rPr>
      <t>减：现金的期初余额</t>
    </r>
    <phoneticPr fontId="3" type="noConversion"/>
  </si>
  <si>
    <r>
      <t xml:space="preserve">     </t>
    </r>
    <r>
      <rPr>
        <sz val="10"/>
        <rFont val="宋体"/>
        <family val="3"/>
        <charset val="134"/>
      </rPr>
      <t>加：现金等价物的期末余额</t>
    </r>
    <phoneticPr fontId="3" type="noConversion"/>
  </si>
  <si>
    <t>预提费用的增加（减：减少）</t>
    <phoneticPr fontId="3" type="noConversion"/>
  </si>
  <si>
    <t>处置固定资产、无形资产和其他长期资产的损失（减：收益）</t>
    <phoneticPr fontId="3" type="noConversion"/>
  </si>
  <si>
    <t>固定资产报废损失</t>
    <phoneticPr fontId="3" type="noConversion"/>
  </si>
  <si>
    <t>经营性应付项目的增加（减：减少）</t>
    <phoneticPr fontId="3" type="noConversion"/>
  </si>
  <si>
    <t>其他</t>
    <phoneticPr fontId="3" type="noConversion"/>
  </si>
  <si>
    <t>现金等价物的期末余额</t>
    <phoneticPr fontId="3" type="noConversion"/>
  </si>
  <si>
    <t>管理费用</t>
    <phoneticPr fontId="3" type="noConversion"/>
  </si>
  <si>
    <t>长期待摊费用</t>
    <phoneticPr fontId="3" type="noConversion"/>
  </si>
  <si>
    <t>应收补贴款</t>
    <phoneticPr fontId="3" type="noConversion"/>
  </si>
  <si>
    <t>存货</t>
    <phoneticPr fontId="3" type="noConversion"/>
  </si>
  <si>
    <t>其他流动资产</t>
    <phoneticPr fontId="3" type="noConversion"/>
  </si>
  <si>
    <t>报表数值</t>
    <phoneticPr fontId="3" type="noConversion"/>
  </si>
  <si>
    <t>逻辑值</t>
    <phoneticPr fontId="3" type="noConversion"/>
  </si>
  <si>
    <t>判断值</t>
    <phoneticPr fontId="3" type="noConversion"/>
  </si>
  <si>
    <t>报表项目</t>
    <phoneticPr fontId="50" type="noConversion"/>
  </si>
  <si>
    <t>本表没有颜色的单元格可以根据需要进行修改</t>
    <phoneticPr fontId="3" type="noConversion"/>
  </si>
  <si>
    <t>行次</t>
    <phoneticPr fontId="3" type="noConversion"/>
  </si>
  <si>
    <t>资产负债表期初核对</t>
    <phoneticPr fontId="3" type="noConversion"/>
  </si>
  <si>
    <t>差异
①-②</t>
    <phoneticPr fontId="3" type="noConversion"/>
  </si>
  <si>
    <t>报表格式</t>
  </si>
  <si>
    <t>借方</t>
    <phoneticPr fontId="3" type="noConversion"/>
  </si>
  <si>
    <t>贷方</t>
    <phoneticPr fontId="3" type="noConversion"/>
  </si>
  <si>
    <t>本表可根据需要插入行，</t>
    <phoneticPr fontId="50" type="noConversion"/>
  </si>
  <si>
    <t>请勿删除行。</t>
    <phoneticPr fontId="50" type="noConversion"/>
  </si>
  <si>
    <t>行次</t>
    <phoneticPr fontId="3" type="noConversion"/>
  </si>
  <si>
    <t>上年已审数</t>
    <phoneticPr fontId="3" type="noConversion"/>
  </si>
  <si>
    <t>本年比上年增长</t>
    <phoneticPr fontId="3" type="noConversion"/>
  </si>
  <si>
    <t>①</t>
    <phoneticPr fontId="3" type="noConversion"/>
  </si>
  <si>
    <t>②</t>
  </si>
  <si>
    <t>③=②-①</t>
  </si>
  <si>
    <t>④=③/①</t>
  </si>
  <si>
    <r>
      <t>资</t>
    </r>
    <r>
      <rPr>
        <b/>
        <sz val="10"/>
        <rFont val="Times New Roman"/>
        <family val="1"/>
      </rPr>
      <t xml:space="preserve">           </t>
    </r>
    <r>
      <rPr>
        <b/>
        <sz val="10"/>
        <rFont val="宋体"/>
        <family val="3"/>
        <charset val="134"/>
      </rPr>
      <t>产</t>
    </r>
    <phoneticPr fontId="3" type="noConversion"/>
  </si>
  <si>
    <t>变动额</t>
    <phoneticPr fontId="3" type="noConversion"/>
  </si>
  <si>
    <t>变动％</t>
    <phoneticPr fontId="3" type="noConversion"/>
  </si>
  <si>
    <t>变动额</t>
    <phoneticPr fontId="3" type="noConversion"/>
  </si>
  <si>
    <t>变动％</t>
    <phoneticPr fontId="3" type="noConversion"/>
  </si>
  <si>
    <t>已审数</t>
  </si>
  <si>
    <r>
      <t>比重</t>
    </r>
    <r>
      <rPr>
        <sz val="10"/>
        <rFont val="Times New Roman"/>
        <family val="1"/>
      </rPr>
      <t>%</t>
    </r>
    <phoneticPr fontId="3" type="noConversion"/>
  </si>
  <si>
    <t>③</t>
    <phoneticPr fontId="3" type="noConversion"/>
  </si>
  <si>
    <r>
      <t>本年比上年</t>
    </r>
    <r>
      <rPr>
        <sz val="10"/>
        <rFont val="Times New Roman"/>
        <family val="1"/>
      </rPr>
      <t xml:space="preserve">
</t>
    </r>
    <r>
      <rPr>
        <sz val="10"/>
        <rFont val="宋体"/>
        <family val="3"/>
        <charset val="134"/>
      </rPr>
      <t>增长差异</t>
    </r>
    <phoneticPr fontId="3" type="noConversion"/>
  </si>
  <si>
    <r>
      <t>分页：</t>
    </r>
    <r>
      <rPr>
        <u/>
        <sz val="10"/>
        <rFont val="Arial Narrow"/>
        <family val="2"/>
      </rPr>
      <t/>
    </r>
    <phoneticPr fontId="3" type="noConversion"/>
  </si>
  <si>
    <t>②</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</si>
  <si>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</si>
  <si>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</si>
  <si>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本年已审数</t>
    <phoneticPr fontId="3" type="noConversion"/>
  </si>
  <si>
    <t>已审资产负债表横向趋势分析－资产</t>
    <phoneticPr fontId="3" type="noConversion"/>
  </si>
  <si>
    <t>已审资产负债表横向趋势分析－负债</t>
    <phoneticPr fontId="3" type="noConversion"/>
  </si>
  <si>
    <t>已审资产负债表纵向趋势分析－资产</t>
    <phoneticPr fontId="3" type="noConversion"/>
  </si>
  <si>
    <t>已审资产负债表纵向趋势分析－负债</t>
    <phoneticPr fontId="3" type="noConversion"/>
  </si>
  <si>
    <t>指标名称</t>
    <phoneticPr fontId="3" type="noConversion"/>
  </si>
  <si>
    <t>分子数值</t>
    <phoneticPr fontId="3" type="noConversion"/>
  </si>
  <si>
    <t>分母数值</t>
    <phoneticPr fontId="3" type="noConversion"/>
  </si>
  <si>
    <t>增减</t>
    <phoneticPr fontId="3" type="noConversion"/>
  </si>
  <si>
    <t>结论</t>
    <phoneticPr fontId="3" type="noConversion"/>
  </si>
  <si>
    <t>一、获利能力分析</t>
    <phoneticPr fontId="3" type="noConversion"/>
  </si>
  <si>
    <r>
      <t>1</t>
    </r>
    <r>
      <rPr>
        <sz val="9"/>
        <rFont val="宋体"/>
        <family val="3"/>
        <charset val="134"/>
      </rPr>
      <t>、长期资本报酬率</t>
    </r>
    <phoneticPr fontId="3" type="noConversion"/>
  </si>
  <si>
    <r>
      <t>2</t>
    </r>
    <r>
      <rPr>
        <sz val="9"/>
        <rFont val="宋体"/>
        <family val="3"/>
        <charset val="134"/>
      </rPr>
      <t>、资本金收益率</t>
    </r>
    <phoneticPr fontId="3" type="noConversion"/>
  </si>
  <si>
    <r>
      <t>3</t>
    </r>
    <r>
      <rPr>
        <sz val="9"/>
        <rFont val="宋体"/>
        <family val="3"/>
        <charset val="134"/>
      </rPr>
      <t>、股东权益报酬率</t>
    </r>
    <phoneticPr fontId="3" type="noConversion"/>
  </si>
  <si>
    <r>
      <t>5</t>
    </r>
    <r>
      <rPr>
        <sz val="9"/>
        <rFont val="宋体"/>
        <family val="3"/>
        <charset val="134"/>
      </rPr>
      <t>、毛利率</t>
    </r>
    <phoneticPr fontId="3" type="noConversion"/>
  </si>
  <si>
    <r>
      <t>6</t>
    </r>
    <r>
      <rPr>
        <sz val="9"/>
        <rFont val="宋体"/>
        <family val="3"/>
        <charset val="134"/>
      </rPr>
      <t>、营业利润率</t>
    </r>
    <phoneticPr fontId="3" type="noConversion"/>
  </si>
  <si>
    <r>
      <t>7</t>
    </r>
    <r>
      <rPr>
        <sz val="9"/>
        <rFont val="宋体"/>
        <family val="3"/>
        <charset val="134"/>
      </rPr>
      <t>、销售净利率</t>
    </r>
    <phoneticPr fontId="3" type="noConversion"/>
  </si>
  <si>
    <r>
      <t>8</t>
    </r>
    <r>
      <rPr>
        <sz val="9"/>
        <rFont val="宋体"/>
        <family val="3"/>
        <charset val="134"/>
      </rPr>
      <t>、成本费用利润率</t>
    </r>
    <phoneticPr fontId="3" type="noConversion"/>
  </si>
  <si>
    <t>二、短期偿债能力分析</t>
    <phoneticPr fontId="3" type="noConversion"/>
  </si>
  <si>
    <r>
      <t>1</t>
    </r>
    <r>
      <rPr>
        <sz val="9"/>
        <rFont val="宋体"/>
        <family val="3"/>
        <charset val="134"/>
      </rPr>
      <t>、流动比率</t>
    </r>
    <phoneticPr fontId="3" type="noConversion"/>
  </si>
  <si>
    <r>
      <t>流动资产</t>
    </r>
    <r>
      <rPr>
        <sz val="9"/>
        <rFont val="Times New Roman"/>
        <family val="1"/>
      </rPr>
      <t>/</t>
    </r>
    <r>
      <rPr>
        <sz val="9"/>
        <rFont val="宋体"/>
        <family val="3"/>
        <charset val="134"/>
      </rPr>
      <t>流动负债</t>
    </r>
    <phoneticPr fontId="3" type="noConversion"/>
  </si>
  <si>
    <r>
      <t>2</t>
    </r>
    <r>
      <rPr>
        <sz val="9"/>
        <rFont val="宋体"/>
        <family val="3"/>
        <charset val="134"/>
      </rPr>
      <t>、速动比率</t>
    </r>
    <phoneticPr fontId="3" type="noConversion"/>
  </si>
  <si>
    <r>
      <t>速动资产</t>
    </r>
    <r>
      <rPr>
        <sz val="9"/>
        <rFont val="Times New Roman"/>
        <family val="1"/>
      </rPr>
      <t>/</t>
    </r>
    <r>
      <rPr>
        <sz val="9"/>
        <rFont val="宋体"/>
        <family val="3"/>
        <charset val="134"/>
      </rPr>
      <t>流动负债</t>
    </r>
    <phoneticPr fontId="3" type="noConversion"/>
  </si>
  <si>
    <r>
      <t>3</t>
    </r>
    <r>
      <rPr>
        <sz val="9"/>
        <rFont val="宋体"/>
        <family val="3"/>
        <charset val="134"/>
      </rPr>
      <t>、现金比率</t>
    </r>
    <phoneticPr fontId="3" type="noConversion"/>
  </si>
  <si>
    <t>三、长期偿债能力分析</t>
    <phoneticPr fontId="3" type="noConversion"/>
  </si>
  <si>
    <r>
      <t>1</t>
    </r>
    <r>
      <rPr>
        <sz val="9"/>
        <rFont val="宋体"/>
        <family val="3"/>
        <charset val="134"/>
      </rPr>
      <t>、资产负债比率</t>
    </r>
    <phoneticPr fontId="3" type="noConversion"/>
  </si>
  <si>
    <r>
      <t>负债总额</t>
    </r>
    <r>
      <rPr>
        <sz val="9"/>
        <rFont val="Times New Roman"/>
        <family val="1"/>
      </rPr>
      <t>/</t>
    </r>
    <r>
      <rPr>
        <sz val="9"/>
        <rFont val="宋体"/>
        <family val="3"/>
        <charset val="134"/>
      </rPr>
      <t>资产总额</t>
    </r>
    <phoneticPr fontId="3" type="noConversion"/>
  </si>
  <si>
    <r>
      <t>2</t>
    </r>
    <r>
      <rPr>
        <sz val="9"/>
        <rFont val="宋体"/>
        <family val="3"/>
        <charset val="134"/>
      </rPr>
      <t>、产权比率</t>
    </r>
    <phoneticPr fontId="3" type="noConversion"/>
  </si>
  <si>
    <r>
      <t>负债总额</t>
    </r>
    <r>
      <rPr>
        <sz val="9"/>
        <rFont val="Times New Roman"/>
        <family val="1"/>
      </rPr>
      <t>/</t>
    </r>
    <r>
      <rPr>
        <sz val="9"/>
        <rFont val="宋体"/>
        <family val="3"/>
        <charset val="134"/>
      </rPr>
      <t>所有者权益总额</t>
    </r>
    <phoneticPr fontId="3" type="noConversion"/>
  </si>
  <si>
    <r>
      <t>3</t>
    </r>
    <r>
      <rPr>
        <sz val="9"/>
        <rFont val="宋体"/>
        <family val="3"/>
        <charset val="134"/>
      </rPr>
      <t>、有形净值债务比率</t>
    </r>
    <phoneticPr fontId="3" type="noConversion"/>
  </si>
  <si>
    <r>
      <t>4</t>
    </r>
    <r>
      <rPr>
        <sz val="9"/>
        <rFont val="宋体"/>
        <family val="3"/>
        <charset val="134"/>
      </rPr>
      <t>、利息保障倍数</t>
    </r>
    <phoneticPr fontId="3" type="noConversion"/>
  </si>
  <si>
    <r>
      <t>5</t>
    </r>
    <r>
      <rPr>
        <sz val="9"/>
        <rFont val="宋体"/>
        <family val="3"/>
        <charset val="134"/>
      </rPr>
      <t>、营运资金长期负债比率</t>
    </r>
    <phoneticPr fontId="3" type="noConversion"/>
  </si>
  <si>
    <r>
      <t>6</t>
    </r>
    <r>
      <rPr>
        <sz val="9"/>
        <rFont val="宋体"/>
        <family val="3"/>
        <charset val="134"/>
      </rPr>
      <t>、长期负债比率</t>
    </r>
    <phoneticPr fontId="3" type="noConversion"/>
  </si>
  <si>
    <r>
      <t>7</t>
    </r>
    <r>
      <rPr>
        <sz val="9"/>
        <rFont val="宋体"/>
        <family val="3"/>
        <charset val="134"/>
      </rPr>
      <t>、融资结构弹性比率</t>
    </r>
    <phoneticPr fontId="3" type="noConversion"/>
  </si>
  <si>
    <r>
      <t>1</t>
    </r>
    <r>
      <rPr>
        <sz val="9"/>
        <rFont val="宋体"/>
        <family val="3"/>
        <charset val="134"/>
      </rPr>
      <t>、总资产周转率</t>
    </r>
    <phoneticPr fontId="3" type="noConversion"/>
  </si>
  <si>
    <r>
      <t>2</t>
    </r>
    <r>
      <rPr>
        <sz val="9"/>
        <rFont val="宋体"/>
        <family val="3"/>
        <charset val="134"/>
      </rPr>
      <t>、固定资产周转率</t>
    </r>
    <phoneticPr fontId="3" type="noConversion"/>
  </si>
  <si>
    <r>
      <t>3</t>
    </r>
    <r>
      <rPr>
        <sz val="9"/>
        <rFont val="宋体"/>
        <family val="3"/>
        <charset val="134"/>
      </rPr>
      <t>、流动资产周转率</t>
    </r>
    <phoneticPr fontId="3" type="noConversion"/>
  </si>
  <si>
    <r>
      <t>4</t>
    </r>
    <r>
      <rPr>
        <sz val="9"/>
        <rFont val="宋体"/>
        <family val="3"/>
        <charset val="134"/>
      </rPr>
      <t>、应收账款周转率</t>
    </r>
    <phoneticPr fontId="3" type="noConversion"/>
  </si>
  <si>
    <r>
      <t>5</t>
    </r>
    <r>
      <rPr>
        <sz val="9"/>
        <rFont val="宋体"/>
        <family val="3"/>
        <charset val="134"/>
      </rPr>
      <t>、存货周转率</t>
    </r>
    <phoneticPr fontId="3" type="noConversion"/>
  </si>
  <si>
    <r>
      <t>6</t>
    </r>
    <r>
      <rPr>
        <sz val="9"/>
        <rFont val="宋体"/>
        <family val="3"/>
        <charset val="134"/>
      </rPr>
      <t>、营业周期</t>
    </r>
    <phoneticPr fontId="3" type="noConversion"/>
  </si>
  <si>
    <r>
      <t>应收账款周转天数</t>
    </r>
    <r>
      <rPr>
        <sz val="9"/>
        <rFont val="Times New Roman"/>
        <family val="1"/>
      </rPr>
      <t>+</t>
    </r>
    <r>
      <rPr>
        <sz val="9"/>
        <rFont val="宋体"/>
        <family val="3"/>
        <charset val="134"/>
      </rPr>
      <t>存货周转天数</t>
    </r>
    <phoneticPr fontId="3" type="noConversion"/>
  </si>
  <si>
    <r>
      <t>1</t>
    </r>
    <r>
      <rPr>
        <sz val="9"/>
        <rFont val="宋体"/>
        <family val="3"/>
        <charset val="134"/>
      </rPr>
      <t>、经营活动净现金比率</t>
    </r>
    <r>
      <rPr>
        <sz val="9"/>
        <rFont val="Times New Roman"/>
        <family val="1"/>
      </rPr>
      <t>1</t>
    </r>
    <phoneticPr fontId="3" type="noConversion"/>
  </si>
  <si>
    <r>
      <t>经营活动净现金流量</t>
    </r>
    <r>
      <rPr>
        <sz val="9"/>
        <rFont val="Times New Roman"/>
        <family val="1"/>
      </rPr>
      <t>/</t>
    </r>
    <r>
      <rPr>
        <sz val="9"/>
        <rFont val="宋体"/>
        <family val="3"/>
        <charset val="134"/>
      </rPr>
      <t>流动负债</t>
    </r>
    <phoneticPr fontId="3" type="noConversion"/>
  </si>
  <si>
    <r>
      <t>2</t>
    </r>
    <r>
      <rPr>
        <sz val="9"/>
        <rFont val="宋体"/>
        <family val="3"/>
        <charset val="134"/>
      </rPr>
      <t>、经营活动净现金比率</t>
    </r>
    <r>
      <rPr>
        <sz val="9"/>
        <rFont val="Times New Roman"/>
        <family val="1"/>
      </rPr>
      <t>2</t>
    </r>
    <phoneticPr fontId="3" type="noConversion"/>
  </si>
  <si>
    <r>
      <t>经营活动净现金流量</t>
    </r>
    <r>
      <rPr>
        <sz val="9"/>
        <rFont val="Times New Roman"/>
        <family val="1"/>
      </rPr>
      <t>/</t>
    </r>
    <r>
      <rPr>
        <sz val="9"/>
        <rFont val="宋体"/>
        <family val="3"/>
        <charset val="134"/>
      </rPr>
      <t>负债总额</t>
    </r>
    <phoneticPr fontId="3" type="noConversion"/>
  </si>
  <si>
    <r>
      <t>3</t>
    </r>
    <r>
      <rPr>
        <sz val="9"/>
        <rFont val="宋体"/>
        <family val="3"/>
        <charset val="134"/>
      </rPr>
      <t>、净利润现金保证比率</t>
    </r>
    <phoneticPr fontId="3" type="noConversion"/>
  </si>
  <si>
    <r>
      <t>经营活动净现金流量</t>
    </r>
    <r>
      <rPr>
        <sz val="9"/>
        <rFont val="Times New Roman"/>
        <family val="1"/>
      </rPr>
      <t>/</t>
    </r>
    <r>
      <rPr>
        <sz val="9"/>
        <rFont val="宋体"/>
        <family val="3"/>
        <charset val="134"/>
      </rPr>
      <t>净利润</t>
    </r>
    <phoneticPr fontId="3" type="noConversion"/>
  </si>
  <si>
    <r>
      <t>4</t>
    </r>
    <r>
      <rPr>
        <sz val="9"/>
        <rFont val="宋体"/>
        <family val="3"/>
        <charset val="134"/>
      </rPr>
      <t>、销售收入现金回收比率</t>
    </r>
    <phoneticPr fontId="3" type="noConversion"/>
  </si>
  <si>
    <t>注：</t>
    <phoneticPr fontId="3" type="noConversion"/>
  </si>
  <si>
    <t>指标值</t>
    <phoneticPr fontId="3" type="noConversion"/>
  </si>
  <si>
    <t>计算公式</t>
    <phoneticPr fontId="3" type="noConversion"/>
  </si>
  <si>
    <r>
      <t>赊销收入净额</t>
    </r>
    <r>
      <rPr>
        <sz val="9"/>
        <rFont val="Times New Roman"/>
        <family val="1"/>
      </rPr>
      <t>(annualized)/</t>
    </r>
    <r>
      <rPr>
        <sz val="9"/>
        <rFont val="宋体"/>
        <family val="3"/>
        <charset val="134"/>
      </rPr>
      <t>应收账款平均余额</t>
    </r>
    <phoneticPr fontId="3" type="noConversion"/>
  </si>
  <si>
    <r>
      <t>（利润总额</t>
    </r>
    <r>
      <rPr>
        <sz val="9"/>
        <rFont val="Times New Roman"/>
        <family val="1"/>
      </rPr>
      <t>+</t>
    </r>
    <r>
      <rPr>
        <sz val="9"/>
        <rFont val="宋体"/>
        <family val="3"/>
        <charset val="134"/>
      </rPr>
      <t>利息支出净额）</t>
    </r>
    <r>
      <rPr>
        <sz val="9"/>
        <rFont val="Times New Roman"/>
        <family val="1"/>
      </rPr>
      <t>/</t>
    </r>
    <r>
      <rPr>
        <sz val="9"/>
        <rFont val="宋体"/>
        <family val="3"/>
        <charset val="134"/>
      </rPr>
      <t>（长期负债平均值</t>
    </r>
    <r>
      <rPr>
        <sz val="9"/>
        <rFont val="Times New Roman"/>
        <family val="1"/>
      </rPr>
      <t>+</t>
    </r>
    <r>
      <rPr>
        <sz val="9"/>
        <rFont val="宋体"/>
        <family val="3"/>
        <charset val="134"/>
      </rPr>
      <t>所有者权益平均值）</t>
    </r>
    <phoneticPr fontId="3" type="noConversion"/>
  </si>
  <si>
    <r>
      <t>4</t>
    </r>
    <r>
      <rPr>
        <sz val="9"/>
        <rFont val="宋体"/>
        <family val="3"/>
        <charset val="134"/>
      </rPr>
      <t>、总资产报酬率</t>
    </r>
    <phoneticPr fontId="3" type="noConversion"/>
  </si>
  <si>
    <t>四、资产管理效率分析</t>
    <phoneticPr fontId="3" type="noConversion"/>
  </si>
  <si>
    <t>六、现金流量分析</t>
    <phoneticPr fontId="3" type="noConversion"/>
  </si>
  <si>
    <t>五、资产管理效果分析</t>
    <phoneticPr fontId="3" type="noConversion"/>
  </si>
  <si>
    <r>
      <t>4</t>
    </r>
    <r>
      <rPr>
        <sz val="9"/>
        <rFont val="宋体"/>
        <family val="3"/>
        <charset val="134"/>
      </rPr>
      <t>、不良资产比率</t>
    </r>
    <phoneticPr fontId="3" type="noConversion"/>
  </si>
  <si>
    <t>年末不良资产/年末资产总额</t>
    <phoneticPr fontId="3" type="noConversion"/>
  </si>
  <si>
    <r>
      <t>5</t>
    </r>
    <r>
      <rPr>
        <sz val="9"/>
        <rFont val="宋体"/>
        <family val="3"/>
        <charset val="134"/>
      </rPr>
      <t>、资产损失率</t>
    </r>
    <phoneticPr fontId="3" type="noConversion"/>
  </si>
  <si>
    <t>待处理资产损失净额/年末资产总额</t>
    <phoneticPr fontId="3" type="noConversion"/>
  </si>
  <si>
    <r>
      <t>6</t>
    </r>
    <r>
      <rPr>
        <sz val="9"/>
        <rFont val="宋体"/>
        <family val="3"/>
        <charset val="134"/>
      </rPr>
      <t>、固定资产成新率</t>
    </r>
    <phoneticPr fontId="3" type="noConversion"/>
  </si>
  <si>
    <t>平均固定资产净值/平均固定资产原价</t>
    <phoneticPr fontId="3" type="noConversion"/>
  </si>
  <si>
    <t>辅助列</t>
    <phoneticPr fontId="3" type="noConversion"/>
  </si>
  <si>
    <t>变动状况（显著/关注)</t>
    <phoneticPr fontId="3" type="noConversion"/>
  </si>
  <si>
    <t>显著变动
原因分析</t>
    <phoneticPr fontId="3" type="noConversion"/>
  </si>
  <si>
    <t>本年已审数</t>
    <phoneticPr fontId="3" type="noConversion"/>
  </si>
  <si>
    <t>已审数</t>
    <phoneticPr fontId="3" type="noConversion"/>
  </si>
  <si>
    <t>code</t>
    <phoneticPr fontId="50" type="noConversion"/>
  </si>
  <si>
    <t>本表可根据需要插入行，</t>
    <phoneticPr fontId="50" type="noConversion"/>
  </si>
  <si>
    <t>请勿删除行。</t>
    <phoneticPr fontId="50" type="noConversion"/>
  </si>
  <si>
    <t>借方</t>
    <phoneticPr fontId="3" type="noConversion"/>
  </si>
  <si>
    <t>说明</t>
  </si>
  <si>
    <r>
      <t>弹性融资（流动负债融资</t>
    </r>
    <r>
      <rPr>
        <sz val="9"/>
        <rFont val="Times New Roman"/>
        <family val="1"/>
      </rPr>
      <t>+</t>
    </r>
    <r>
      <rPr>
        <sz val="9"/>
        <rFont val="宋体"/>
        <family val="3"/>
        <charset val="134"/>
      </rPr>
      <t>未分配利润）</t>
    </r>
    <r>
      <rPr>
        <sz val="9"/>
        <rFont val="Times New Roman"/>
        <family val="1"/>
      </rPr>
      <t>/</t>
    </r>
    <r>
      <rPr>
        <sz val="9"/>
        <rFont val="宋体"/>
        <family val="3"/>
        <charset val="134"/>
      </rPr>
      <t>融资总量</t>
    </r>
    <phoneticPr fontId="3" type="noConversion"/>
  </si>
  <si>
    <r>
      <t>净利润</t>
    </r>
    <r>
      <rPr>
        <sz val="9"/>
        <rFont val="Times New Roman"/>
        <family val="1"/>
      </rPr>
      <t>(annualized)/</t>
    </r>
    <r>
      <rPr>
        <sz val="9"/>
        <rFont val="宋体"/>
        <family val="3"/>
        <charset val="134"/>
      </rPr>
      <t>资本金总额</t>
    </r>
    <phoneticPr fontId="3" type="noConversion"/>
  </si>
  <si>
    <r>
      <t>净利润</t>
    </r>
    <r>
      <rPr>
        <sz val="9"/>
        <rFont val="Times New Roman"/>
        <family val="1"/>
      </rPr>
      <t>(annualized)/</t>
    </r>
    <r>
      <rPr>
        <sz val="9"/>
        <rFont val="宋体"/>
        <family val="3"/>
        <charset val="134"/>
      </rPr>
      <t>股东权益平均值</t>
    </r>
    <phoneticPr fontId="3" type="noConversion"/>
  </si>
  <si>
    <r>
      <t>（利润总额</t>
    </r>
    <r>
      <rPr>
        <sz val="9"/>
        <rFont val="Times New Roman"/>
        <family val="1"/>
      </rPr>
      <t>+</t>
    </r>
    <r>
      <rPr>
        <sz val="9"/>
        <rFont val="宋体"/>
        <family val="3"/>
        <charset val="134"/>
      </rPr>
      <t>利息支出净额）</t>
    </r>
    <r>
      <rPr>
        <sz val="9"/>
        <rFont val="Times New Roman"/>
        <family val="1"/>
      </rPr>
      <t>(annualized)/</t>
    </r>
    <r>
      <rPr>
        <sz val="9"/>
        <rFont val="宋体"/>
        <family val="3"/>
        <charset val="134"/>
      </rPr>
      <t>平均资产总值</t>
    </r>
    <phoneticPr fontId="3" type="noConversion"/>
  </si>
  <si>
    <r>
      <t>1</t>
    </r>
    <r>
      <rPr>
        <sz val="9"/>
        <rFont val="宋体"/>
        <family val="3"/>
        <charset val="134"/>
      </rPr>
      <t>、资本保值增值率</t>
    </r>
    <phoneticPr fontId="3" type="noConversion"/>
  </si>
  <si>
    <t>期末所有者权益总额/期初所有者权益总额</t>
    <phoneticPr fontId="3" type="noConversion"/>
  </si>
  <si>
    <r>
      <t>2</t>
    </r>
    <r>
      <rPr>
        <sz val="9"/>
        <rFont val="宋体"/>
        <family val="3"/>
        <charset val="134"/>
      </rPr>
      <t>、社会贡献率</t>
    </r>
    <phoneticPr fontId="3" type="noConversion"/>
  </si>
  <si>
    <r>
      <t>3</t>
    </r>
    <r>
      <rPr>
        <sz val="9"/>
        <rFont val="宋体"/>
        <family val="3"/>
        <charset val="134"/>
      </rPr>
      <t>、社会积累率</t>
    </r>
    <phoneticPr fontId="3" type="noConversion"/>
  </si>
  <si>
    <t>上交国家财政总额/企业社会贡献总额</t>
    <phoneticPr fontId="3" type="noConversion"/>
  </si>
  <si>
    <t>已审报表财务比率分析</t>
    <phoneticPr fontId="3" type="noConversion"/>
  </si>
  <si>
    <r>
      <t>企业社会贡献总额</t>
    </r>
    <r>
      <rPr>
        <sz val="9"/>
        <rFont val="Arial Narrow"/>
        <family val="2"/>
      </rPr>
      <t>(annualized)</t>
    </r>
    <r>
      <rPr>
        <sz val="9"/>
        <rFont val="宋体"/>
        <family val="3"/>
        <charset val="134"/>
      </rPr>
      <t>/平均资产总额</t>
    </r>
    <phoneticPr fontId="3"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</si>
  <si>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3" type="noConversion"/>
  </si>
  <si>
    <r>
      <t>1</t>
    </r>
    <r>
      <rPr>
        <sz val="9"/>
        <rFont val="宋体"/>
        <family val="3"/>
        <charset val="134"/>
      </rPr>
      <t>、凡涉及平均数的比率，按年末、年初算术平均计算。</t>
    </r>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</si>
  <si>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</si>
  <si>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t>已审比率分析</t>
  </si>
  <si>
    <t>期末资产总计＝期末负债和股东权益总计</t>
    <phoneticPr fontId="13" type="noConversion"/>
  </si>
  <si>
    <t>期初资产总计＝期初负债和股东权益总计</t>
    <phoneticPr fontId="13" type="noConversion"/>
  </si>
  <si>
    <r>
      <t>B/S</t>
    </r>
    <r>
      <rPr>
        <sz val="10"/>
        <rFont val="宋体"/>
        <family val="3"/>
        <charset val="134"/>
      </rPr>
      <t>期末未分配利润＝</t>
    </r>
    <r>
      <rPr>
        <sz val="10"/>
        <rFont val="Arial Narrow"/>
        <family val="2"/>
      </rPr>
      <t>P/L</t>
    </r>
    <r>
      <rPr>
        <sz val="10"/>
        <rFont val="宋体"/>
        <family val="3"/>
        <charset val="134"/>
      </rPr>
      <t>期末未分配利润</t>
    </r>
    <phoneticPr fontId="13" type="noConversion"/>
  </si>
  <si>
    <r>
      <t>B/S</t>
    </r>
    <r>
      <rPr>
        <sz val="10"/>
        <rFont val="宋体"/>
        <family val="3"/>
        <charset val="134"/>
      </rPr>
      <t>期初未分配利润＝</t>
    </r>
    <r>
      <rPr>
        <sz val="10"/>
        <rFont val="Arial Narrow"/>
        <family val="2"/>
      </rPr>
      <t>P/L</t>
    </r>
    <r>
      <rPr>
        <sz val="10"/>
        <rFont val="宋体"/>
        <family val="3"/>
        <charset val="134"/>
      </rPr>
      <t>期初未分配利润</t>
    </r>
    <phoneticPr fontId="13" type="noConversion"/>
  </si>
  <si>
    <t>期末年初未分配利润＝期初未分配利润</t>
    <phoneticPr fontId="13" type="noConversion"/>
  </si>
  <si>
    <r>
      <t>按净利润的</t>
    </r>
    <r>
      <rPr>
        <sz val="10"/>
        <rFont val="Arial Narrow"/>
        <family val="2"/>
      </rPr>
      <t>10%</t>
    </r>
    <r>
      <rPr>
        <sz val="10"/>
        <rFont val="宋体"/>
        <family val="3"/>
        <charset val="134"/>
      </rPr>
      <t>提取法定盈余公积</t>
    </r>
    <phoneticPr fontId="13" type="noConversion"/>
  </si>
  <si>
    <t>法定代表人：</t>
  </si>
  <si>
    <t>财务负责人：</t>
  </si>
  <si>
    <t>会计主管：</t>
  </si>
  <si>
    <t>年初资产负债表（审定数）</t>
    <phoneticPr fontId="13" type="noConversion"/>
  </si>
  <si>
    <t>母公司本部</t>
    <phoneticPr fontId="13" type="noConversion"/>
  </si>
  <si>
    <t>母公司汇总抵销</t>
    <phoneticPr fontId="13" type="noConversion"/>
  </si>
  <si>
    <t>母公司汇总</t>
    <phoneticPr fontId="13" type="noConversion"/>
  </si>
  <si>
    <r>
      <t>1</t>
    </r>
    <r>
      <rPr>
        <sz val="10"/>
        <rFont val="宋体"/>
        <family val="3"/>
        <charset val="134"/>
      </rPr>
      <t>分公司</t>
    </r>
    <phoneticPr fontId="13" type="noConversion"/>
  </si>
  <si>
    <r>
      <t>2分公司</t>
    </r>
    <r>
      <rPr>
        <sz val="10"/>
        <rFont val="宋体"/>
        <family val="3"/>
        <charset val="134"/>
      </rPr>
      <t/>
    </r>
  </si>
  <si>
    <r>
      <t>3分公司</t>
    </r>
    <r>
      <rPr>
        <sz val="10"/>
        <rFont val="宋体"/>
        <family val="3"/>
        <charset val="134"/>
      </rPr>
      <t/>
    </r>
  </si>
  <si>
    <r>
      <t>4分公司</t>
    </r>
    <r>
      <rPr>
        <sz val="10"/>
        <rFont val="宋体"/>
        <family val="3"/>
        <charset val="134"/>
      </rPr>
      <t/>
    </r>
  </si>
  <si>
    <r>
      <t>5分公司</t>
    </r>
    <r>
      <rPr>
        <sz val="10"/>
        <rFont val="宋体"/>
        <family val="3"/>
        <charset val="134"/>
      </rPr>
      <t/>
    </r>
  </si>
  <si>
    <r>
      <t>6分公司</t>
    </r>
    <r>
      <rPr>
        <sz val="10"/>
        <rFont val="宋体"/>
        <family val="3"/>
        <charset val="134"/>
      </rPr>
      <t/>
    </r>
  </si>
  <si>
    <r>
      <t>7分公司</t>
    </r>
    <r>
      <rPr>
        <sz val="10"/>
        <rFont val="宋体"/>
        <family val="3"/>
        <charset val="134"/>
      </rPr>
      <t/>
    </r>
  </si>
  <si>
    <r>
      <t>8分公司</t>
    </r>
    <r>
      <rPr>
        <sz val="10"/>
        <rFont val="宋体"/>
        <family val="3"/>
        <charset val="134"/>
      </rPr>
      <t/>
    </r>
  </si>
  <si>
    <r>
      <t>9分公司</t>
    </r>
    <r>
      <rPr>
        <sz val="10"/>
        <rFont val="宋体"/>
        <family val="3"/>
        <charset val="134"/>
      </rPr>
      <t/>
    </r>
  </si>
  <si>
    <r>
      <t>10分公司</t>
    </r>
    <r>
      <rPr>
        <sz val="10"/>
        <rFont val="宋体"/>
        <family val="3"/>
        <charset val="134"/>
      </rPr>
      <t/>
    </r>
  </si>
  <si>
    <r>
      <t>XX</t>
    </r>
    <r>
      <rPr>
        <sz val="10"/>
        <rFont val="宋体"/>
        <family val="3"/>
        <charset val="134"/>
      </rPr>
      <t>分公司</t>
    </r>
    <phoneticPr fontId="13" type="noConversion"/>
  </si>
  <si>
    <t>合并汇总</t>
    <phoneticPr fontId="13" type="noConversion"/>
  </si>
  <si>
    <t>合并抵销</t>
    <phoneticPr fontId="13" type="noConversion"/>
  </si>
  <si>
    <t>子公司1</t>
    <phoneticPr fontId="13" type="noConversion"/>
  </si>
  <si>
    <t>子公司2</t>
  </si>
  <si>
    <t>子公司3</t>
  </si>
  <si>
    <t>子公司4</t>
  </si>
  <si>
    <t>子公司5</t>
  </si>
  <si>
    <t>子公司6</t>
  </si>
  <si>
    <t>子公司7</t>
  </si>
  <si>
    <t>子公司8</t>
  </si>
  <si>
    <t>子公司9</t>
  </si>
  <si>
    <t>子公司10</t>
  </si>
  <si>
    <t>母公司报表调整</t>
    <phoneticPr fontId="13" type="noConversion"/>
  </si>
  <si>
    <t>母公司账项调整</t>
    <phoneticPr fontId="13" type="noConversion"/>
  </si>
  <si>
    <t>母公司审定数</t>
    <phoneticPr fontId="13" type="noConversion"/>
  </si>
  <si>
    <t>合并报表调整</t>
    <phoneticPr fontId="13" type="noConversion"/>
  </si>
  <si>
    <t>合并审定数</t>
    <phoneticPr fontId="13" type="noConversion"/>
  </si>
  <si>
    <t>子公司XX</t>
    <phoneticPr fontId="13" type="noConversion"/>
  </si>
  <si>
    <t>XX</t>
    <phoneticPr fontId="13" type="noConversion"/>
  </si>
  <si>
    <t>XX</t>
    <phoneticPr fontId="13" type="noConversion"/>
  </si>
  <si>
    <t>合并审定数</t>
    <phoneticPr fontId="13" type="noConversion"/>
  </si>
  <si>
    <t>合并报表调整</t>
    <phoneticPr fontId="13" type="noConversion"/>
  </si>
  <si>
    <t>合并抵销</t>
    <phoneticPr fontId="13" type="noConversion"/>
  </si>
  <si>
    <t>合并汇总</t>
    <phoneticPr fontId="13" type="noConversion"/>
  </si>
  <si>
    <t>母公司审定数</t>
    <phoneticPr fontId="13" type="noConversion"/>
  </si>
  <si>
    <t>母公司报表调整</t>
    <phoneticPr fontId="13" type="noConversion"/>
  </si>
  <si>
    <t>母公司账项调整</t>
    <phoneticPr fontId="13" type="noConversion"/>
  </si>
  <si>
    <t>母公司汇总抵销</t>
    <phoneticPr fontId="13" type="noConversion"/>
  </si>
  <si>
    <t>母公司汇总</t>
    <phoneticPr fontId="13" type="noConversion"/>
  </si>
  <si>
    <t>母公司本部</t>
    <phoneticPr fontId="13" type="noConversion"/>
  </si>
  <si>
    <r>
      <t>1</t>
    </r>
    <r>
      <rPr>
        <sz val="10"/>
        <rFont val="宋体"/>
        <family val="3"/>
        <charset val="134"/>
      </rPr>
      <t>分公司</t>
    </r>
    <phoneticPr fontId="13" type="noConversion"/>
  </si>
  <si>
    <r>
      <t>XX</t>
    </r>
    <r>
      <rPr>
        <sz val="10"/>
        <rFont val="宋体"/>
        <family val="3"/>
        <charset val="134"/>
      </rPr>
      <t>分公司</t>
    </r>
    <phoneticPr fontId="13" type="noConversion"/>
  </si>
  <si>
    <r>
      <t>子公司</t>
    </r>
    <r>
      <rPr>
        <sz val="10"/>
        <rFont val="Arial Narrow"/>
        <family val="2"/>
      </rPr>
      <t>1</t>
    </r>
    <phoneticPr fontId="13" type="noConversion"/>
  </si>
  <si>
    <r>
      <t>子公司</t>
    </r>
    <r>
      <rPr>
        <sz val="10"/>
        <rFont val="Arial Narrow"/>
        <family val="2"/>
      </rPr>
      <t>2</t>
    </r>
  </si>
  <si>
    <r>
      <t>子公司</t>
    </r>
    <r>
      <rPr>
        <sz val="10"/>
        <rFont val="Arial Narrow"/>
        <family val="2"/>
      </rPr>
      <t>3</t>
    </r>
  </si>
  <si>
    <r>
      <t>子公司</t>
    </r>
    <r>
      <rPr>
        <sz val="10"/>
        <rFont val="Arial Narrow"/>
        <family val="2"/>
      </rPr>
      <t>4</t>
    </r>
  </si>
  <si>
    <r>
      <t>子公司</t>
    </r>
    <r>
      <rPr>
        <sz val="10"/>
        <rFont val="Arial Narrow"/>
        <family val="2"/>
      </rPr>
      <t>5</t>
    </r>
  </si>
  <si>
    <r>
      <t>子公司</t>
    </r>
    <r>
      <rPr>
        <sz val="10"/>
        <rFont val="Arial Narrow"/>
        <family val="2"/>
      </rPr>
      <t>6</t>
    </r>
  </si>
  <si>
    <r>
      <t>子公司</t>
    </r>
    <r>
      <rPr>
        <sz val="10"/>
        <rFont val="Arial Narrow"/>
        <family val="2"/>
      </rPr>
      <t>7</t>
    </r>
  </si>
  <si>
    <r>
      <t>子公司</t>
    </r>
    <r>
      <rPr>
        <sz val="10"/>
        <rFont val="Arial Narrow"/>
        <family val="2"/>
      </rPr>
      <t>8</t>
    </r>
  </si>
  <si>
    <r>
      <t>子公司</t>
    </r>
    <r>
      <rPr>
        <sz val="10"/>
        <rFont val="Arial Narrow"/>
        <family val="2"/>
      </rPr>
      <t>9</t>
    </r>
  </si>
  <si>
    <r>
      <t>子公司</t>
    </r>
    <r>
      <rPr>
        <sz val="10"/>
        <rFont val="Arial Narrow"/>
        <family val="2"/>
      </rPr>
      <t>10</t>
    </r>
  </si>
  <si>
    <r>
      <t>子公司</t>
    </r>
    <r>
      <rPr>
        <sz val="10"/>
        <rFont val="Arial Narrow"/>
        <family val="2"/>
      </rPr>
      <t>XX</t>
    </r>
    <phoneticPr fontId="13" type="noConversion"/>
  </si>
  <si>
    <t>勾稽核对：</t>
    <phoneticPr fontId="13" type="noConversion"/>
  </si>
  <si>
    <t>资产负债平衡</t>
    <phoneticPr fontId="13" type="noConversion"/>
  </si>
  <si>
    <r>
      <t>未分配利润</t>
    </r>
    <r>
      <rPr>
        <sz val="10"/>
        <rFont val="Arial Narrow"/>
        <family val="2"/>
      </rPr>
      <t>B/S</t>
    </r>
    <r>
      <rPr>
        <sz val="10"/>
        <rFont val="宋体"/>
        <family val="3"/>
        <charset val="134"/>
      </rPr>
      <t>与</t>
    </r>
    <r>
      <rPr>
        <sz val="10"/>
        <rFont val="Arial Narrow"/>
        <family val="2"/>
      </rPr>
      <t>P/L</t>
    </r>
    <r>
      <rPr>
        <sz val="10"/>
        <rFont val="宋体"/>
        <family val="3"/>
        <charset val="134"/>
      </rPr>
      <t>核对</t>
    </r>
  </si>
  <si>
    <t>检验流动资产公式</t>
  </si>
  <si>
    <t>检验总资产公式</t>
  </si>
  <si>
    <t>检验流动负债公式</t>
  </si>
  <si>
    <t>检验总负债公式</t>
  </si>
  <si>
    <t>检验负债权益公式</t>
  </si>
  <si>
    <t>检验营业利润公式</t>
  </si>
  <si>
    <t>检验利润总额公式</t>
  </si>
  <si>
    <t>检验未分配利润公式</t>
  </si>
  <si>
    <t>抵销说明</t>
    <phoneticPr fontId="3" type="noConversion"/>
  </si>
  <si>
    <t>母公司数</t>
    <phoneticPr fontId="3" type="noConversion"/>
  </si>
  <si>
    <t>合并数</t>
    <phoneticPr fontId="3" type="noConversion"/>
  </si>
  <si>
    <t>资产负债平衡</t>
    <phoneticPr fontId="3" type="noConversion"/>
  </si>
  <si>
    <t>母公司汇总资产负债表试算平衡</t>
    <phoneticPr fontId="3" type="noConversion"/>
  </si>
  <si>
    <t>汇总抵销</t>
    <phoneticPr fontId="3" type="noConversion"/>
  </si>
  <si>
    <t>母公司审定数</t>
    <phoneticPr fontId="3" type="noConversion"/>
  </si>
  <si>
    <t>合计</t>
    <phoneticPr fontId="13" type="noConversion"/>
  </si>
  <si>
    <t>母公司（审定）</t>
    <phoneticPr fontId="13" type="noConversion"/>
  </si>
  <si>
    <r>
      <t>子公司</t>
    </r>
    <r>
      <rPr>
        <sz val="10"/>
        <rFont val="Arial Narrow"/>
        <family val="2"/>
      </rPr>
      <t>1</t>
    </r>
    <phoneticPr fontId="13" type="noConversion"/>
  </si>
  <si>
    <r>
      <t>子公司</t>
    </r>
    <r>
      <rPr>
        <sz val="10"/>
        <rFont val="Arial Narrow"/>
        <family val="2"/>
      </rPr>
      <t>2</t>
    </r>
    <r>
      <rPr>
        <sz val="12"/>
        <rFont val="宋体"/>
        <family val="3"/>
        <charset val="134"/>
      </rPr>
      <t/>
    </r>
  </si>
  <si>
    <r>
      <t>子公司</t>
    </r>
    <r>
      <rPr>
        <sz val="10"/>
        <rFont val="Arial Narrow"/>
        <family val="2"/>
      </rPr>
      <t>3</t>
    </r>
    <r>
      <rPr>
        <sz val="12"/>
        <rFont val="宋体"/>
        <family val="3"/>
        <charset val="134"/>
      </rPr>
      <t/>
    </r>
  </si>
  <si>
    <r>
      <t>子公司</t>
    </r>
    <r>
      <rPr>
        <sz val="10"/>
        <rFont val="Arial Narrow"/>
        <family val="2"/>
      </rPr>
      <t>4</t>
    </r>
    <r>
      <rPr>
        <sz val="12"/>
        <rFont val="宋体"/>
        <family val="3"/>
        <charset val="134"/>
      </rPr>
      <t/>
    </r>
  </si>
  <si>
    <r>
      <t>子公司</t>
    </r>
    <r>
      <rPr>
        <sz val="10"/>
        <rFont val="Arial Narrow"/>
        <family val="2"/>
      </rPr>
      <t>5</t>
    </r>
    <r>
      <rPr>
        <sz val="12"/>
        <rFont val="宋体"/>
        <family val="3"/>
        <charset val="134"/>
      </rPr>
      <t/>
    </r>
  </si>
  <si>
    <r>
      <t>子公司</t>
    </r>
    <r>
      <rPr>
        <sz val="10"/>
        <rFont val="Arial Narrow"/>
        <family val="2"/>
      </rPr>
      <t>6</t>
    </r>
    <r>
      <rPr>
        <sz val="12"/>
        <rFont val="宋体"/>
        <family val="3"/>
        <charset val="134"/>
      </rPr>
      <t/>
    </r>
  </si>
  <si>
    <r>
      <t>子公司</t>
    </r>
    <r>
      <rPr>
        <sz val="10"/>
        <rFont val="Arial Narrow"/>
        <family val="2"/>
      </rPr>
      <t>7</t>
    </r>
    <r>
      <rPr>
        <sz val="12"/>
        <rFont val="宋体"/>
        <family val="3"/>
        <charset val="134"/>
      </rPr>
      <t/>
    </r>
  </si>
  <si>
    <r>
      <t>子公司</t>
    </r>
    <r>
      <rPr>
        <sz val="10"/>
        <rFont val="Arial Narrow"/>
        <family val="2"/>
      </rPr>
      <t>8</t>
    </r>
    <r>
      <rPr>
        <sz val="12"/>
        <rFont val="宋体"/>
        <family val="3"/>
        <charset val="134"/>
      </rPr>
      <t/>
    </r>
  </si>
  <si>
    <r>
      <t>子公司</t>
    </r>
    <r>
      <rPr>
        <sz val="10"/>
        <rFont val="Arial Narrow"/>
        <family val="2"/>
      </rPr>
      <t>9</t>
    </r>
    <r>
      <rPr>
        <sz val="12"/>
        <rFont val="宋体"/>
        <family val="3"/>
        <charset val="134"/>
      </rPr>
      <t/>
    </r>
  </si>
  <si>
    <r>
      <t>子公司</t>
    </r>
    <r>
      <rPr>
        <sz val="10"/>
        <rFont val="Arial Narrow"/>
        <family val="2"/>
      </rPr>
      <t>10</t>
    </r>
    <r>
      <rPr>
        <sz val="12"/>
        <rFont val="宋体"/>
        <family val="3"/>
        <charset val="134"/>
      </rPr>
      <t/>
    </r>
  </si>
  <si>
    <r>
      <t>子公司</t>
    </r>
    <r>
      <rPr>
        <sz val="10"/>
        <rFont val="Arial Narrow"/>
        <family val="2"/>
      </rPr>
      <t>XX</t>
    </r>
    <phoneticPr fontId="13" type="noConversion"/>
  </si>
  <si>
    <t>合并审定数</t>
    <phoneticPr fontId="3" type="noConversion"/>
  </si>
  <si>
    <t>合并资产负债表试算平衡</t>
    <phoneticPr fontId="3" type="noConversion"/>
  </si>
  <si>
    <t>合并资产负债表试算平衡（续）</t>
    <phoneticPr fontId="3" type="noConversion"/>
  </si>
  <si>
    <t>母公司资产负债表试算平衡（续）</t>
    <phoneticPr fontId="3" type="noConversion"/>
  </si>
  <si>
    <t>合并权益抵销</t>
    <phoneticPr fontId="3" type="noConversion"/>
  </si>
  <si>
    <t>合并往来交易抵销</t>
    <phoneticPr fontId="3" type="noConversion"/>
  </si>
  <si>
    <t>合并报表调整</t>
    <phoneticPr fontId="3" type="noConversion"/>
  </si>
  <si>
    <t>合并数</t>
    <phoneticPr fontId="3" type="noConversion"/>
  </si>
  <si>
    <t>母公司数</t>
    <phoneticPr fontId="3" type="noConversion"/>
  </si>
  <si>
    <t>使用说明：</t>
    <phoneticPr fontId="13" type="noConversion"/>
  </si>
  <si>
    <t>序号</t>
    <phoneticPr fontId="13" type="noConversion"/>
  </si>
  <si>
    <t>本工作簿没有颜色的单元格可以根据需要进行修改，</t>
    <phoneticPr fontId="13" type="noConversion"/>
  </si>
  <si>
    <t>修改时，请在拟修改的单元格直接输入新的内容，请不要使用剪切或拖拽填充功能。</t>
    <phoneticPr fontId="13" type="noConversion"/>
  </si>
  <si>
    <t>请在</t>
    <phoneticPr fontId="13" type="noConversion"/>
  </si>
  <si>
    <t>中没有颜色的单元格中输入项目基本情况，其他工作表相应区域会随之改变。</t>
    <phoneticPr fontId="13" type="noConversion"/>
  </si>
  <si>
    <t>期初核对BS</t>
  </si>
  <si>
    <t>期初核对PL</t>
  </si>
  <si>
    <t>未审报表、试算平衡表（TB）、审定报表、比较分析表的格式由</t>
    <phoneticPr fontId="13" type="noConversion"/>
  </si>
  <si>
    <t>“报表格式”</t>
  </si>
  <si>
    <t>链接控制；</t>
    <phoneticPr fontId="13" type="noConversion"/>
  </si>
  <si>
    <t>如需修改报表科目，请在</t>
    <phoneticPr fontId="13" type="noConversion"/>
  </si>
  <si>
    <t>中没有颜色的单元格区域修改，其他报表会相应改变。</t>
    <phoneticPr fontId="13" type="noConversion"/>
  </si>
  <si>
    <t>可以根据需要插入行，请勿删除行；调整金额会自动链接到试算平衡表，</t>
    <phoneticPr fontId="13" type="noConversion"/>
  </si>
  <si>
    <t>若调整未全部链入试算平衡表，请检查调整分录的借贷方科目是否为报表科目。若需添加或更改报表科目，</t>
    <phoneticPr fontId="13" type="noConversion"/>
  </si>
  <si>
    <t>中没有颜色的单元格区域进行修改，并相应修改</t>
    <phoneticPr fontId="13" type="noConversion"/>
  </si>
  <si>
    <t>“报表格式AA列”</t>
    <phoneticPr fontId="13" type="noConversion"/>
  </si>
  <si>
    <t>基本参数：</t>
    <phoneticPr fontId="13" type="noConversion"/>
  </si>
  <si>
    <t>项               目</t>
    <phoneticPr fontId="3" type="noConversion"/>
  </si>
  <si>
    <t>参                 数</t>
    <phoneticPr fontId="3" type="noConversion"/>
  </si>
  <si>
    <t>参考格式</t>
    <phoneticPr fontId="3" type="noConversion"/>
  </si>
  <si>
    <t>客户情况</t>
    <phoneticPr fontId="3" type="noConversion"/>
  </si>
  <si>
    <t>单位名称：</t>
    <phoneticPr fontId="3" type="noConversion"/>
  </si>
  <si>
    <t>北京二锅头有限责任公司</t>
    <phoneticPr fontId="3" type="noConversion"/>
  </si>
  <si>
    <t>张一二</t>
    <phoneticPr fontId="3" type="noConversion"/>
  </si>
  <si>
    <t>已审横向BS</t>
  </si>
  <si>
    <t>陈一二</t>
    <phoneticPr fontId="3" type="noConversion"/>
  </si>
  <si>
    <t>已审横向PL</t>
  </si>
  <si>
    <t>王一二</t>
    <phoneticPr fontId="3" type="noConversion"/>
  </si>
  <si>
    <t>已审纵向BS</t>
  </si>
  <si>
    <t>已审纵向PL</t>
  </si>
  <si>
    <t>会计报表</t>
    <phoneticPr fontId="3" type="noConversion"/>
  </si>
  <si>
    <t>报表类型</t>
    <phoneticPr fontId="3" type="noConversion"/>
  </si>
  <si>
    <t>会计年度（上期）：</t>
    <phoneticPr fontId="3" type="noConversion"/>
  </si>
  <si>
    <t>会计年度（本期）：</t>
    <phoneticPr fontId="3" type="noConversion"/>
  </si>
  <si>
    <t>会计截止（上期）：</t>
    <phoneticPr fontId="3" type="noConversion"/>
  </si>
  <si>
    <t>1999年12月31日 或  1998年8月10日</t>
    <phoneticPr fontId="13" type="noConversion"/>
  </si>
  <si>
    <t>会计截止（本期）：</t>
    <phoneticPr fontId="3" type="noConversion"/>
  </si>
  <si>
    <t>2000年12月31日 或  2000年10月20日</t>
    <phoneticPr fontId="13" type="noConversion"/>
  </si>
  <si>
    <t>金额单位：</t>
    <phoneticPr fontId="3" type="noConversion"/>
  </si>
  <si>
    <t>人民币元</t>
    <phoneticPr fontId="3" type="noConversion"/>
  </si>
  <si>
    <t>NB：</t>
    <phoneticPr fontId="3" type="noConversion"/>
  </si>
  <si>
    <r>
      <t>股份有限公司</t>
    </r>
    <r>
      <rPr>
        <sz val="11"/>
        <color indexed="14"/>
        <rFont val="华文宋体"/>
        <family val="3"/>
        <charset val="134"/>
      </rPr>
      <t>或</t>
    </r>
    <r>
      <rPr>
        <sz val="11"/>
        <rFont val="华文宋体"/>
        <family val="3"/>
        <charset val="134"/>
      </rPr>
      <t>一般企业(执行统一会计制度)</t>
    </r>
    <phoneticPr fontId="3" type="noConversion"/>
  </si>
  <si>
    <r>
      <t xml:space="preserve">1999年度 </t>
    </r>
    <r>
      <rPr>
        <sz val="11"/>
        <color indexed="14"/>
        <rFont val="华文宋体"/>
        <family val="3"/>
        <charset val="134"/>
      </rPr>
      <t>或</t>
    </r>
    <r>
      <rPr>
        <sz val="11"/>
        <rFont val="华文宋体"/>
        <family val="3"/>
        <charset val="134"/>
      </rPr>
      <t xml:space="preserve"> 1997年10月20日～1998年8月10日</t>
    </r>
    <phoneticPr fontId="3" type="noConversion"/>
  </si>
  <si>
    <r>
      <t xml:space="preserve">2000年度 </t>
    </r>
    <r>
      <rPr>
        <sz val="11"/>
        <color indexed="14"/>
        <rFont val="华文宋体"/>
        <family val="3"/>
        <charset val="134"/>
      </rPr>
      <t>或</t>
    </r>
    <r>
      <rPr>
        <sz val="11"/>
        <rFont val="华文宋体"/>
        <family val="3"/>
        <charset val="134"/>
      </rPr>
      <t xml:space="preserve">  1998年8月10日～2000年10月20日</t>
    </r>
    <phoneticPr fontId="3" type="noConversion"/>
  </si>
  <si>
    <t>本工作簿用于合并会计报表审计调整、试算平衡；审定报表的横向、纵向、比率分析。</t>
    <phoneticPr fontId="13" type="noConversion"/>
  </si>
  <si>
    <t>“基本参数”</t>
  </si>
  <si>
    <t>权益抵销</t>
  </si>
  <si>
    <t>“权益抵销”</t>
  </si>
  <si>
    <t>“往来交易抵销”</t>
  </si>
  <si>
    <t>TEST</t>
  </si>
  <si>
    <t>年初BS审定</t>
  </si>
  <si>
    <t>上年PL审定</t>
  </si>
  <si>
    <t>母公司BS原报汇总</t>
  </si>
  <si>
    <t>母公司PL原报汇总</t>
  </si>
  <si>
    <t>母公司汇总抵销</t>
  </si>
  <si>
    <t>母公司账项调整</t>
  </si>
  <si>
    <t>母公司报表调整</t>
  </si>
  <si>
    <t>母公司TB资产</t>
  </si>
  <si>
    <t>母公司TB负债</t>
  </si>
  <si>
    <t>母公司TB损益</t>
  </si>
  <si>
    <t>往来交易抵销</t>
  </si>
  <si>
    <t xml:space="preserve">合并报表调整 </t>
  </si>
  <si>
    <t>合并TB资产</t>
  </si>
  <si>
    <t>合并TB负债</t>
  </si>
  <si>
    <t>合并TB损益</t>
  </si>
  <si>
    <t>审定合并BS</t>
  </si>
  <si>
    <t>审定合并PL</t>
  </si>
  <si>
    <t>审定合并CF</t>
  </si>
  <si>
    <t>主附表经营活动现金净流量检验</t>
    <phoneticPr fontId="13" type="noConversion"/>
  </si>
  <si>
    <t>主附表现金及现金等价物净增加额检验</t>
    <phoneticPr fontId="13" type="noConversion"/>
  </si>
  <si>
    <t>附表经营活动现金流量净额公式</t>
    <phoneticPr fontId="13" type="noConversion"/>
  </si>
  <si>
    <t>附表现金及现金等价物增加额公式</t>
    <phoneticPr fontId="13" type="noConversion"/>
  </si>
  <si>
    <t>主表经营活动现金净流量公式</t>
    <phoneticPr fontId="13" type="noConversion"/>
  </si>
  <si>
    <t>主表投资活动现金净流量公式</t>
    <phoneticPr fontId="13" type="noConversion"/>
  </si>
  <si>
    <t>主表筹资活动现金净流量公式</t>
    <phoneticPr fontId="13" type="noConversion"/>
  </si>
  <si>
    <t>主表现金及现金等价物净增加额公式</t>
    <phoneticPr fontId="13" type="noConversion"/>
  </si>
  <si>
    <t>汇总抵销</t>
    <phoneticPr fontId="3" type="noConversion"/>
  </si>
  <si>
    <t>母公司汇总现金流量表试算平衡</t>
    <phoneticPr fontId="3" type="noConversion"/>
  </si>
  <si>
    <t>合并现金流量表试算平衡</t>
    <phoneticPr fontId="3" type="noConversion"/>
  </si>
  <si>
    <t>母公司CF原报汇总</t>
  </si>
  <si>
    <r>
      <t>B/S</t>
    </r>
    <r>
      <rPr>
        <sz val="10"/>
        <color indexed="12"/>
        <rFont val="宋体"/>
        <family val="3"/>
        <charset val="134"/>
      </rPr>
      <t>期末货币资金＝</t>
    </r>
    <r>
      <rPr>
        <sz val="10"/>
        <color indexed="12"/>
        <rFont val="Arial Narrow"/>
        <family val="2"/>
      </rPr>
      <t>Cashflow</t>
    </r>
    <r>
      <rPr>
        <sz val="10"/>
        <color indexed="12"/>
        <rFont val="宋体"/>
        <family val="3"/>
        <charset val="134"/>
      </rPr>
      <t>期末货币资金</t>
    </r>
    <phoneticPr fontId="13" type="noConversion"/>
  </si>
  <si>
    <r>
      <t>B/S</t>
    </r>
    <r>
      <rPr>
        <sz val="10"/>
        <color indexed="12"/>
        <rFont val="宋体"/>
        <family val="3"/>
        <charset val="134"/>
      </rPr>
      <t>期初货币资金＝</t>
    </r>
    <r>
      <rPr>
        <sz val="10"/>
        <color indexed="12"/>
        <rFont val="Arial Narrow"/>
        <family val="2"/>
      </rPr>
      <t>Cashflow</t>
    </r>
    <r>
      <rPr>
        <sz val="10"/>
        <color indexed="12"/>
        <rFont val="宋体"/>
        <family val="3"/>
        <charset val="134"/>
      </rPr>
      <t>期初货币资金</t>
    </r>
    <phoneticPr fontId="13" type="noConversion"/>
  </si>
  <si>
    <r>
      <t>直接法</t>
    </r>
    <r>
      <rPr>
        <sz val="10"/>
        <color indexed="12"/>
        <rFont val="Arial Narrow"/>
        <family val="2"/>
      </rPr>
      <t>OperatingCF</t>
    </r>
    <r>
      <rPr>
        <sz val="10"/>
        <color indexed="12"/>
        <rFont val="宋体"/>
        <family val="3"/>
        <charset val="134"/>
      </rPr>
      <t>＝间接法</t>
    </r>
    <r>
      <rPr>
        <sz val="10"/>
        <color indexed="12"/>
        <rFont val="Arial Narrow"/>
        <family val="2"/>
      </rPr>
      <t>OperatingCF</t>
    </r>
    <phoneticPr fontId="13" type="noConversion"/>
  </si>
  <si>
    <r>
      <t>直接法</t>
    </r>
    <r>
      <rPr>
        <sz val="10"/>
        <color indexed="12"/>
        <rFont val="Arial Narrow"/>
        <family val="2"/>
      </rPr>
      <t>NetCashflow</t>
    </r>
    <r>
      <rPr>
        <sz val="10"/>
        <color indexed="12"/>
        <rFont val="宋体"/>
        <family val="3"/>
        <charset val="134"/>
      </rPr>
      <t>＝间接法</t>
    </r>
    <r>
      <rPr>
        <sz val="10"/>
        <color indexed="12"/>
        <rFont val="Arial Narrow"/>
        <family val="2"/>
      </rPr>
      <t>NetCashflow</t>
    </r>
    <phoneticPr fontId="13" type="noConversion"/>
  </si>
  <si>
    <r>
      <t>P/L</t>
    </r>
    <r>
      <rPr>
        <sz val="10"/>
        <color indexed="12"/>
        <rFont val="宋体"/>
        <family val="3"/>
        <charset val="134"/>
      </rPr>
      <t>净利润＝</t>
    </r>
    <r>
      <rPr>
        <sz val="10"/>
        <color indexed="12"/>
        <rFont val="Arial Narrow"/>
        <family val="2"/>
      </rPr>
      <t>Cashflow</t>
    </r>
    <r>
      <rPr>
        <sz val="10"/>
        <color indexed="12"/>
        <rFont val="宋体"/>
        <family val="3"/>
        <charset val="134"/>
      </rPr>
      <t>间接法净利润</t>
    </r>
    <phoneticPr fontId="13" type="noConversion"/>
  </si>
  <si>
    <r>
      <t>Cashflow</t>
    </r>
    <r>
      <rPr>
        <sz val="10"/>
        <color indexed="12"/>
        <rFont val="宋体"/>
        <family val="3"/>
        <charset val="134"/>
      </rPr>
      <t>存货的减少＝</t>
    </r>
    <r>
      <rPr>
        <sz val="10"/>
        <color indexed="12"/>
        <rFont val="Arial Narrow"/>
        <family val="2"/>
      </rPr>
      <t>B/S</t>
    </r>
    <r>
      <rPr>
        <sz val="10"/>
        <color indexed="12"/>
        <rFont val="宋体"/>
        <family val="3"/>
        <charset val="134"/>
      </rPr>
      <t>存货的减少</t>
    </r>
    <phoneticPr fontId="13" type="noConversion"/>
  </si>
  <si>
    <r>
      <t>Cashflow</t>
    </r>
    <r>
      <rPr>
        <sz val="10"/>
        <color indexed="12"/>
        <rFont val="宋体"/>
        <family val="3"/>
        <charset val="134"/>
      </rPr>
      <t>投资收益＝</t>
    </r>
    <r>
      <rPr>
        <sz val="10"/>
        <color indexed="12"/>
        <rFont val="Arial Narrow"/>
        <family val="2"/>
      </rPr>
      <t>P/L</t>
    </r>
    <r>
      <rPr>
        <sz val="10"/>
        <color indexed="12"/>
        <rFont val="宋体"/>
        <family val="3"/>
        <charset val="134"/>
      </rPr>
      <t>投资收益</t>
    </r>
    <phoneticPr fontId="13" type="noConversion"/>
  </si>
  <si>
    <t>净资产收益率</t>
  </si>
  <si>
    <t>每股收益</t>
  </si>
  <si>
    <t>全面摊薄</t>
  </si>
  <si>
    <t>加权平均</t>
  </si>
  <si>
    <t>期末净资产</t>
  </si>
  <si>
    <t>加权平均净资产测算</t>
  </si>
  <si>
    <t>EPS-ROE计算</t>
  </si>
  <si>
    <t>目录</t>
    <phoneticPr fontId="13" type="noConversion"/>
  </si>
  <si>
    <t>上期审定数
②</t>
    <phoneticPr fontId="3" type="noConversion"/>
  </si>
  <si>
    <t>本年期初数
①</t>
    <phoneticPr fontId="3" type="noConversion"/>
  </si>
  <si>
    <t>本年上期数
①</t>
    <phoneticPr fontId="3" type="noConversion"/>
  </si>
  <si>
    <t>辅助检验：</t>
    <phoneticPr fontId="13" type="noConversion"/>
  </si>
  <si>
    <t>附表净利润与P/L净利润勾稽</t>
  </si>
  <si>
    <t>附表投资损失与P/L投资收益勾稽</t>
  </si>
  <si>
    <t>附表期末现金余额与B/S期末货币资金勾稽</t>
  </si>
  <si>
    <t>附表期初现金余额与B/S期初货币资金勾稽</t>
  </si>
  <si>
    <t>附表经营性应收项目的减少与B/S经营性应收检验（坏账准备后）</t>
    <phoneticPr fontId="13" type="noConversion"/>
  </si>
  <si>
    <t>附表经营性应付项目的增加与B/S经营性应付检验</t>
    <phoneticPr fontId="13" type="noConversion"/>
  </si>
  <si>
    <t>主表借款、还款与B/S长短期借款检验</t>
    <phoneticPr fontId="13" type="noConversion"/>
  </si>
  <si>
    <t>其中：合并报表调整</t>
    <phoneticPr fontId="7" type="noConversion"/>
  </si>
  <si>
    <t>总差异</t>
    <phoneticPr fontId="7" type="noConversion"/>
  </si>
  <si>
    <t>差异</t>
    <phoneticPr fontId="7" type="noConversion"/>
  </si>
  <si>
    <t>计提的资产减值准备</t>
    <phoneticPr fontId="13" type="noConversion"/>
  </si>
  <si>
    <t>无形资产摊销</t>
    <phoneticPr fontId="13" type="noConversion"/>
  </si>
  <si>
    <t>长期待摊费用摊销</t>
    <phoneticPr fontId="13" type="noConversion"/>
  </si>
  <si>
    <t>处置固定资产、无形资产和其他长期资产的损失（减：收益）</t>
    <phoneticPr fontId="13" type="noConversion"/>
  </si>
  <si>
    <t>固定资产报废损失</t>
    <phoneticPr fontId="13" type="noConversion"/>
  </si>
  <si>
    <t>固定资产折旧</t>
    <phoneticPr fontId="13" type="noConversion"/>
  </si>
  <si>
    <t>日期：</t>
    <phoneticPr fontId="3" type="noConversion"/>
  </si>
  <si>
    <r>
      <t>分页：</t>
    </r>
    <r>
      <rPr>
        <u/>
        <sz val="10"/>
        <rFont val="Arial Narrow"/>
        <family val="2"/>
      </rPr>
      <t/>
    </r>
    <phoneticPr fontId="3" type="noConversion"/>
  </si>
  <si>
    <t>行次</t>
    <phoneticPr fontId="7" type="noConversion"/>
  </si>
  <si>
    <t>上年已审数</t>
    <phoneticPr fontId="3" type="noConversion"/>
  </si>
  <si>
    <t>本年已审数</t>
    <phoneticPr fontId="3" type="noConversion"/>
  </si>
  <si>
    <t>本年比上年增长</t>
    <phoneticPr fontId="3" type="noConversion"/>
  </si>
  <si>
    <t>变动状况（显著/关注)</t>
    <phoneticPr fontId="3" type="noConversion"/>
  </si>
  <si>
    <t>显著变动
原因分析</t>
    <phoneticPr fontId="3" type="noConversion"/>
  </si>
  <si>
    <t>变动额</t>
    <phoneticPr fontId="3" type="noConversion"/>
  </si>
  <si>
    <t>变动％</t>
    <phoneticPr fontId="3" type="noConversion"/>
  </si>
  <si>
    <t>①</t>
    <phoneticPr fontId="3" type="noConversion"/>
  </si>
  <si>
    <t>已审资产负债表纵向趋势分析－负债</t>
    <phoneticPr fontId="3" type="noConversion"/>
  </si>
  <si>
    <r>
      <t>分页：</t>
    </r>
    <r>
      <rPr>
        <u/>
        <sz val="10"/>
        <rFont val="Arial Narrow"/>
        <family val="2"/>
      </rPr>
      <t xml:space="preserve">       </t>
    </r>
    <r>
      <rPr>
        <sz val="10"/>
        <rFont val="Arial Narrow"/>
        <family val="2"/>
      </rPr>
      <t xml:space="preserve">    </t>
    </r>
    <phoneticPr fontId="3" type="noConversion"/>
  </si>
  <si>
    <r>
      <t>资</t>
    </r>
    <r>
      <rPr>
        <b/>
        <sz val="10"/>
        <rFont val="Times New Roman"/>
        <family val="1"/>
      </rPr>
      <t xml:space="preserve">           </t>
    </r>
    <r>
      <rPr>
        <b/>
        <sz val="10"/>
        <rFont val="宋体"/>
        <family val="3"/>
        <charset val="134"/>
      </rPr>
      <t>产</t>
    </r>
    <phoneticPr fontId="3" type="noConversion"/>
  </si>
  <si>
    <t>行次</t>
    <phoneticPr fontId="3" type="noConversion"/>
  </si>
  <si>
    <r>
      <t>本年比上年</t>
    </r>
    <r>
      <rPr>
        <sz val="10"/>
        <rFont val="Times New Roman"/>
        <family val="1"/>
      </rPr>
      <t xml:space="preserve">
</t>
    </r>
    <r>
      <rPr>
        <sz val="10"/>
        <rFont val="宋体"/>
        <family val="3"/>
        <charset val="134"/>
      </rPr>
      <t>增长差异</t>
    </r>
    <phoneticPr fontId="3" type="noConversion"/>
  </si>
  <si>
    <r>
      <t>比重</t>
    </r>
    <r>
      <rPr>
        <sz val="10"/>
        <rFont val="Times New Roman"/>
        <family val="1"/>
      </rPr>
      <t>%</t>
    </r>
    <phoneticPr fontId="3" type="noConversion"/>
  </si>
  <si>
    <t>已审数</t>
    <phoneticPr fontId="3" type="noConversion"/>
  </si>
  <si>
    <t>②</t>
    <phoneticPr fontId="3" type="noConversion"/>
  </si>
  <si>
    <t>③</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</si>
  <si>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</si>
  <si>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</si>
  <si>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日期：</t>
    <phoneticPr fontId="3" type="noConversion"/>
  </si>
  <si>
    <r>
      <t>分页：</t>
    </r>
    <r>
      <rPr>
        <u/>
        <sz val="10"/>
        <rFont val="Arial Narrow"/>
        <family val="2"/>
      </rPr>
      <t/>
    </r>
    <phoneticPr fontId="3" type="noConversion"/>
  </si>
  <si>
    <t>行次</t>
    <phoneticPr fontId="7" type="noConversion"/>
  </si>
  <si>
    <t>上年已审数</t>
    <phoneticPr fontId="3" type="noConversion"/>
  </si>
  <si>
    <t>本年已审数</t>
    <phoneticPr fontId="3" type="noConversion"/>
  </si>
  <si>
    <r>
      <t>本年比上年</t>
    </r>
    <r>
      <rPr>
        <sz val="10"/>
        <rFont val="Times New Roman"/>
        <family val="1"/>
      </rPr>
      <t xml:space="preserve">
</t>
    </r>
    <r>
      <rPr>
        <sz val="10"/>
        <rFont val="宋体"/>
        <family val="3"/>
        <charset val="134"/>
      </rPr>
      <t>增长差异</t>
    </r>
    <phoneticPr fontId="3" type="noConversion"/>
  </si>
  <si>
    <t>变动状况（显著/关注)</t>
    <phoneticPr fontId="3" type="noConversion"/>
  </si>
  <si>
    <t>显著变动
原因分析</t>
    <phoneticPr fontId="3" type="noConversion"/>
  </si>
  <si>
    <r>
      <t>比重</t>
    </r>
    <r>
      <rPr>
        <sz val="10"/>
        <rFont val="Times New Roman"/>
        <family val="1"/>
      </rPr>
      <t>%</t>
    </r>
    <phoneticPr fontId="3" type="noConversion"/>
  </si>
  <si>
    <t>已审数</t>
    <phoneticPr fontId="3" type="noConversion"/>
  </si>
  <si>
    <t>①</t>
    <phoneticPr fontId="3" type="noConversion"/>
  </si>
  <si>
    <t>②</t>
    <phoneticPr fontId="3" type="noConversion"/>
  </si>
  <si>
    <t>③</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</si>
  <si>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</si>
  <si>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</si>
  <si>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日期：</t>
    <phoneticPr fontId="3" type="noConversion"/>
  </si>
  <si>
    <r>
      <t>分页：</t>
    </r>
    <r>
      <rPr>
        <u/>
        <sz val="10"/>
        <rFont val="Arial Narrow"/>
        <family val="2"/>
      </rPr>
      <t/>
    </r>
    <phoneticPr fontId="3" type="noConversion"/>
  </si>
  <si>
    <t>指标名称</t>
    <phoneticPr fontId="3" type="noConversion"/>
  </si>
  <si>
    <t>计算公式</t>
    <phoneticPr fontId="3" type="noConversion"/>
  </si>
  <si>
    <t>增减</t>
    <phoneticPr fontId="3" type="noConversion"/>
  </si>
  <si>
    <t>结论</t>
    <phoneticPr fontId="3" type="noConversion"/>
  </si>
  <si>
    <t>分子数值</t>
    <phoneticPr fontId="3" type="noConversion"/>
  </si>
  <si>
    <t>分母数值</t>
    <phoneticPr fontId="3" type="noConversion"/>
  </si>
  <si>
    <t>指标值</t>
    <phoneticPr fontId="3" type="noConversion"/>
  </si>
  <si>
    <t>注：</t>
    <phoneticPr fontId="3" type="noConversion"/>
  </si>
  <si>
    <r>
      <t>1</t>
    </r>
    <r>
      <rPr>
        <sz val="9"/>
        <rFont val="宋体"/>
        <family val="3"/>
        <charset val="134"/>
      </rPr>
      <t>、凡涉及平均数的比率，按年末、年初算术平均计算。</t>
    </r>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</si>
  <si>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</si>
  <si>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3" type="noConversion"/>
  </si>
  <si>
    <t>母公司已审资产负债表横向趋势分析－资产</t>
    <phoneticPr fontId="3" type="noConversion"/>
  </si>
  <si>
    <t>母公司已审资产负债表横向趋势分析－负债</t>
    <phoneticPr fontId="3" type="noConversion"/>
  </si>
  <si>
    <t>母公司已审资产负债表纵向趋势分析－资产</t>
    <phoneticPr fontId="3" type="noConversion"/>
  </si>
  <si>
    <t>母公司已审报表财务比率分析</t>
    <phoneticPr fontId="3" type="noConversion"/>
  </si>
  <si>
    <t>TB母公司CF</t>
  </si>
  <si>
    <t>TB合并CF</t>
  </si>
  <si>
    <t>母已审横向BS</t>
  </si>
  <si>
    <t>母已审横向PL</t>
  </si>
  <si>
    <t>母已审纵向BS</t>
  </si>
  <si>
    <t>母已审纵向PL</t>
  </si>
  <si>
    <t>母已审比率分析</t>
  </si>
  <si>
    <t>合并资产负债表汇总（审定数；合并抵销前）</t>
    <phoneticPr fontId="13" type="noConversion"/>
  </si>
  <si>
    <t>合并现金流量表汇总（审定数；合并抵销前）</t>
    <phoneticPr fontId="13" type="noConversion"/>
  </si>
  <si>
    <t>合并BS汇总</t>
  </si>
  <si>
    <t>合并PL汇总</t>
  </si>
  <si>
    <t>合并CF汇总</t>
  </si>
  <si>
    <t>辅助检验：</t>
    <phoneticPr fontId="13" type="noConversion"/>
  </si>
  <si>
    <t>总差异</t>
    <phoneticPr fontId="7" type="noConversion"/>
  </si>
  <si>
    <t>其中：合并报表调整</t>
    <phoneticPr fontId="7" type="noConversion"/>
  </si>
  <si>
    <t>合并报表实收资本（股本）与母公司实收资本（股本）检验</t>
    <phoneticPr fontId="7" type="noConversion"/>
  </si>
  <si>
    <t>其中：</t>
    <phoneticPr fontId="7" type="noConversion"/>
  </si>
  <si>
    <t>股份有限公司</t>
    <phoneticPr fontId="3" type="noConversion"/>
  </si>
  <si>
    <t>非股份有限公司</t>
    <phoneticPr fontId="3" type="noConversion"/>
  </si>
  <si>
    <t>股份有限公司</t>
  </si>
  <si>
    <t>会计报表格式及科目名称</t>
    <phoneticPr fontId="3" type="noConversion"/>
  </si>
  <si>
    <t>code</t>
    <phoneticPr fontId="50" type="noConversion"/>
  </si>
  <si>
    <t>报表项目</t>
    <phoneticPr fontId="50" type="noConversion"/>
  </si>
  <si>
    <r>
      <t>本表没有颜色的单元格可以根据需要进行修改，本系统的其它表格将随之改变。比如，可将“存货”改为“存货</t>
    </r>
    <r>
      <rPr>
        <b/>
        <sz val="10"/>
        <color indexed="12"/>
        <rFont val="Times New Roman"/>
        <family val="1"/>
      </rPr>
      <t>1</t>
    </r>
    <r>
      <rPr>
        <b/>
        <sz val="10"/>
        <color indexed="12"/>
        <rFont val="宋体"/>
        <family val="3"/>
        <charset val="134"/>
      </rPr>
      <t>”。正确的修改方法，是在拟修改的单元格直接输入</t>
    </r>
    <r>
      <rPr>
        <b/>
        <sz val="10"/>
        <color indexed="12"/>
        <rFont val="宋体"/>
        <family val="3"/>
        <charset val="134"/>
      </rPr>
      <t>新的内容，请不要使用剪切或拖拽功能</t>
    </r>
    <r>
      <rPr>
        <b/>
        <sz val="10"/>
        <color indexed="12"/>
        <rFont val="宋体"/>
        <family val="3"/>
        <charset val="134"/>
      </rPr>
      <t>。</t>
    </r>
    <phoneticPr fontId="3" type="noConversion"/>
  </si>
  <si>
    <r>
      <t>资</t>
    </r>
    <r>
      <rPr>
        <b/>
        <sz val="11"/>
        <color indexed="56"/>
        <rFont val="Times New Roman"/>
        <family val="1"/>
      </rPr>
      <t xml:space="preserve">   </t>
    </r>
    <r>
      <rPr>
        <b/>
        <sz val="11"/>
        <color indexed="56"/>
        <rFont val="宋体"/>
        <family val="3"/>
        <charset val="134"/>
      </rPr>
      <t>产</t>
    </r>
    <r>
      <rPr>
        <b/>
        <sz val="11"/>
        <color indexed="56"/>
        <rFont val="Times New Roman"/>
        <family val="1"/>
      </rPr>
      <t xml:space="preserve">   </t>
    </r>
    <r>
      <rPr>
        <b/>
        <sz val="11"/>
        <color indexed="56"/>
        <rFont val="宋体"/>
        <family val="3"/>
        <charset val="134"/>
      </rPr>
      <t>类</t>
    </r>
    <phoneticPr fontId="3" type="noConversion"/>
  </si>
  <si>
    <t>负债及所有者权益类</t>
    <phoneticPr fontId="3" type="noConversion"/>
  </si>
  <si>
    <r>
      <t>损</t>
    </r>
    <r>
      <rPr>
        <b/>
        <sz val="11"/>
        <color indexed="56"/>
        <rFont val="Times New Roman"/>
        <family val="1"/>
      </rPr>
      <t xml:space="preserve">   </t>
    </r>
    <r>
      <rPr>
        <b/>
        <sz val="11"/>
        <color indexed="56"/>
        <rFont val="宋体"/>
        <family val="3"/>
        <charset val="134"/>
      </rPr>
      <t>益</t>
    </r>
    <r>
      <rPr>
        <b/>
        <sz val="11"/>
        <color indexed="56"/>
        <rFont val="Times New Roman"/>
        <family val="1"/>
      </rPr>
      <t xml:space="preserve">   </t>
    </r>
    <r>
      <rPr>
        <b/>
        <sz val="11"/>
        <color indexed="56"/>
        <rFont val="宋体"/>
        <family val="3"/>
        <charset val="134"/>
      </rPr>
      <t>类</t>
    </r>
    <phoneticPr fontId="3" type="noConversion"/>
  </si>
  <si>
    <t>现金流量表类</t>
    <phoneticPr fontId="3" type="noConversion"/>
  </si>
  <si>
    <t>报表项目</t>
    <phoneticPr fontId="3" type="noConversion"/>
  </si>
  <si>
    <t>行</t>
    <phoneticPr fontId="3" type="noConversion"/>
  </si>
  <si>
    <t>调整年末科目名称</t>
    <phoneticPr fontId="3" type="noConversion"/>
  </si>
  <si>
    <t>调整年初科目名称</t>
    <phoneticPr fontId="3" type="noConversion"/>
  </si>
  <si>
    <t>调整本期科目名称</t>
    <phoneticPr fontId="3" type="noConversion"/>
  </si>
  <si>
    <t>调整上期科目名称</t>
    <phoneticPr fontId="3" type="noConversion"/>
  </si>
  <si>
    <t>科目名称</t>
    <phoneticPr fontId="3" type="noConversion"/>
  </si>
  <si>
    <t>补充资料</t>
    <phoneticPr fontId="3" type="noConversion"/>
  </si>
  <si>
    <t>一、营业收入</t>
  </si>
  <si>
    <t>主营业务收入</t>
    <phoneticPr fontId="3" type="noConversion"/>
  </si>
  <si>
    <t>一、经营活动产生的现金流量</t>
    <phoneticPr fontId="3" type="noConversion"/>
  </si>
  <si>
    <t>货币资金</t>
    <phoneticPr fontId="3" type="noConversion"/>
  </si>
  <si>
    <t>短期借款</t>
    <phoneticPr fontId="3" type="noConversion"/>
  </si>
  <si>
    <t xml:space="preserve">        其中：主营业务收入</t>
  </si>
  <si>
    <t>销售商品、提供劳务收到的现金</t>
    <phoneticPr fontId="3" type="noConversion"/>
  </si>
  <si>
    <r>
      <t xml:space="preserve">     </t>
    </r>
    <r>
      <rPr>
        <sz val="10"/>
        <rFont val="宋体"/>
        <family val="3"/>
        <charset val="134"/>
      </rPr>
      <t>净利润</t>
    </r>
    <phoneticPr fontId="3" type="noConversion"/>
  </si>
  <si>
    <t>净利润</t>
    <phoneticPr fontId="3" type="noConversion"/>
  </si>
  <si>
    <t>D1</t>
    <phoneticPr fontId="3" type="noConversion"/>
  </si>
  <si>
    <t>短期投资</t>
    <phoneticPr fontId="3" type="noConversion"/>
  </si>
  <si>
    <t xml:space="preserve">              其他业务收入</t>
  </si>
  <si>
    <r>
      <t xml:space="preserve">     </t>
    </r>
    <r>
      <rPr>
        <sz val="10"/>
        <rFont val="宋体"/>
        <family val="3"/>
        <charset val="134"/>
      </rPr>
      <t>收到的税费返还</t>
    </r>
    <phoneticPr fontId="3" type="noConversion"/>
  </si>
  <si>
    <t>收到的税费返还</t>
    <phoneticPr fontId="3" type="noConversion"/>
  </si>
  <si>
    <t>少数股东损益</t>
    <phoneticPr fontId="3" type="noConversion"/>
  </si>
  <si>
    <t>应收票据</t>
    <phoneticPr fontId="3" type="noConversion"/>
  </si>
  <si>
    <t>应付账款</t>
    <phoneticPr fontId="3" type="noConversion"/>
  </si>
  <si>
    <t xml:space="preserve">    减：营业成本</t>
    <phoneticPr fontId="3" type="noConversion"/>
  </si>
  <si>
    <t>折扣与折让</t>
    <phoneticPr fontId="3" type="noConversion"/>
  </si>
  <si>
    <r>
      <t xml:space="preserve">     </t>
    </r>
    <r>
      <rPr>
        <sz val="10"/>
        <rFont val="宋体"/>
        <family val="3"/>
        <charset val="134"/>
      </rPr>
      <t>收到的其他与经营活动有关的现金</t>
    </r>
    <phoneticPr fontId="3" type="noConversion"/>
  </si>
  <si>
    <t>收到的其他与经营活动有关的现金</t>
    <phoneticPr fontId="3" type="noConversion"/>
  </si>
  <si>
    <t>未确认的投资损失</t>
    <phoneticPr fontId="3" type="noConversion"/>
  </si>
  <si>
    <t>D3</t>
  </si>
  <si>
    <t>应收账款</t>
    <phoneticPr fontId="3" type="noConversion"/>
  </si>
  <si>
    <t>应收股利</t>
    <phoneticPr fontId="3" type="noConversion"/>
  </si>
  <si>
    <t>预收账款</t>
    <phoneticPr fontId="3" type="noConversion"/>
  </si>
  <si>
    <t>计提的资产减值准备</t>
    <phoneticPr fontId="3" type="noConversion"/>
  </si>
  <si>
    <t>D4</t>
  </si>
  <si>
    <t>预付账款</t>
    <phoneticPr fontId="3" type="noConversion"/>
  </si>
  <si>
    <t>应收利息</t>
    <phoneticPr fontId="3" type="noConversion"/>
  </si>
  <si>
    <t>主营业务成本</t>
    <phoneticPr fontId="3" type="noConversion"/>
  </si>
  <si>
    <r>
      <t xml:space="preserve">     </t>
    </r>
    <r>
      <rPr>
        <b/>
        <sz val="10"/>
        <rFont val="宋体"/>
        <family val="3"/>
        <charset val="134"/>
      </rPr>
      <t>经营活动现金流入小计</t>
    </r>
    <phoneticPr fontId="3" type="noConversion"/>
  </si>
  <si>
    <r>
      <t xml:space="preserve">     </t>
    </r>
    <r>
      <rPr>
        <sz val="10"/>
        <rFont val="宋体"/>
        <family val="3"/>
        <charset val="134"/>
      </rPr>
      <t>固定资产折旧、油气资产折耗、生产性生物资产折旧</t>
    </r>
    <phoneticPr fontId="3" type="noConversion"/>
  </si>
  <si>
    <t>固定资产折旧</t>
    <phoneticPr fontId="3" type="noConversion"/>
  </si>
  <si>
    <t>应付职工薪酬</t>
    <phoneticPr fontId="3" type="noConversion"/>
  </si>
  <si>
    <r>
      <t xml:space="preserve">     </t>
    </r>
    <r>
      <rPr>
        <sz val="10"/>
        <rFont val="宋体"/>
        <family val="3"/>
        <charset val="134"/>
      </rPr>
      <t>购买商品、接受劳务支付的现金</t>
    </r>
    <phoneticPr fontId="3" type="noConversion"/>
  </si>
  <si>
    <t>购买商品、接受劳务支付的现金</t>
    <phoneticPr fontId="3" type="noConversion"/>
  </si>
  <si>
    <r>
      <t xml:space="preserve">     </t>
    </r>
    <r>
      <rPr>
        <sz val="10"/>
        <rFont val="宋体"/>
        <family val="3"/>
        <charset val="134"/>
      </rPr>
      <t>无形资产摊销</t>
    </r>
    <phoneticPr fontId="3" type="noConversion"/>
  </si>
  <si>
    <t>无形资产摊销</t>
    <phoneticPr fontId="3" type="noConversion"/>
  </si>
  <si>
    <t>其他应收款</t>
    <phoneticPr fontId="3" type="noConversion"/>
  </si>
  <si>
    <t>应交税费</t>
    <phoneticPr fontId="3" type="noConversion"/>
  </si>
  <si>
    <t xml:space="preserve">        销售费用</t>
    <phoneticPr fontId="3" type="noConversion"/>
  </si>
  <si>
    <t>主营业务税金及附加</t>
    <phoneticPr fontId="3" type="noConversion"/>
  </si>
  <si>
    <r>
      <t xml:space="preserve">     </t>
    </r>
    <r>
      <rPr>
        <sz val="10"/>
        <rFont val="宋体"/>
        <family val="3"/>
        <charset val="134"/>
      </rPr>
      <t>支付给职工以及为职工支付的现金</t>
    </r>
    <phoneticPr fontId="3" type="noConversion"/>
  </si>
  <si>
    <t>支付给职工以及为职工支付的现金</t>
    <phoneticPr fontId="3" type="noConversion"/>
  </si>
  <si>
    <r>
      <t xml:space="preserve">     </t>
    </r>
    <r>
      <rPr>
        <sz val="10"/>
        <rFont val="宋体"/>
        <family val="3"/>
        <charset val="134"/>
      </rPr>
      <t>长期待摊费用摊销</t>
    </r>
    <phoneticPr fontId="3" type="noConversion"/>
  </si>
  <si>
    <t>长期待摊费用摊销</t>
    <phoneticPr fontId="3" type="noConversion"/>
  </si>
  <si>
    <t xml:space="preserve">        管理费用</t>
    <phoneticPr fontId="3" type="noConversion"/>
  </si>
  <si>
    <t>经营费用</t>
    <phoneticPr fontId="3" type="noConversion"/>
  </si>
  <si>
    <r>
      <t xml:space="preserve">     </t>
    </r>
    <r>
      <rPr>
        <sz val="10"/>
        <rFont val="宋体"/>
        <family val="3"/>
        <charset val="134"/>
      </rPr>
      <t>支付各项税费</t>
    </r>
    <phoneticPr fontId="3" type="noConversion"/>
  </si>
  <si>
    <t>支付各项税费</t>
    <phoneticPr fontId="3" type="noConversion"/>
  </si>
  <si>
    <r>
      <t xml:space="preserve">     </t>
    </r>
    <r>
      <rPr>
        <sz val="10"/>
        <rFont val="宋体"/>
        <family val="3"/>
        <charset val="134"/>
      </rPr>
      <t>处置固定资产、无形资产和其他长期资产的损失（收益以“－”号填列）</t>
    </r>
    <phoneticPr fontId="3" type="noConversion"/>
  </si>
  <si>
    <t>待摊费用的减少（减：增加）</t>
    <phoneticPr fontId="3" type="noConversion"/>
  </si>
  <si>
    <t>其他未交款</t>
    <phoneticPr fontId="3" type="noConversion"/>
  </si>
  <si>
    <r>
      <t xml:space="preserve">     </t>
    </r>
    <r>
      <rPr>
        <sz val="10"/>
        <rFont val="宋体"/>
        <family val="3"/>
        <charset val="134"/>
      </rPr>
      <t>支付的其他与经营活动有关的现金</t>
    </r>
    <phoneticPr fontId="3" type="noConversion"/>
  </si>
  <si>
    <r>
      <t xml:space="preserve">     </t>
    </r>
    <r>
      <rPr>
        <sz val="10"/>
        <rFont val="宋体"/>
        <family val="3"/>
        <charset val="134"/>
      </rPr>
      <t>固定资产报废损失（收益以“－”号填列）</t>
    </r>
    <phoneticPr fontId="3" type="noConversion"/>
  </si>
  <si>
    <t>其他应付款</t>
    <phoneticPr fontId="3" type="noConversion"/>
  </si>
  <si>
    <t>递延收益</t>
    <phoneticPr fontId="3" type="noConversion"/>
  </si>
  <si>
    <r>
      <t xml:space="preserve">     </t>
    </r>
    <r>
      <rPr>
        <sz val="10"/>
        <rFont val="宋体"/>
        <family val="3"/>
        <charset val="134"/>
      </rPr>
      <t>公允价值变动损失（收益以</t>
    </r>
    <r>
      <rPr>
        <sz val="10"/>
        <rFont val="Times New Roman"/>
        <family val="1"/>
      </rPr>
      <t>“</t>
    </r>
    <r>
      <rPr>
        <sz val="10"/>
        <rFont val="宋体"/>
        <family val="3"/>
        <charset val="134"/>
      </rPr>
      <t>－</t>
    </r>
    <r>
      <rPr>
        <sz val="10"/>
        <rFont val="Times New Roman"/>
        <family val="1"/>
      </rPr>
      <t>”</t>
    </r>
    <r>
      <rPr>
        <sz val="10"/>
        <rFont val="宋体"/>
        <family val="3"/>
        <charset val="134"/>
      </rPr>
      <t>号填列）</t>
    </r>
    <phoneticPr fontId="3" type="noConversion"/>
  </si>
  <si>
    <t>一年内到期的非流动负债</t>
  </si>
  <si>
    <t>预提费用</t>
    <phoneticPr fontId="3" type="noConversion"/>
  </si>
  <si>
    <t xml:space="preserve">        财务费用</t>
    <phoneticPr fontId="3" type="noConversion"/>
  </si>
  <si>
    <r>
      <t xml:space="preserve">     </t>
    </r>
    <r>
      <rPr>
        <b/>
        <sz val="10"/>
        <rFont val="宋体"/>
        <family val="3"/>
        <charset val="134"/>
      </rPr>
      <t>经营活动现金流出小计</t>
    </r>
    <phoneticPr fontId="3" type="noConversion"/>
  </si>
  <si>
    <r>
      <t xml:space="preserve">     </t>
    </r>
    <r>
      <rPr>
        <sz val="10"/>
        <rFont val="宋体"/>
        <family val="3"/>
        <charset val="134"/>
      </rPr>
      <t>财务费用（收益以“－”号填列）</t>
    </r>
    <phoneticPr fontId="3" type="noConversion"/>
  </si>
  <si>
    <t>一年内到期的非流动资产</t>
    <phoneticPr fontId="3" type="noConversion"/>
  </si>
  <si>
    <t>预计负债</t>
    <phoneticPr fontId="3" type="noConversion"/>
  </si>
  <si>
    <r>
      <t xml:space="preserve">     </t>
    </r>
    <r>
      <rPr>
        <sz val="10"/>
        <rFont val="宋体"/>
        <family val="3"/>
        <charset val="134"/>
      </rPr>
      <t>投资损失（收益以“－”号填列）</t>
    </r>
    <phoneticPr fontId="3" type="noConversion"/>
  </si>
  <si>
    <t>财务费用</t>
    <phoneticPr fontId="3" type="noConversion"/>
  </si>
  <si>
    <t>一年内到期的长期负债</t>
    <phoneticPr fontId="3" type="noConversion"/>
  </si>
  <si>
    <t xml:space="preserve">              利息收入</t>
    <phoneticPr fontId="3" type="noConversion"/>
  </si>
  <si>
    <r>
      <t xml:space="preserve">     </t>
    </r>
    <r>
      <rPr>
        <sz val="10"/>
        <rFont val="宋体"/>
        <family val="3"/>
        <charset val="134"/>
      </rPr>
      <t>递延所得税资产减少（增加以“－”号填列）</t>
    </r>
    <phoneticPr fontId="3" type="noConversion"/>
  </si>
  <si>
    <t>其他流动负债</t>
    <phoneticPr fontId="3" type="noConversion"/>
  </si>
  <si>
    <t>其他业务利润</t>
    <phoneticPr fontId="3" type="noConversion"/>
  </si>
  <si>
    <r>
      <t xml:space="preserve">     </t>
    </r>
    <r>
      <rPr>
        <sz val="10"/>
        <rFont val="宋体"/>
        <family val="3"/>
        <charset val="134"/>
      </rPr>
      <t>递延所得税负债增加（减少以“－”号填列）</t>
    </r>
    <phoneticPr fontId="3" type="noConversion"/>
  </si>
  <si>
    <t>待摊费用</t>
    <phoneticPr fontId="3" type="noConversion"/>
  </si>
  <si>
    <t>流动负债合计</t>
    <phoneticPr fontId="3" type="noConversion"/>
  </si>
  <si>
    <t>营业费用</t>
    <phoneticPr fontId="3" type="noConversion"/>
  </si>
  <si>
    <r>
      <t xml:space="preserve">     </t>
    </r>
    <r>
      <rPr>
        <sz val="10"/>
        <rFont val="宋体"/>
        <family val="3"/>
        <charset val="134"/>
      </rPr>
      <t>存货的减少（增加以“－”号填列）</t>
    </r>
    <phoneticPr fontId="3" type="noConversion"/>
  </si>
  <si>
    <t>投资损失（减：收益）</t>
    <phoneticPr fontId="3" type="noConversion"/>
  </si>
  <si>
    <t>非流动资产:</t>
  </si>
  <si>
    <t>待处理流动资产净损失</t>
    <phoneticPr fontId="3" type="noConversion"/>
  </si>
  <si>
    <t>非流动负债:</t>
  </si>
  <si>
    <r>
      <t xml:space="preserve">     </t>
    </r>
    <r>
      <rPr>
        <sz val="10"/>
        <rFont val="宋体"/>
        <family val="3"/>
        <charset val="134"/>
      </rPr>
      <t>处置固定资产、无形资产和其他长期资产而收到的现金净额</t>
    </r>
    <phoneticPr fontId="3" type="noConversion"/>
  </si>
  <si>
    <t>收回投资所收到的现金</t>
    <phoneticPr fontId="3" type="noConversion"/>
  </si>
  <si>
    <r>
      <t xml:space="preserve">     </t>
    </r>
    <r>
      <rPr>
        <sz val="10"/>
        <rFont val="宋体"/>
        <family val="3"/>
        <charset val="134"/>
      </rPr>
      <t>经营性应收项目的减少（增加以“－”号填列）</t>
    </r>
    <phoneticPr fontId="3" type="noConversion"/>
  </si>
  <si>
    <t>递延税款贷项（减：借项）</t>
    <phoneticPr fontId="3" type="noConversion"/>
  </si>
  <si>
    <t>长期借款</t>
    <phoneticPr fontId="3" type="noConversion"/>
  </si>
  <si>
    <t>财务费用</t>
    <phoneticPr fontId="3" type="noConversion"/>
  </si>
  <si>
    <r>
      <t xml:space="preserve">     </t>
    </r>
    <r>
      <rPr>
        <sz val="10"/>
        <rFont val="宋体"/>
        <family val="3"/>
        <charset val="134"/>
      </rPr>
      <t>处置子公司及其他营业单位收到的现金净额</t>
    </r>
    <phoneticPr fontId="3" type="noConversion"/>
  </si>
  <si>
    <r>
      <t xml:space="preserve">     </t>
    </r>
    <r>
      <rPr>
        <sz val="10"/>
        <rFont val="宋体"/>
        <family val="3"/>
        <charset val="134"/>
      </rPr>
      <t>经营性应付项目的增加（减少以“－”号填列）</t>
    </r>
    <phoneticPr fontId="3" type="noConversion"/>
  </si>
  <si>
    <t>存货的减少（减：增加）</t>
    <phoneticPr fontId="3" type="noConversion"/>
  </si>
  <si>
    <t>应付债券</t>
    <phoneticPr fontId="3" type="noConversion"/>
  </si>
  <si>
    <r>
      <t xml:space="preserve">     </t>
    </r>
    <r>
      <rPr>
        <sz val="10"/>
        <rFont val="宋体"/>
        <family val="3"/>
        <charset val="134"/>
      </rPr>
      <t>收到其他与投资活动有关的现金</t>
    </r>
    <phoneticPr fontId="3" type="noConversion"/>
  </si>
  <si>
    <r>
      <t xml:space="preserve">     </t>
    </r>
    <r>
      <rPr>
        <sz val="10"/>
        <rFont val="宋体"/>
        <family val="3"/>
        <charset val="134"/>
      </rPr>
      <t>其他</t>
    </r>
    <phoneticPr fontId="3" type="noConversion"/>
  </si>
  <si>
    <t>经营性应收项目的减少（减：增加）</t>
    <phoneticPr fontId="3" type="noConversion"/>
  </si>
  <si>
    <t>长期应收款</t>
    <phoneticPr fontId="3" type="noConversion"/>
  </si>
  <si>
    <t>长期应付款</t>
    <phoneticPr fontId="3" type="noConversion"/>
  </si>
  <si>
    <t>D16</t>
  </si>
  <si>
    <t>长期股权投资</t>
    <phoneticPr fontId="3" type="noConversion"/>
  </si>
  <si>
    <t>二、营业利润（亏损以“－”号填列）</t>
  </si>
  <si>
    <t>附表资产减值准备与P/L资产减值损失勾稽</t>
  </si>
  <si>
    <t>附表资产减值准备与P/L资产减值损失勾稽</t>
    <phoneticPr fontId="67" type="noConversion"/>
  </si>
  <si>
    <t>上述变化发生于资产负债表日至财务报告批准报出日之间的，应当以调整后的股数重新计算各列报期间的每股收益。</t>
    <phoneticPr fontId="13" type="noConversion"/>
  </si>
  <si>
    <t>注：</t>
    <phoneticPr fontId="13" type="noConversion"/>
  </si>
  <si>
    <t>为此，企业首先应当计算出一个调整系数，再用配股前发行在外普通股的股数乘以该调整系数，得出计算每股收益时应采用的普通股股数。</t>
    <phoneticPr fontId="13" type="noConversion"/>
  </si>
  <si>
    <r>
      <t>计算基本每股收益时，应当考虑配股中的送股因素，将这部分无对价的送股</t>
    </r>
    <r>
      <rPr>
        <sz val="10"/>
        <color indexed="12"/>
        <rFont val="Arial Narrow"/>
        <family val="2"/>
      </rPr>
      <t>(</t>
    </r>
    <r>
      <rPr>
        <sz val="10"/>
        <color indexed="12"/>
        <rFont val="宋体"/>
        <family val="3"/>
        <charset val="134"/>
      </rPr>
      <t>不是全部配发的普通股</t>
    </r>
    <r>
      <rPr>
        <sz val="10"/>
        <color indexed="12"/>
        <rFont val="Arial Narrow"/>
        <family val="2"/>
      </rPr>
      <t>)</t>
    </r>
    <r>
      <rPr>
        <sz val="10"/>
        <color indexed="12"/>
        <rFont val="宋体"/>
        <family val="3"/>
        <charset val="134"/>
      </rPr>
      <t>视同列报最早期间期初就已发行在外，</t>
    </r>
    <phoneticPr fontId="13" type="noConversion"/>
  </si>
  <si>
    <t>并据以调整各列报期间发行在外普通股的加权平均数，计算各列报期间的每股收益。</t>
    <phoneticPr fontId="13" type="noConversion"/>
  </si>
  <si>
    <t>不存在稀释性潜在普通股的企业应当在利润表中单独列示基本每股收益。</t>
    <phoneticPr fontId="13" type="noConversion"/>
  </si>
  <si>
    <t>潜在普通股主要有可转换公司债券、认股权证、股份期权等。</t>
    <phoneticPr fontId="13" type="noConversion"/>
  </si>
  <si>
    <r>
      <t>为了保持会计指标的前后期可比性，企业应当在</t>
    </r>
    <r>
      <rPr>
        <sz val="10"/>
        <color indexed="10"/>
        <rFont val="宋体"/>
        <family val="3"/>
        <charset val="134"/>
      </rPr>
      <t>派发股票股利、公积金转增资本、拆股和并股</t>
    </r>
    <r>
      <rPr>
        <sz val="10"/>
        <color indexed="12"/>
        <rFont val="宋体"/>
        <family val="3"/>
        <charset val="134"/>
      </rPr>
      <t>相关报批手续全部完成后，</t>
    </r>
    <r>
      <rPr>
        <sz val="10"/>
        <color indexed="10"/>
        <rFont val="宋体"/>
        <family val="3"/>
        <charset val="134"/>
      </rPr>
      <t>按调整后的股数重新计算各列报期间的每股收益。</t>
    </r>
    <phoneticPr fontId="13" type="noConversion"/>
  </si>
  <si>
    <t>专项储备</t>
    <phoneticPr fontId="3" type="noConversion"/>
  </si>
  <si>
    <r>
      <t xml:space="preserve">     </t>
    </r>
    <r>
      <rPr>
        <sz val="10"/>
        <rFont val="宋体"/>
        <family val="3"/>
        <charset val="134"/>
      </rPr>
      <t>归属于母公司股东的综合收益总额</t>
    </r>
    <phoneticPr fontId="133" type="noConversion"/>
  </si>
  <si>
    <r>
      <t xml:space="preserve">     </t>
    </r>
    <r>
      <rPr>
        <sz val="10"/>
        <rFont val="宋体"/>
        <family val="3"/>
        <charset val="134"/>
      </rPr>
      <t>归属于少数股东的综合收益总额</t>
    </r>
    <phoneticPr fontId="133" type="noConversion"/>
  </si>
  <si>
    <t>衍生金融资产</t>
    <phoneticPr fontId="3" type="noConversion"/>
  </si>
  <si>
    <t>设定受益计划净资产</t>
    <phoneticPr fontId="3" type="noConversion"/>
  </si>
  <si>
    <t>衍生金融负债</t>
    <phoneticPr fontId="3" type="noConversion"/>
  </si>
  <si>
    <t xml:space="preserve">        永续债</t>
    <phoneticPr fontId="3" type="noConversion"/>
  </si>
  <si>
    <t>长期应付职工薪酬</t>
    <phoneticPr fontId="3" type="noConversion"/>
  </si>
  <si>
    <t>递延收益</t>
    <phoneticPr fontId="3" type="noConversion"/>
  </si>
  <si>
    <t>其他权益工具</t>
    <phoneticPr fontId="3" type="noConversion"/>
  </si>
  <si>
    <t xml:space="preserve">  其中：优先股</t>
    <phoneticPr fontId="3" type="noConversion"/>
  </si>
  <si>
    <t xml:space="preserve">        永续债</t>
    <phoneticPr fontId="3" type="noConversion"/>
  </si>
  <si>
    <t>其他综合收益</t>
    <phoneticPr fontId="3" type="noConversion"/>
  </si>
  <si>
    <t>五、其他综合收益的税后净额</t>
  </si>
  <si>
    <t>归属于母公司股东的其他综合收益的税后净额</t>
    <phoneticPr fontId="133" type="noConversion"/>
  </si>
  <si>
    <t>六、综合收益总额</t>
    <phoneticPr fontId="133" type="noConversion"/>
  </si>
  <si>
    <t>七、每股收益</t>
    <phoneticPr fontId="3" type="noConversion"/>
  </si>
  <si>
    <t>D6</t>
  </si>
  <si>
    <t>D9</t>
  </si>
  <si>
    <t>D10</t>
  </si>
  <si>
    <t>D13</t>
  </si>
  <si>
    <t>E11</t>
  </si>
  <si>
    <t>E12</t>
  </si>
  <si>
    <t>E14</t>
  </si>
  <si>
    <t>E15</t>
    <phoneticPr fontId="3" type="noConversion"/>
  </si>
  <si>
    <t>E16</t>
    <phoneticPr fontId="3" type="noConversion"/>
  </si>
  <si>
    <t>F5</t>
  </si>
  <si>
    <t>F6</t>
  </si>
  <si>
    <t>F7</t>
  </si>
  <si>
    <t>F8</t>
  </si>
  <si>
    <t>G24</t>
  </si>
  <si>
    <t>G27</t>
  </si>
  <si>
    <t>G30</t>
  </si>
  <si>
    <t>G31</t>
  </si>
  <si>
    <t>G32</t>
  </si>
  <si>
    <t>G33</t>
  </si>
  <si>
    <t>G34</t>
  </si>
  <si>
    <t>G35</t>
  </si>
  <si>
    <t>检验综合收益总额公式</t>
    <phoneticPr fontId="13" type="noConversion"/>
  </si>
  <si>
    <t>检验归属于母公司其他综合收益公式</t>
    <phoneticPr fontId="13" type="noConversion"/>
  </si>
  <si>
    <t>检验过属于母公司其他综合收益公式</t>
    <phoneticPr fontId="13" type="noConversion"/>
  </si>
  <si>
    <t>已审综合收益表横向分析</t>
    <phoneticPr fontId="3" type="noConversion"/>
  </si>
  <si>
    <t>已审综合收益表纵向分析</t>
    <phoneticPr fontId="3" type="noConversion"/>
  </si>
  <si>
    <t>母公司已审综合收益表横向分析</t>
    <phoneticPr fontId="3" type="noConversion"/>
  </si>
  <si>
    <t>母公司已审综合收益表纵向分析</t>
    <phoneticPr fontId="3" type="noConversion"/>
  </si>
  <si>
    <t>八、利润分配</t>
    <phoneticPr fontId="3" type="noConversion"/>
  </si>
  <si>
    <t>九、未分配利润</t>
    <phoneticPr fontId="3" type="noConversion"/>
  </si>
  <si>
    <t>G46</t>
  </si>
  <si>
    <t>G47</t>
  </si>
  <si>
    <t>利润及利润分配表期初核对－合并</t>
    <phoneticPr fontId="3" type="noConversion"/>
  </si>
  <si>
    <t>母公司利润及利润分配表汇总（审定数）</t>
    <phoneticPr fontId="13" type="noConversion"/>
  </si>
  <si>
    <t>母公司利润及利润分配表试算平衡</t>
    <phoneticPr fontId="3" type="noConversion"/>
  </si>
  <si>
    <t>合并利润及利润分配表汇总（审定数；合并抵销前）</t>
    <phoneticPr fontId="13" type="noConversion"/>
  </si>
  <si>
    <t>合并利润及利润分配表试算平衡</t>
    <phoneticPr fontId="3" type="noConversion"/>
  </si>
  <si>
    <r>
      <rPr>
        <b/>
        <sz val="9"/>
        <color indexed="10"/>
        <rFont val="新宋体"/>
        <family val="3"/>
        <charset val="134"/>
      </rPr>
      <t>索引：</t>
    </r>
    <r>
      <rPr>
        <b/>
        <sz val="9"/>
        <color indexed="10"/>
        <rFont val="Arial Narrow"/>
        <family val="2"/>
      </rPr>
      <t>A3-2-1</t>
    </r>
    <phoneticPr fontId="50" type="noConversion"/>
  </si>
  <si>
    <r>
      <rPr>
        <b/>
        <sz val="9"/>
        <color indexed="10"/>
        <rFont val="新宋体"/>
        <family val="3"/>
        <charset val="134"/>
      </rPr>
      <t>索引：</t>
    </r>
    <r>
      <rPr>
        <b/>
        <sz val="9"/>
        <color indexed="10"/>
        <rFont val="Arial Narrow"/>
        <family val="2"/>
      </rPr>
      <t>A3-2-2</t>
    </r>
    <phoneticPr fontId="50" type="noConversion"/>
  </si>
  <si>
    <r>
      <rPr>
        <b/>
        <sz val="9"/>
        <color indexed="10"/>
        <rFont val="新宋体"/>
        <family val="3"/>
        <charset val="134"/>
      </rPr>
      <t>索引：</t>
    </r>
    <r>
      <rPr>
        <b/>
        <sz val="9"/>
        <color indexed="10"/>
        <rFont val="Arial Narrow"/>
        <family val="2"/>
      </rPr>
      <t>A3-2-3</t>
    </r>
    <phoneticPr fontId="50" type="noConversion"/>
  </si>
  <si>
    <r>
      <t>索引：</t>
    </r>
    <r>
      <rPr>
        <b/>
        <sz val="10"/>
        <color indexed="10"/>
        <rFont val="Arial Narrow"/>
        <family val="2"/>
      </rPr>
      <t xml:space="preserve"> </t>
    </r>
    <r>
      <rPr>
        <b/>
        <u/>
        <sz val="10"/>
        <color indexed="10"/>
        <rFont val="Arial Narrow"/>
        <family val="2"/>
      </rPr>
      <t xml:space="preserve">  A1-14-1</t>
    </r>
    <phoneticPr fontId="3" type="noConversion"/>
  </si>
  <si>
    <r>
      <t>索引：</t>
    </r>
    <r>
      <rPr>
        <b/>
        <sz val="10"/>
        <color indexed="10"/>
        <rFont val="Arial Narrow"/>
        <family val="2"/>
      </rPr>
      <t xml:space="preserve">  A1-14-2 </t>
    </r>
    <r>
      <rPr>
        <b/>
        <u/>
        <sz val="10"/>
        <color indexed="10"/>
        <rFont val="Arial Narrow"/>
        <family val="2"/>
      </rPr>
      <t xml:space="preserve">           </t>
    </r>
    <phoneticPr fontId="3" type="noConversion"/>
  </si>
  <si>
    <r>
      <rPr>
        <b/>
        <sz val="10"/>
        <color indexed="10"/>
        <rFont val="宋体"/>
        <family val="3"/>
        <charset val="134"/>
      </rPr>
      <t>索引：</t>
    </r>
    <r>
      <rPr>
        <b/>
        <sz val="10"/>
        <color indexed="10"/>
        <rFont val="Arial Narrow"/>
        <family val="2"/>
      </rPr>
      <t>A1-14-3</t>
    </r>
    <phoneticPr fontId="3" type="noConversion"/>
  </si>
  <si>
    <r>
      <rPr>
        <b/>
        <sz val="10"/>
        <color indexed="10"/>
        <rFont val="宋体"/>
        <family val="3"/>
        <charset val="134"/>
      </rPr>
      <t>索引：</t>
    </r>
    <r>
      <rPr>
        <b/>
        <sz val="10"/>
        <color indexed="10"/>
        <rFont val="Arial Narrow"/>
        <family val="2"/>
      </rPr>
      <t>A1-14-4</t>
    </r>
    <phoneticPr fontId="3" type="noConversion"/>
  </si>
  <si>
    <r>
      <rPr>
        <b/>
        <sz val="10"/>
        <color indexed="10"/>
        <rFont val="宋体"/>
        <family val="3"/>
        <charset val="134"/>
      </rPr>
      <t>索引：</t>
    </r>
    <r>
      <rPr>
        <b/>
        <sz val="10"/>
        <color indexed="10"/>
        <rFont val="Arial Narrow"/>
        <family val="2"/>
      </rPr>
      <t>A1-14-5</t>
    </r>
    <phoneticPr fontId="3" type="noConversion"/>
  </si>
  <si>
    <r>
      <t>索引：</t>
    </r>
    <r>
      <rPr>
        <b/>
        <sz val="10"/>
        <color indexed="10"/>
        <rFont val="Arial Narrow"/>
        <family val="2"/>
      </rPr>
      <t xml:space="preserve"> A1-13-1 </t>
    </r>
    <r>
      <rPr>
        <b/>
        <u/>
        <sz val="10"/>
        <color indexed="10"/>
        <rFont val="Arial Narrow"/>
        <family val="2"/>
      </rPr>
      <t xml:space="preserve">           </t>
    </r>
    <phoneticPr fontId="3" type="noConversion"/>
  </si>
  <si>
    <r>
      <t>索引：</t>
    </r>
    <r>
      <rPr>
        <b/>
        <sz val="10"/>
        <color indexed="10"/>
        <rFont val="Arial Narrow"/>
        <family val="2"/>
      </rPr>
      <t xml:space="preserve"> A1-13-2 </t>
    </r>
    <r>
      <rPr>
        <b/>
        <u/>
        <sz val="10"/>
        <color indexed="10"/>
        <rFont val="Arial Narrow"/>
        <family val="2"/>
      </rPr>
      <t xml:space="preserve">           </t>
    </r>
    <phoneticPr fontId="3" type="noConversion"/>
  </si>
  <si>
    <r>
      <t>索引：</t>
    </r>
    <r>
      <rPr>
        <b/>
        <sz val="10"/>
        <color indexed="10"/>
        <rFont val="Arial Narrow"/>
        <family val="2"/>
      </rPr>
      <t xml:space="preserve"> A1-13-3 </t>
    </r>
    <r>
      <rPr>
        <b/>
        <u/>
        <sz val="10"/>
        <color indexed="10"/>
        <rFont val="Arial Narrow"/>
        <family val="2"/>
      </rPr>
      <t xml:space="preserve">           </t>
    </r>
    <phoneticPr fontId="3" type="noConversion"/>
  </si>
  <si>
    <r>
      <t>索引：</t>
    </r>
    <r>
      <rPr>
        <b/>
        <sz val="10"/>
        <color indexed="10"/>
        <rFont val="Arial Narrow"/>
        <family val="2"/>
      </rPr>
      <t xml:space="preserve"> A1-13-4</t>
    </r>
    <r>
      <rPr>
        <b/>
        <u/>
        <sz val="10"/>
        <color indexed="10"/>
        <rFont val="Arial Narrow"/>
        <family val="2"/>
      </rPr>
      <t xml:space="preserve">           </t>
    </r>
    <phoneticPr fontId="3" type="noConversion"/>
  </si>
  <si>
    <r>
      <t>索引：</t>
    </r>
    <r>
      <rPr>
        <b/>
        <sz val="10"/>
        <color indexed="10"/>
        <rFont val="Arial Narrow"/>
        <family val="2"/>
      </rPr>
      <t xml:space="preserve"> A1-13-5</t>
    </r>
    <r>
      <rPr>
        <b/>
        <u/>
        <sz val="10"/>
        <color indexed="10"/>
        <rFont val="Arial Narrow"/>
        <family val="2"/>
      </rPr>
      <t xml:space="preserve">       </t>
    </r>
    <phoneticPr fontId="3" type="noConversion"/>
  </si>
  <si>
    <t>持有待售负债</t>
    <phoneticPr fontId="3" type="noConversion"/>
  </si>
  <si>
    <t>持有待售资产</t>
    <phoneticPr fontId="3" type="noConversion"/>
  </si>
  <si>
    <t xml:space="preserve"> （一）按经营持续性分类</t>
  </si>
  <si>
    <t xml:space="preserve"> （二）按所有权归属分类</t>
  </si>
  <si>
    <t>G8</t>
  </si>
  <si>
    <t>G9</t>
  </si>
  <si>
    <t>G12</t>
  </si>
  <si>
    <t>G14</t>
  </si>
  <si>
    <t>G15</t>
    <phoneticPr fontId="3" type="noConversion"/>
  </si>
  <si>
    <t>G36</t>
  </si>
  <si>
    <t>G37</t>
  </si>
  <si>
    <r>
      <t>1</t>
    </r>
    <r>
      <rPr>
        <sz val="10"/>
        <rFont val="宋体"/>
        <family val="3"/>
        <charset val="134"/>
      </rPr>
      <t>、将净利润调节为经营活动现金流量：</t>
    </r>
    <phoneticPr fontId="3" type="noConversion"/>
  </si>
  <si>
    <t>利润及利润分配表</t>
    <phoneticPr fontId="3" type="noConversion"/>
  </si>
  <si>
    <t>预收款项</t>
    <phoneticPr fontId="3" type="noConversion"/>
  </si>
  <si>
    <t xml:space="preserve">        其中：主营业务成本</t>
    <phoneticPr fontId="3" type="noConversion"/>
  </si>
  <si>
    <r>
      <t xml:space="preserve">        </t>
    </r>
    <r>
      <rPr>
        <sz val="10"/>
        <rFont val="宋体"/>
        <family val="3"/>
        <charset val="134"/>
      </rPr>
      <t>税金及附加</t>
    </r>
    <phoneticPr fontId="3" type="noConversion"/>
  </si>
  <si>
    <r>
      <t xml:space="preserve">              </t>
    </r>
    <r>
      <rPr>
        <sz val="10"/>
        <rFont val="宋体"/>
        <family val="3"/>
        <charset val="134"/>
      </rPr>
      <t>其他业务成本</t>
    </r>
    <phoneticPr fontId="3" type="noConversion"/>
  </si>
  <si>
    <t xml:space="preserve">        研发费用</t>
    <phoneticPr fontId="3" type="noConversion"/>
  </si>
  <si>
    <t xml:space="preserve">        其中：利息费用</t>
    <phoneticPr fontId="3" type="noConversion"/>
  </si>
  <si>
    <t xml:space="preserve">    加：其他收益</t>
    <phoneticPr fontId="3" type="noConversion"/>
  </si>
  <si>
    <r>
      <t xml:space="preserve">        </t>
    </r>
    <r>
      <rPr>
        <sz val="10"/>
        <rFont val="宋体"/>
        <family val="3"/>
        <charset val="134"/>
      </rPr>
      <t>投资收益（损失以</t>
    </r>
    <r>
      <rPr>
        <sz val="10"/>
        <rFont val="Times New Roman"/>
        <family val="1"/>
      </rPr>
      <t>“</t>
    </r>
    <r>
      <rPr>
        <sz val="10"/>
        <rFont val="宋体"/>
        <family val="3"/>
        <charset val="134"/>
      </rPr>
      <t>－</t>
    </r>
    <r>
      <rPr>
        <sz val="10"/>
        <rFont val="Times New Roman"/>
        <family val="1"/>
      </rPr>
      <t>”</t>
    </r>
    <r>
      <rPr>
        <sz val="10"/>
        <rFont val="宋体"/>
        <family val="3"/>
        <charset val="134"/>
      </rPr>
      <t>号填列）</t>
    </r>
    <phoneticPr fontId="3" type="noConversion"/>
  </si>
  <si>
    <r>
      <t xml:space="preserve">        </t>
    </r>
    <r>
      <rPr>
        <sz val="10"/>
        <rFont val="宋体"/>
        <family val="3"/>
        <charset val="134"/>
      </rPr>
      <t>其中：对联营企业和合营企业的投资收益</t>
    </r>
    <phoneticPr fontId="3" type="noConversion"/>
  </si>
  <si>
    <r>
      <t xml:space="preserve">    </t>
    </r>
    <r>
      <rPr>
        <sz val="10"/>
        <rFont val="宋体"/>
        <family val="3"/>
        <charset val="134"/>
      </rPr>
      <t>减：营业外支出</t>
    </r>
    <phoneticPr fontId="3" type="noConversion"/>
  </si>
  <si>
    <r>
      <t xml:space="preserve">    </t>
    </r>
    <r>
      <rPr>
        <sz val="10"/>
        <rFont val="宋体"/>
        <family val="3"/>
        <charset val="134"/>
      </rPr>
      <t>减：所得税费用</t>
    </r>
    <phoneticPr fontId="3" type="noConversion"/>
  </si>
  <si>
    <r>
      <t>1.</t>
    </r>
    <r>
      <rPr>
        <sz val="10"/>
        <rFont val="宋体"/>
        <family val="3"/>
        <charset val="134"/>
      </rPr>
      <t>重新计量设定受益计划变动额</t>
    </r>
    <phoneticPr fontId="3" type="noConversion"/>
  </si>
  <si>
    <r>
      <t>2.</t>
    </r>
    <r>
      <rPr>
        <sz val="10"/>
        <rFont val="宋体"/>
        <family val="3"/>
        <charset val="134"/>
      </rPr>
      <t>权益法下不能转损益的其他综合收益</t>
    </r>
    <phoneticPr fontId="3" type="noConversion"/>
  </si>
  <si>
    <r>
      <t xml:space="preserve">  </t>
    </r>
    <r>
      <rPr>
        <sz val="10"/>
        <rFont val="宋体"/>
        <family val="3"/>
        <charset val="134"/>
      </rPr>
      <t>（一）不能重分类进损益的其他综合收益</t>
    </r>
    <phoneticPr fontId="133" type="noConversion"/>
  </si>
  <si>
    <r>
      <t xml:space="preserve">  </t>
    </r>
    <r>
      <rPr>
        <sz val="10"/>
        <rFont val="宋体"/>
        <family val="3"/>
        <charset val="134"/>
      </rPr>
      <t>（二）将重分类进损益的其他综合收益</t>
    </r>
    <phoneticPr fontId="133" type="noConversion"/>
  </si>
  <si>
    <r>
      <t>1.</t>
    </r>
    <r>
      <rPr>
        <sz val="10"/>
        <rFont val="宋体"/>
        <family val="3"/>
        <charset val="134"/>
      </rPr>
      <t>权益法下可转损益的其他综合收益</t>
    </r>
    <phoneticPr fontId="3" type="noConversion"/>
  </si>
  <si>
    <t>归属于少数股东的其他综合收益的税后净额</t>
    <phoneticPr fontId="133" type="noConversion"/>
  </si>
  <si>
    <t xml:space="preserve">     取得子公司及其他营业单位支付的现金净额</t>
    <phoneticPr fontId="3" type="noConversion"/>
  </si>
  <si>
    <r>
      <t xml:space="preserve">     </t>
    </r>
    <r>
      <rPr>
        <sz val="10"/>
        <rFont val="宋体"/>
        <family val="3"/>
        <charset val="134"/>
      </rPr>
      <t>收回投资所收到的现金</t>
    </r>
    <phoneticPr fontId="3" type="noConversion"/>
  </si>
  <si>
    <t>上年利润及利润分配表（审定数）</t>
    <phoneticPr fontId="13" type="noConversion"/>
  </si>
  <si>
    <t>交易性金融资产</t>
    <phoneticPr fontId="3" type="noConversion"/>
  </si>
  <si>
    <t>合同资产</t>
    <phoneticPr fontId="3" type="noConversion"/>
  </si>
  <si>
    <t>债权投资</t>
  </si>
  <si>
    <t>其他债权投资</t>
  </si>
  <si>
    <t>其他权益工具投资</t>
  </si>
  <si>
    <t>其他非流动金融资产</t>
  </si>
  <si>
    <t>合同负债</t>
  </si>
  <si>
    <t>非流动资产合计</t>
    <phoneticPr fontId="3" type="noConversion"/>
  </si>
  <si>
    <t xml:space="preserve">        净敞口套期收益（损失以“-”号填列）</t>
    <phoneticPr fontId="3" type="noConversion"/>
  </si>
  <si>
    <r>
      <t>3.</t>
    </r>
    <r>
      <rPr>
        <sz val="10"/>
        <rFont val="宋体"/>
        <family val="3"/>
        <charset val="134"/>
      </rPr>
      <t>其他权益工具投资公允价值变动</t>
    </r>
    <r>
      <rPr>
        <sz val="10"/>
        <rFont val="Times New Roman"/>
        <family val="1"/>
      </rPr>
      <t xml:space="preserve"> </t>
    </r>
    <phoneticPr fontId="3" type="noConversion"/>
  </si>
  <si>
    <r>
      <t>5.</t>
    </r>
    <r>
      <rPr>
        <sz val="10"/>
        <rFont val="宋体"/>
        <family val="3"/>
        <charset val="134"/>
      </rPr>
      <t>其他</t>
    </r>
    <phoneticPr fontId="3" type="noConversion"/>
  </si>
  <si>
    <r>
      <t>2.</t>
    </r>
    <r>
      <rPr>
        <sz val="10"/>
        <rFont val="宋体"/>
        <family val="3"/>
        <charset val="134"/>
      </rPr>
      <t>其他债权投资公允价值变动</t>
    </r>
    <r>
      <rPr>
        <sz val="10"/>
        <rFont val="Times New Roman"/>
        <family val="1"/>
      </rPr>
      <t xml:space="preserve"> </t>
    </r>
    <phoneticPr fontId="3" type="noConversion"/>
  </si>
  <si>
    <t xml:space="preserve">        公允价值变动收益（损失以“－”号填列）</t>
    <phoneticPr fontId="3" type="noConversion"/>
  </si>
  <si>
    <r>
      <t xml:space="preserve">        </t>
    </r>
    <r>
      <rPr>
        <sz val="10"/>
        <rFont val="宋体"/>
        <family val="3"/>
        <charset val="134"/>
      </rPr>
      <t>资产处置收益</t>
    </r>
    <r>
      <rPr>
        <sz val="10"/>
        <rFont val="Times New Roman"/>
        <family val="1"/>
      </rPr>
      <t>(</t>
    </r>
    <r>
      <rPr>
        <sz val="10"/>
        <rFont val="宋体"/>
        <family val="3"/>
        <charset val="134"/>
      </rPr>
      <t>损失以</t>
    </r>
    <r>
      <rPr>
        <sz val="10"/>
        <rFont val="Times New Roman"/>
        <family val="1"/>
      </rPr>
      <t>“-”</t>
    </r>
    <r>
      <rPr>
        <sz val="10"/>
        <rFont val="宋体"/>
        <family val="3"/>
        <charset val="134"/>
      </rPr>
      <t>号填列）</t>
    </r>
    <phoneticPr fontId="3" type="noConversion"/>
  </si>
  <si>
    <t>D5</t>
  </si>
  <si>
    <t>D7</t>
  </si>
  <si>
    <t>D2</t>
  </si>
  <si>
    <t>D14</t>
  </si>
  <si>
    <t>D15</t>
  </si>
  <si>
    <t>D22</t>
  </si>
  <si>
    <t>D23</t>
  </si>
  <si>
    <t>E2</t>
  </si>
  <si>
    <t>E5</t>
  </si>
  <si>
    <t>E9</t>
  </si>
  <si>
    <t>E10</t>
  </si>
  <si>
    <t>E13</t>
    <phoneticPr fontId="3" type="noConversion"/>
  </si>
  <si>
    <t>E18</t>
  </si>
  <si>
    <t>E19</t>
  </si>
  <si>
    <t>F4</t>
  </si>
  <si>
    <t>G4</t>
  </si>
  <si>
    <t>G5</t>
  </si>
  <si>
    <t>G6</t>
  </si>
  <si>
    <t>G7</t>
  </si>
  <si>
    <t>G11</t>
  </si>
  <si>
    <t>G13</t>
  </si>
  <si>
    <t>G16</t>
  </si>
  <si>
    <t>G17</t>
    <phoneticPr fontId="3" type="noConversion"/>
  </si>
  <si>
    <t>G25</t>
  </si>
  <si>
    <t>G29</t>
  </si>
  <si>
    <t>G39</t>
  </si>
  <si>
    <t>利润及利润分配表期初核对－母公司</t>
    <phoneticPr fontId="3" type="noConversion"/>
  </si>
  <si>
    <t>2018年度</t>
    <phoneticPr fontId="3" type="noConversion"/>
  </si>
  <si>
    <t>2019年度</t>
    <phoneticPr fontId="3" type="noConversion"/>
  </si>
  <si>
    <t>应收票据</t>
    <phoneticPr fontId="3" type="noConversion"/>
  </si>
  <si>
    <t>应收账款</t>
    <phoneticPr fontId="3" type="noConversion"/>
  </si>
  <si>
    <t>以公允价值计量且其变动计入当期损益的金融资产</t>
    <phoneticPr fontId="3" type="noConversion"/>
  </si>
  <si>
    <t>应收款项融资</t>
  </si>
  <si>
    <t>预付款项</t>
    <phoneticPr fontId="3" type="noConversion"/>
  </si>
  <si>
    <t>可供出售金融资产</t>
    <phoneticPr fontId="3" type="noConversion"/>
  </si>
  <si>
    <t>持有至到期投资</t>
    <phoneticPr fontId="3" type="noConversion"/>
  </si>
  <si>
    <t>以公允价值计量且其变动计入当期损益的金融负债</t>
    <phoneticPr fontId="3" type="noConversion"/>
  </si>
  <si>
    <t>交易性金融负债</t>
    <phoneticPr fontId="3" type="noConversion"/>
  </si>
  <si>
    <t>应付票据</t>
    <phoneticPr fontId="3" type="noConversion"/>
  </si>
  <si>
    <t>应付账款</t>
    <phoneticPr fontId="3" type="noConversion"/>
  </si>
  <si>
    <t>使用权资产</t>
    <phoneticPr fontId="3" type="noConversion"/>
  </si>
  <si>
    <t>租赁负债</t>
    <phoneticPr fontId="3" type="noConversion"/>
  </si>
  <si>
    <r>
      <t xml:space="preserve">                 </t>
    </r>
    <r>
      <rPr>
        <sz val="10"/>
        <rFont val="宋体"/>
        <family val="3"/>
        <charset val="134"/>
      </rPr>
      <t>终止经营净利润（净亏损以</t>
    </r>
    <r>
      <rPr>
        <sz val="10"/>
        <rFont val="Times New Roman"/>
        <family val="1"/>
      </rPr>
      <t>“-”</t>
    </r>
    <r>
      <rPr>
        <sz val="10"/>
        <rFont val="宋体"/>
        <family val="3"/>
        <charset val="134"/>
      </rPr>
      <t>号填列）</t>
    </r>
    <phoneticPr fontId="3" type="noConversion"/>
  </si>
  <si>
    <r>
      <t xml:space="preserve">     </t>
    </r>
    <r>
      <rPr>
        <sz val="10"/>
        <rFont val="宋体"/>
        <family val="3"/>
        <charset val="134"/>
      </rPr>
      <t>其中：持续经营净利润（净亏损以</t>
    </r>
    <r>
      <rPr>
        <sz val="10"/>
        <rFont val="Times New Roman"/>
        <family val="1"/>
      </rPr>
      <t>“-”</t>
    </r>
    <r>
      <rPr>
        <sz val="10"/>
        <rFont val="宋体"/>
        <family val="3"/>
        <charset val="134"/>
      </rPr>
      <t>号填列）</t>
    </r>
    <phoneticPr fontId="3" type="noConversion"/>
  </si>
  <si>
    <r>
      <t xml:space="preserve">     </t>
    </r>
    <r>
      <rPr>
        <sz val="10"/>
        <rFont val="宋体"/>
        <family val="3"/>
        <charset val="134"/>
      </rPr>
      <t>其中：归属于母公司股东的净利润（净亏损以“</t>
    </r>
    <r>
      <rPr>
        <sz val="10"/>
        <rFont val="Times New Roman"/>
        <family val="1"/>
      </rPr>
      <t>-</t>
    </r>
    <r>
      <rPr>
        <sz val="10"/>
        <rFont val="宋体"/>
        <family val="3"/>
        <charset val="134"/>
      </rPr>
      <t>”号填列）</t>
    </r>
    <phoneticPr fontId="3" type="noConversion"/>
  </si>
  <si>
    <r>
      <t xml:space="preserve">                </t>
    </r>
    <r>
      <rPr>
        <sz val="10"/>
        <rFont val="宋体"/>
        <family val="3"/>
        <charset val="134"/>
      </rPr>
      <t>少数股东损益（净亏损以“</t>
    </r>
    <r>
      <rPr>
        <sz val="10"/>
        <rFont val="Times New Roman"/>
        <family val="1"/>
      </rPr>
      <t>-</t>
    </r>
    <r>
      <rPr>
        <sz val="10"/>
        <rFont val="宋体"/>
        <family val="3"/>
        <charset val="134"/>
      </rPr>
      <t>”号填列）</t>
    </r>
    <phoneticPr fontId="3" type="noConversion"/>
  </si>
  <si>
    <t xml:space="preserve">              以摊余成本计量的金融资产终止确认收益（损失以“-”号填列）</t>
    <phoneticPr fontId="3" type="noConversion"/>
  </si>
  <si>
    <r>
      <t>5.</t>
    </r>
    <r>
      <rPr>
        <sz val="10"/>
        <rFont val="宋体"/>
        <family val="3"/>
        <charset val="134"/>
      </rPr>
      <t>持有至到期投资重分类为可供出售金融资产损益</t>
    </r>
    <phoneticPr fontId="3" type="noConversion"/>
  </si>
  <si>
    <t>归属于母公司股东权益合计</t>
    <phoneticPr fontId="3" type="noConversion"/>
  </si>
  <si>
    <t>少数股东权益</t>
    <phoneticPr fontId="3" type="noConversion"/>
  </si>
  <si>
    <t xml:space="preserve">  其中：应付利息</t>
    <phoneticPr fontId="3" type="noConversion"/>
  </si>
  <si>
    <t xml:space="preserve">        应付股利</t>
    <phoneticPr fontId="3" type="noConversion"/>
  </si>
  <si>
    <t xml:space="preserve">  其中：应收利息</t>
    <phoneticPr fontId="3" type="noConversion"/>
  </si>
  <si>
    <t>D8</t>
  </si>
  <si>
    <t>D12</t>
  </si>
  <si>
    <t>D17</t>
    <phoneticPr fontId="3" type="noConversion"/>
  </si>
  <si>
    <t>D30</t>
  </si>
  <si>
    <t>D31</t>
  </si>
  <si>
    <t>D32</t>
  </si>
  <si>
    <t>D33</t>
  </si>
  <si>
    <t>D34</t>
  </si>
  <si>
    <t>D35</t>
  </si>
  <si>
    <t>D36</t>
  </si>
  <si>
    <t>D37</t>
  </si>
  <si>
    <t>D38</t>
  </si>
  <si>
    <t>D39</t>
  </si>
  <si>
    <t>D40</t>
  </si>
  <si>
    <t>E17</t>
    <phoneticPr fontId="3" type="noConversion"/>
  </si>
  <si>
    <t>E21</t>
  </si>
  <si>
    <t>E22</t>
  </si>
  <si>
    <t>E23</t>
  </si>
  <si>
    <t>F1</t>
    <phoneticPr fontId="3" type="noConversion"/>
  </si>
  <si>
    <t>F2</t>
  </si>
  <si>
    <t>F3</t>
    <phoneticPr fontId="3" type="noConversion"/>
  </si>
  <si>
    <t>减：库存股</t>
    <phoneticPr fontId="3" type="noConversion"/>
  </si>
  <si>
    <t>G10</t>
    <phoneticPr fontId="3" type="noConversion"/>
  </si>
  <si>
    <r>
      <t>4.</t>
    </r>
    <r>
      <rPr>
        <sz val="10"/>
        <rFont val="宋体"/>
        <family val="3"/>
        <charset val="134"/>
      </rPr>
      <t>企业自身信用风险公允价值变动</t>
    </r>
    <r>
      <rPr>
        <sz val="10"/>
        <rFont val="Times New Roman"/>
        <family val="1"/>
      </rPr>
      <t xml:space="preserve"> </t>
    </r>
    <phoneticPr fontId="3" type="noConversion"/>
  </si>
  <si>
    <r>
      <t>3.</t>
    </r>
    <r>
      <rPr>
        <sz val="10"/>
        <rFont val="宋体"/>
        <family val="3"/>
        <charset val="134"/>
      </rPr>
      <t>可供出售金融资产公允价值变动损益</t>
    </r>
    <phoneticPr fontId="3" type="noConversion"/>
  </si>
  <si>
    <r>
      <t>4.</t>
    </r>
    <r>
      <rPr>
        <sz val="10"/>
        <rFont val="宋体"/>
        <family val="3"/>
        <charset val="134"/>
      </rPr>
      <t>金融资产重分类计入其他综合收益的金额</t>
    </r>
    <r>
      <rPr>
        <sz val="10"/>
        <rFont val="Times New Roman"/>
        <family val="1"/>
      </rPr>
      <t xml:space="preserve"> </t>
    </r>
    <phoneticPr fontId="3" type="noConversion"/>
  </si>
  <si>
    <r>
      <t>6.</t>
    </r>
    <r>
      <rPr>
        <sz val="10"/>
        <rFont val="宋体"/>
        <family val="3"/>
        <charset val="134"/>
      </rPr>
      <t>其他债权投资信用减值准备</t>
    </r>
    <phoneticPr fontId="3" type="noConversion"/>
  </si>
  <si>
    <r>
      <t>7.</t>
    </r>
    <r>
      <rPr>
        <sz val="10"/>
        <rFont val="宋体"/>
        <family val="3"/>
        <charset val="134"/>
      </rPr>
      <t>现金流量套期储备</t>
    </r>
    <phoneticPr fontId="3" type="noConversion"/>
  </si>
  <si>
    <r>
      <t>8.</t>
    </r>
    <r>
      <rPr>
        <sz val="10"/>
        <rFont val="宋体"/>
        <family val="3"/>
        <charset val="134"/>
      </rPr>
      <t>外币财务报表折算差额</t>
    </r>
    <phoneticPr fontId="3" type="noConversion"/>
  </si>
  <si>
    <r>
      <t>10.</t>
    </r>
    <r>
      <rPr>
        <sz val="10"/>
        <rFont val="宋体"/>
        <family val="3"/>
        <charset val="134"/>
      </rPr>
      <t>多次交易分步处置子公司股权构成一揽子交易的，丧失控制权之前各次交易处置价款与对应净资产账面价值份额的差额</t>
    </r>
    <phoneticPr fontId="3" type="noConversion"/>
  </si>
  <si>
    <r>
      <t>9.</t>
    </r>
    <r>
      <rPr>
        <sz val="10"/>
        <rFont val="宋体"/>
        <family val="3"/>
        <charset val="134"/>
      </rPr>
      <t>自用房地产或作为存货的房地产转换为以公允价值计量的投资性房地产在转换日公允价值大于账面价值部分</t>
    </r>
    <phoneticPr fontId="3" type="noConversion"/>
  </si>
  <si>
    <r>
      <t>11.</t>
    </r>
    <r>
      <rPr>
        <sz val="10"/>
        <rFont val="宋体"/>
        <family val="3"/>
        <charset val="134"/>
      </rPr>
      <t>其他</t>
    </r>
    <phoneticPr fontId="3" type="noConversion"/>
  </si>
  <si>
    <t xml:space="preserve">   （二）稀释每股收益</t>
  </si>
  <si>
    <r>
      <t xml:space="preserve">   </t>
    </r>
    <r>
      <rPr>
        <sz val="10"/>
        <rFont val="宋体"/>
        <family val="3"/>
        <charset val="134"/>
      </rPr>
      <t>（一）基本每股收益</t>
    </r>
    <phoneticPr fontId="3" type="noConversion"/>
  </si>
  <si>
    <r>
      <t xml:space="preserve">   </t>
    </r>
    <r>
      <rPr>
        <sz val="10"/>
        <rFont val="宋体"/>
        <family val="3"/>
        <charset val="134"/>
      </rPr>
      <t>（一）年初未分配利润</t>
    </r>
    <phoneticPr fontId="3" type="noConversion"/>
  </si>
  <si>
    <r>
      <t xml:space="preserve">   </t>
    </r>
    <r>
      <rPr>
        <sz val="10"/>
        <rFont val="宋体"/>
        <family val="3"/>
        <charset val="134"/>
      </rPr>
      <t>（二）可供分配的利润</t>
    </r>
    <phoneticPr fontId="3" type="noConversion"/>
  </si>
  <si>
    <r>
      <t xml:space="preserve">   </t>
    </r>
    <r>
      <rPr>
        <sz val="10"/>
        <rFont val="宋体"/>
        <family val="3"/>
        <charset val="134"/>
      </rPr>
      <t>（三）可供投资者分配的利润</t>
    </r>
    <phoneticPr fontId="3" type="noConversion"/>
  </si>
  <si>
    <t xml:space="preserve">        应收股利</t>
    <phoneticPr fontId="3" type="noConversion"/>
  </si>
  <si>
    <t>F9</t>
    <phoneticPr fontId="3" type="noConversion"/>
  </si>
  <si>
    <t>D11</t>
  </si>
  <si>
    <t xml:space="preserve">    1、提取法定盈余公积</t>
    <phoneticPr fontId="3" type="noConversion"/>
  </si>
  <si>
    <t xml:space="preserve">    2、其他</t>
    <phoneticPr fontId="3" type="noConversion"/>
  </si>
  <si>
    <t xml:space="preserve">    1、应付优先股股利</t>
    <phoneticPr fontId="3" type="noConversion"/>
  </si>
  <si>
    <t xml:space="preserve">    2、提取任意盈余公积</t>
    <phoneticPr fontId="3" type="noConversion"/>
  </si>
  <si>
    <t xml:space="preserve">    3、应付普通股股利（应付利润）</t>
    <phoneticPr fontId="3" type="noConversion"/>
  </si>
  <si>
    <t xml:space="preserve">    4、转作资本（或股本）的普通股股利</t>
    <phoneticPr fontId="3" type="noConversion"/>
  </si>
  <si>
    <t xml:space="preserve">    5、其他</t>
    <phoneticPr fontId="3" type="noConversion"/>
  </si>
  <si>
    <t>G18</t>
  </si>
  <si>
    <t>G22</t>
  </si>
  <si>
    <t>G23</t>
  </si>
  <si>
    <t>G28</t>
  </si>
  <si>
    <t>G42</t>
  </si>
  <si>
    <t>G44</t>
  </si>
  <si>
    <t>G45</t>
  </si>
  <si>
    <t>G19</t>
    <phoneticPr fontId="3" type="noConversion"/>
  </si>
  <si>
    <t>G21</t>
    <phoneticPr fontId="3" type="noConversion"/>
  </si>
  <si>
    <t>G26</t>
    <phoneticPr fontId="3" type="noConversion"/>
  </si>
  <si>
    <t>G38</t>
    <phoneticPr fontId="3" type="noConversion"/>
  </si>
  <si>
    <t>G40</t>
    <phoneticPr fontId="3" type="noConversion"/>
  </si>
  <si>
    <t>G41</t>
    <phoneticPr fontId="3" type="noConversion"/>
  </si>
  <si>
    <t>G43</t>
    <phoneticPr fontId="3" type="noConversion"/>
  </si>
  <si>
    <t>结算备付金</t>
    <phoneticPr fontId="3" type="noConversion"/>
  </si>
  <si>
    <t>拆出资金</t>
    <phoneticPr fontId="3" type="noConversion"/>
  </si>
  <si>
    <t>应收保费</t>
    <phoneticPr fontId="3" type="noConversion"/>
  </si>
  <si>
    <t>应收分保账款</t>
    <phoneticPr fontId="3" type="noConversion"/>
  </si>
  <si>
    <t>应收分保准备金</t>
    <phoneticPr fontId="3" type="noConversion"/>
  </si>
  <si>
    <t>买入返售金融资产</t>
    <phoneticPr fontId="3" type="noConversion"/>
  </si>
  <si>
    <t>向中央银行借款</t>
  </si>
  <si>
    <t xml:space="preserve">              利息收入</t>
  </si>
  <si>
    <t>吸收存款及同业存放</t>
  </si>
  <si>
    <t xml:space="preserve">              已赚保费</t>
  </si>
  <si>
    <t>拆入资金</t>
  </si>
  <si>
    <t xml:space="preserve">              手续费及佣金收入</t>
  </si>
  <si>
    <t xml:space="preserve">              利息支出</t>
  </si>
  <si>
    <t xml:space="preserve">              手续费及佣金支出</t>
  </si>
  <si>
    <t xml:space="preserve">              退保金</t>
  </si>
  <si>
    <t>卖出回购金融资产款</t>
  </si>
  <si>
    <t xml:space="preserve">              赔付支出净额</t>
  </si>
  <si>
    <t>应付手续费及佣金</t>
  </si>
  <si>
    <t xml:space="preserve">              提取保险合同准备金净额</t>
  </si>
  <si>
    <t xml:space="preserve">              保单红利支出</t>
  </si>
  <si>
    <t xml:space="preserve">              分保费用</t>
  </si>
  <si>
    <t>应付分保账款</t>
  </si>
  <si>
    <t>保险合同准备金</t>
  </si>
  <si>
    <t>代理买卖证券款</t>
  </si>
  <si>
    <t>代理承销证券款</t>
  </si>
  <si>
    <t>发放贷款及垫款</t>
  </si>
  <si>
    <t>一般风险准备</t>
  </si>
  <si>
    <t>D41</t>
    <phoneticPr fontId="3" type="noConversion"/>
  </si>
  <si>
    <t>D42</t>
  </si>
  <si>
    <t>D43</t>
    <phoneticPr fontId="3" type="noConversion"/>
  </si>
  <si>
    <t>D44</t>
  </si>
  <si>
    <t>D45</t>
  </si>
  <si>
    <t>D46</t>
    <phoneticPr fontId="3" type="noConversion"/>
  </si>
  <si>
    <t>D47</t>
    <phoneticPr fontId="3" type="noConversion"/>
  </si>
  <si>
    <t>E24</t>
    <phoneticPr fontId="3" type="noConversion"/>
  </si>
  <si>
    <t>E25</t>
  </si>
  <si>
    <t>E26</t>
  </si>
  <si>
    <t>E27</t>
    <phoneticPr fontId="3" type="noConversion"/>
  </si>
  <si>
    <t>E28</t>
  </si>
  <si>
    <t>E29</t>
    <phoneticPr fontId="3" type="noConversion"/>
  </si>
  <si>
    <t>E30</t>
  </si>
  <si>
    <t>E31</t>
  </si>
  <si>
    <t>E32</t>
  </si>
  <si>
    <t>F10</t>
    <phoneticPr fontId="3" type="noConversion"/>
  </si>
  <si>
    <r>
      <t xml:space="preserve">     </t>
    </r>
    <r>
      <rPr>
        <sz val="10"/>
        <rFont val="宋体"/>
        <family val="3"/>
        <charset val="134"/>
      </rPr>
      <t>销售商品、提供劳务收到的现金</t>
    </r>
    <phoneticPr fontId="3" type="noConversion"/>
  </si>
  <si>
    <r>
      <t xml:space="preserve">     </t>
    </r>
    <r>
      <rPr>
        <sz val="10"/>
        <rFont val="宋体"/>
        <family val="3"/>
        <charset val="134"/>
      </rPr>
      <t>向中央银行借款净增加额</t>
    </r>
    <phoneticPr fontId="3" type="noConversion"/>
  </si>
  <si>
    <r>
      <t xml:space="preserve">     </t>
    </r>
    <r>
      <rPr>
        <sz val="10"/>
        <rFont val="宋体"/>
        <family val="3"/>
        <charset val="134"/>
      </rPr>
      <t>客户存款和同业存放款项净增加额</t>
    </r>
    <phoneticPr fontId="3" type="noConversion"/>
  </si>
  <si>
    <r>
      <t xml:space="preserve">     </t>
    </r>
    <r>
      <rPr>
        <sz val="10"/>
        <rFont val="宋体"/>
        <family val="3"/>
        <charset val="134"/>
      </rPr>
      <t>向其他金融机构拆入资金净增加额</t>
    </r>
    <phoneticPr fontId="3" type="noConversion"/>
  </si>
  <si>
    <r>
      <t xml:space="preserve">     </t>
    </r>
    <r>
      <rPr>
        <sz val="10"/>
        <rFont val="宋体"/>
        <family val="3"/>
        <charset val="134"/>
      </rPr>
      <t>收到原保险合同保费取得的现金</t>
    </r>
    <phoneticPr fontId="3" type="noConversion"/>
  </si>
  <si>
    <r>
      <t xml:space="preserve">     </t>
    </r>
    <r>
      <rPr>
        <sz val="10"/>
        <rFont val="宋体"/>
        <family val="3"/>
        <charset val="134"/>
      </rPr>
      <t>收到再保险业务现金净额</t>
    </r>
    <phoneticPr fontId="3" type="noConversion"/>
  </si>
  <si>
    <r>
      <t xml:space="preserve">     </t>
    </r>
    <r>
      <rPr>
        <sz val="10"/>
        <rFont val="宋体"/>
        <family val="3"/>
        <charset val="134"/>
      </rPr>
      <t>保户储金及投资款净增加额</t>
    </r>
    <phoneticPr fontId="3" type="noConversion"/>
  </si>
  <si>
    <r>
      <t xml:space="preserve">     </t>
    </r>
    <r>
      <rPr>
        <sz val="10"/>
        <rFont val="宋体"/>
        <family val="3"/>
        <charset val="134"/>
      </rPr>
      <t>客户贷款及垫款净增加额</t>
    </r>
    <phoneticPr fontId="3" type="noConversion"/>
  </si>
  <si>
    <r>
      <t xml:space="preserve">     </t>
    </r>
    <r>
      <rPr>
        <sz val="10"/>
        <rFont val="宋体"/>
        <family val="3"/>
        <charset val="134"/>
      </rPr>
      <t>存放中央银行和同业款项净增加额</t>
    </r>
    <phoneticPr fontId="3" type="noConversion"/>
  </si>
  <si>
    <r>
      <t xml:space="preserve">     </t>
    </r>
    <r>
      <rPr>
        <sz val="10"/>
        <rFont val="宋体"/>
        <family val="3"/>
        <charset val="134"/>
      </rPr>
      <t>支付原保险合同赔付款项的现金</t>
    </r>
    <phoneticPr fontId="3" type="noConversion"/>
  </si>
  <si>
    <r>
      <t xml:space="preserve">     </t>
    </r>
    <r>
      <rPr>
        <sz val="10"/>
        <rFont val="宋体"/>
        <family val="3"/>
        <charset val="134"/>
      </rPr>
      <t>支付利息、手续费及佣金的现金</t>
    </r>
    <phoneticPr fontId="3" type="noConversion"/>
  </si>
  <si>
    <r>
      <t xml:space="preserve">     </t>
    </r>
    <r>
      <rPr>
        <sz val="10"/>
        <rFont val="宋体"/>
        <family val="3"/>
        <charset val="134"/>
      </rPr>
      <t>支付保单红利的现金</t>
    </r>
    <phoneticPr fontId="3" type="noConversion"/>
  </si>
  <si>
    <r>
      <t xml:space="preserve">     </t>
    </r>
    <r>
      <rPr>
        <sz val="10"/>
        <rFont val="宋体"/>
        <family val="3"/>
        <charset val="134"/>
      </rPr>
      <t>质押贷款净增加额</t>
    </r>
    <phoneticPr fontId="3" type="noConversion"/>
  </si>
  <si>
    <t xml:space="preserve">        信用减值损失(损失以“-”号填列）</t>
    <phoneticPr fontId="3" type="noConversion"/>
  </si>
  <si>
    <t xml:space="preserve">        资产减值损失(损失以“-”号填列）</t>
    <phoneticPr fontId="3" type="noConversion"/>
  </si>
  <si>
    <r>
      <t xml:space="preserve">     </t>
    </r>
    <r>
      <rPr>
        <sz val="10"/>
        <rFont val="宋体"/>
        <family val="3"/>
        <charset val="134"/>
      </rPr>
      <t>收取利息、手续费及佣金的现金</t>
    </r>
    <phoneticPr fontId="3" type="noConversion"/>
  </si>
  <si>
    <r>
      <t xml:space="preserve">     </t>
    </r>
    <r>
      <rPr>
        <sz val="10"/>
        <rFont val="宋体"/>
        <family val="3"/>
        <charset val="134"/>
      </rPr>
      <t>拆入资金净增加额</t>
    </r>
    <phoneticPr fontId="3" type="noConversion"/>
  </si>
  <si>
    <r>
      <t xml:space="preserve">     </t>
    </r>
    <r>
      <rPr>
        <sz val="10"/>
        <rFont val="宋体"/>
        <family val="3"/>
        <charset val="134"/>
      </rPr>
      <t>回购业务资金净增加额</t>
    </r>
    <phoneticPr fontId="3" type="noConversion"/>
  </si>
  <si>
    <r>
      <t xml:space="preserve">     </t>
    </r>
    <r>
      <rPr>
        <sz val="10"/>
        <rFont val="宋体"/>
        <family val="3"/>
        <charset val="134"/>
      </rPr>
      <t>取得投资收益所收到的现金</t>
    </r>
    <phoneticPr fontId="3" type="noConversion"/>
  </si>
  <si>
    <r>
      <t xml:space="preserve">     </t>
    </r>
    <r>
      <rPr>
        <sz val="10"/>
        <rFont val="宋体"/>
        <family val="3"/>
        <charset val="134"/>
      </rPr>
      <t>其中：子公司吸收少数股东投资收到的现金</t>
    </r>
    <phoneticPr fontId="3" type="noConversion"/>
  </si>
  <si>
    <r>
      <t xml:space="preserve">      </t>
    </r>
    <r>
      <rPr>
        <sz val="10"/>
        <rFont val="宋体"/>
        <family val="3"/>
        <charset val="134"/>
      </rPr>
      <t>其中：子公司支付给少数股东的股利、利润</t>
    </r>
    <phoneticPr fontId="3" type="noConversion"/>
  </si>
  <si>
    <r>
      <t xml:space="preserve">     </t>
    </r>
    <r>
      <rPr>
        <sz val="10"/>
        <rFont val="宋体"/>
        <family val="3"/>
        <charset val="134"/>
      </rPr>
      <t>信用减值损失</t>
    </r>
    <phoneticPr fontId="3" type="noConversion"/>
  </si>
  <si>
    <t>加：资产减值损失</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</si>
</sst>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8" formatCode="&quot;¥&quot;#,##0.00;[Red]&quot;¥&quot;\-#,##0.00"/>
    <numFmt numFmtId="41" formatCode="_ * #,##0_ ;_ * \-#,##0_ ;_ * &quot;-&quot;_ ;_ @_ "/>
    <numFmt numFmtId="43" formatCode="_ * #,##0.00_ ;_ * \-#,##0.00_ ;_ * &quot;-&quot;??_ ;_ @_ "/>
    <numFmt numFmtId="176" formatCode="#,##0.00_ "/>
    <numFmt numFmtId="177" formatCode="0_ "/>
    <numFmt numFmtId="178" formatCode="#,##0.00_ ;[Red]\-#,##0.00\ "/>
    <numFmt numFmtId="179" formatCode="#,##0.0000_ "/>
    <numFmt numFmtId="180" formatCode="_(* #,##0_);_(* \(#,##0\);_(* &quot;-&quot;_);_(@_)"/>
    <numFmt numFmtId="181" formatCode="_(* #,##0.00_);_(* \(#,##0.00\);_(* &quot;-&quot;??_);_(@_)"/>
    <numFmt numFmtId="182" formatCode="&quot;$&quot;#,##0_);\(&quot;$&quot;#,##0\)"/>
    <numFmt numFmtId="183" formatCode="mmm/yyyy;_-\ &quot;N/A&quot;_-;_-\ &quot;-&quot;_-"/>
    <numFmt numFmtId="184" formatCode="mmm/dd/yyyy;_-\ &quot;N/A&quot;_-;_-\ &quot;-&quot;_-"/>
    <numFmt numFmtId="185" formatCode="_-#,##0_-;\(#,##0\);_-\ \ &quot;-&quot;_-;_-@_-"/>
    <numFmt numFmtId="186" formatCode="_-#,##0.00_-;\(#,##0.00\);_-\ \ &quot;-&quot;_-;_-@_-"/>
    <numFmt numFmtId="187" formatCode="_-#,##0%_-;\(#,##0%\);_-\ &quot;-&quot;_-"/>
    <numFmt numFmtId="188" formatCode="_-#,###,_-;\(#,###,\);_-\ \ &quot;-&quot;_-;_-@_-"/>
    <numFmt numFmtId="189" formatCode="_-#,###.00,_-;\(#,###.00,\);_-\ \ &quot;-&quot;_-;_-@_-"/>
    <numFmt numFmtId="190" formatCode="_([$€-2]* #,##0.00_);_([$€-2]* \(#,##0.00\);_([$€-2]* &quot;-&quot;??_)"/>
    <numFmt numFmtId="191" formatCode="_-#0&quot;.&quot;0000_-;\(#0&quot;.&quot;0000\);_-\ \ &quot;-&quot;_-;_-@_-"/>
    <numFmt numFmtId="192" formatCode="_-#0&quot;.&quot;0,_-;\(#0&quot;.&quot;0,\);_-\ \ &quot;-&quot;_-;_-@_-"/>
    <numFmt numFmtId="193" formatCode="&quot;\&quot;#,##0;&quot;\&quot;&quot;\&quot;\-#,##0"/>
    <numFmt numFmtId="194" formatCode="&quot;\&quot;#,##0;[Red]&quot;\&quot;&quot;\&quot;\-#,##0"/>
    <numFmt numFmtId="195" formatCode="&quot;\&quot;#,##0.00;[Red]&quot;\&quot;&quot;\&quot;\-#,##0.00"/>
    <numFmt numFmtId="196" formatCode="_(&quot;$&quot;* #,##0_);_(&quot;$&quot;* \(#,##0\);_(&quot;$&quot;* &quot;-&quot;_);_(@_)"/>
    <numFmt numFmtId="197" formatCode="_(&quot;$&quot;* #,##0.00_);_(&quot;$&quot;* \(#,##0.00\);_(&quot;$&quot;* &quot;-&quot;??_);_(@_)"/>
    <numFmt numFmtId="198" formatCode="_ * #,##0_)\ _F_ ;_ * \(#,##0\)\ _F_ ;_ * &quot;-&quot;_)\ _F_ ;_ @_ "/>
    <numFmt numFmtId="199" formatCode="#,##0&quot; F&quot;_);\(#,##0&quot; F&quot;\)"/>
    <numFmt numFmtId="200" formatCode="0.00000000"/>
    <numFmt numFmtId="201" formatCode="0.0000000"/>
    <numFmt numFmtId="202" formatCode="0.000000"/>
    <numFmt numFmtId="203" formatCode="&quot;$&quot;#,##0;[Red]&quot;$&quot;&quot;$&quot;&quot;$&quot;&quot;$&quot;&quot;$&quot;&quot;$&quot;&quot;$&quot;\-#,##0"/>
    <numFmt numFmtId="204" formatCode="_-* #,##0_-;\-* #,##0_-;_-* &quot;-&quot;??_-;_-@_-"/>
    <numFmt numFmtId="205" formatCode="0.00000000000_);[Red]\(0.00000000000\)"/>
    <numFmt numFmtId="206" formatCode="hh:mm\ AM/PM_)"/>
    <numFmt numFmtId="207" formatCode=";;;"/>
    <numFmt numFmtId="208" formatCode="0.0%"/>
    <numFmt numFmtId="209" formatCode="0.00_ "/>
    <numFmt numFmtId="210" formatCode="&quot;$&quot;#,##0.00_);\(&quot;$&quot;#,##0.00\)"/>
    <numFmt numFmtId="211" formatCode="#,##0.0_);\(#,##0.0\)"/>
    <numFmt numFmtId="212" formatCode="0%;\(0%\)"/>
    <numFmt numFmtId="213" formatCode="0%_);\(0%\)"/>
    <numFmt numFmtId="214" formatCode="0.0000_ "/>
    <numFmt numFmtId="215" formatCode="_ * #,##0_ ;_ * \-#,##0_ ;_ * &quot;-&quot;??_ ;_ @_ "/>
  </numFmts>
  <fonts count="149">
    <font>
      <sz val="12"/>
      <name val="宋体"/>
      <charset val="134"/>
    </font>
    <font>
      <sz val="12"/>
      <name val="宋体"/>
      <family val="3"/>
      <charset val="134"/>
    </font>
    <font>
      <sz val="12"/>
      <name val="宋体"/>
      <family val="3"/>
      <charset val="134"/>
    </font>
    <font>
      <sz val="9"/>
      <name val="宋体"/>
      <family val="3"/>
      <charset val="134"/>
    </font>
    <font>
      <sz val="12"/>
      <name val="Times New Roman"/>
      <family val="1"/>
    </font>
    <font>
      <u/>
      <sz val="12"/>
      <color indexed="12"/>
      <name val="宋体"/>
      <family val="3"/>
      <charset val="134"/>
    </font>
    <font>
      <sz val="11"/>
      <name val="宋体"/>
      <family val="3"/>
      <charset val="134"/>
    </font>
    <font>
      <sz val="11"/>
      <name val="Times New Roman"/>
      <family val="1"/>
    </font>
    <font>
      <b/>
      <sz val="22"/>
      <color indexed="18"/>
      <name val="隶书"/>
      <family val="3"/>
      <charset val="134"/>
    </font>
    <font>
      <sz val="10"/>
      <color indexed="18"/>
      <name val="宋体"/>
      <family val="3"/>
      <charset val="134"/>
    </font>
    <font>
      <sz val="10"/>
      <name val="宋体"/>
      <family val="3"/>
      <charset val="134"/>
    </font>
    <font>
      <sz val="9"/>
      <name val="Times New Roman"/>
      <family val="1"/>
    </font>
    <font>
      <sz val="10"/>
      <color indexed="10"/>
      <name val="宋体"/>
      <family val="3"/>
      <charset val="134"/>
    </font>
    <font>
      <sz val="10"/>
      <name val="Times New Roman"/>
      <family val="1"/>
    </font>
    <font>
      <sz val="9"/>
      <color indexed="12"/>
      <name val="Times New Roman"/>
      <family val="1"/>
    </font>
    <font>
      <sz val="9"/>
      <color indexed="10"/>
      <name val="宋体"/>
      <family val="3"/>
      <charset val="134"/>
    </font>
    <font>
      <b/>
      <sz val="12"/>
      <name val="宋体"/>
      <family val="3"/>
      <charset val="134"/>
    </font>
    <font>
      <b/>
      <sz val="10"/>
      <name val="Times New Roman"/>
      <family val="1"/>
    </font>
    <font>
      <b/>
      <sz val="12"/>
      <color indexed="56"/>
      <name val="宋体"/>
      <family val="3"/>
      <charset val="134"/>
    </font>
    <font>
      <i/>
      <sz val="10"/>
      <name val="宋体"/>
      <family val="3"/>
      <charset val="134"/>
    </font>
    <font>
      <sz val="10"/>
      <name val="楷体"/>
      <family val="3"/>
      <charset val="134"/>
    </font>
    <font>
      <b/>
      <sz val="10"/>
      <name val="宋体"/>
      <family val="3"/>
      <charset val="134"/>
    </font>
    <font>
      <b/>
      <sz val="10"/>
      <color indexed="18"/>
      <name val="宋体"/>
      <family val="3"/>
      <charset val="134"/>
    </font>
    <font>
      <b/>
      <sz val="10"/>
      <color indexed="18"/>
      <name val="Times New Roman"/>
      <family val="1"/>
    </font>
    <font>
      <b/>
      <sz val="22"/>
      <color indexed="56"/>
      <name val="宋体"/>
      <family val="3"/>
      <charset val="134"/>
    </font>
    <font>
      <i/>
      <sz val="10"/>
      <name val="Times New Roman"/>
      <family val="1"/>
    </font>
    <font>
      <b/>
      <sz val="10"/>
      <color indexed="12"/>
      <name val="宋体"/>
      <family val="3"/>
      <charset val="134"/>
    </font>
    <font>
      <b/>
      <sz val="11"/>
      <color indexed="56"/>
      <name val="宋体"/>
      <family val="3"/>
      <charset val="134"/>
    </font>
    <font>
      <b/>
      <sz val="22"/>
      <color indexed="61"/>
      <name val="隶书"/>
      <family val="3"/>
      <charset val="134"/>
    </font>
    <font>
      <b/>
      <sz val="10"/>
      <color indexed="18"/>
      <name val="隶书"/>
      <family val="3"/>
      <charset val="134"/>
    </font>
    <font>
      <sz val="10"/>
      <color indexed="18"/>
      <name val="隶书"/>
      <family val="3"/>
      <charset val="134"/>
    </font>
    <font>
      <sz val="8"/>
      <color indexed="18"/>
      <name val="隶书"/>
      <family val="3"/>
      <charset val="134"/>
    </font>
    <font>
      <b/>
      <sz val="10"/>
      <color indexed="12"/>
      <name val="Times New Roman"/>
      <family val="1"/>
    </font>
    <font>
      <b/>
      <sz val="9"/>
      <name val="宋体"/>
      <family val="3"/>
      <charset val="134"/>
    </font>
    <font>
      <sz val="12"/>
      <name val="Arial Narrow"/>
      <family val="2"/>
    </font>
    <font>
      <b/>
      <sz val="11"/>
      <name val="Arial Narrow"/>
      <family val="2"/>
    </font>
    <font>
      <sz val="10"/>
      <name val="Arial Narrow"/>
      <family val="2"/>
    </font>
    <font>
      <sz val="9"/>
      <name val="Arial Narrow"/>
      <family val="2"/>
    </font>
    <font>
      <b/>
      <sz val="10"/>
      <name val="Arial Narrow"/>
      <family val="2"/>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7"/>
      <name val="Small Fonts"/>
      <family val="2"/>
    </font>
    <font>
      <sz val="10"/>
      <name val="Courier"/>
      <family val="3"/>
    </font>
    <font>
      <sz val="7"/>
      <color indexed="10"/>
      <name val="Helv"/>
      <family val="2"/>
    </font>
    <font>
      <u/>
      <sz val="9"/>
      <color indexed="12"/>
      <name val="宋体"/>
      <family val="3"/>
      <charset val="134"/>
    </font>
    <font>
      <b/>
      <sz val="14"/>
      <color indexed="8"/>
      <name val="Arial Narrow"/>
      <family val="2"/>
    </font>
    <font>
      <b/>
      <sz val="9"/>
      <color indexed="8"/>
      <name val="Arial Narrow"/>
      <family val="2"/>
    </font>
    <font>
      <b/>
      <sz val="9"/>
      <name val="Arial Narrow"/>
      <family val="2"/>
    </font>
    <font>
      <sz val="9"/>
      <name val="新宋体"/>
      <family val="3"/>
      <charset val="134"/>
    </font>
    <font>
      <sz val="9"/>
      <color indexed="10"/>
      <name val="Arial Narrow"/>
      <family val="2"/>
    </font>
    <font>
      <b/>
      <sz val="9"/>
      <name val="仿宋体"/>
      <charset val="134"/>
    </font>
    <font>
      <sz val="9"/>
      <name val="仿宋体"/>
      <charset val="134"/>
    </font>
    <font>
      <sz val="9"/>
      <color indexed="46"/>
      <name val="Arial Narrow"/>
      <family val="2"/>
    </font>
    <font>
      <b/>
      <sz val="14"/>
      <name val="宋体"/>
      <family val="3"/>
      <charset val="134"/>
    </font>
    <font>
      <b/>
      <sz val="14"/>
      <name val="Arial Narrow"/>
      <family val="2"/>
    </font>
    <font>
      <b/>
      <sz val="10"/>
      <color indexed="10"/>
      <name val="Arial Narrow"/>
      <family val="2"/>
    </font>
    <font>
      <b/>
      <sz val="11"/>
      <color indexed="10"/>
      <name val="Arial Narrow"/>
      <family val="2"/>
    </font>
    <font>
      <u/>
      <sz val="10"/>
      <name val="Arial Narrow"/>
      <family val="2"/>
    </font>
    <font>
      <sz val="8"/>
      <name val="Arial Narrow"/>
      <family val="2"/>
    </font>
    <font>
      <sz val="12"/>
      <name val="长城仿宋"/>
      <family val="3"/>
      <charset val="134"/>
    </font>
    <font>
      <b/>
      <sz val="16"/>
      <name val="宋体"/>
      <family val="3"/>
      <charset val="134"/>
    </font>
    <font>
      <sz val="11"/>
      <color indexed="9"/>
      <name val="宋体"/>
      <family val="3"/>
      <charset val="134"/>
    </font>
    <font>
      <sz val="10"/>
      <name val="长城仿宋"/>
      <family val="3"/>
      <charset val="134"/>
    </font>
    <font>
      <sz val="11"/>
      <name val="Arial Narrow"/>
      <family val="2"/>
    </font>
    <font>
      <sz val="10"/>
      <color indexed="9"/>
      <name val="Arial Narrow"/>
      <family val="2"/>
    </font>
    <font>
      <b/>
      <sz val="10"/>
      <color indexed="9"/>
      <name val="Arial Narrow"/>
      <family val="2"/>
    </font>
    <font>
      <sz val="10"/>
      <color indexed="8"/>
      <name val="Arial"/>
      <family val="2"/>
    </font>
    <font>
      <b/>
      <sz val="8"/>
      <name val="Arial"/>
      <family val="2"/>
    </font>
    <font>
      <sz val="10"/>
      <name val="MS Sans Serif"/>
      <family val="2"/>
    </font>
    <font>
      <b/>
      <sz val="12"/>
      <name val="Arial"/>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sz val="11"/>
      <name val="ＭＳ Ｐゴシック"/>
      <family val="2"/>
      <charset val="134"/>
    </font>
    <font>
      <sz val="12"/>
      <name val="바탕체"/>
      <family val="3"/>
    </font>
    <font>
      <sz val="11"/>
      <name val="蹈框"/>
      <charset val="134"/>
    </font>
    <font>
      <b/>
      <sz val="10"/>
      <name val="长城仿宋"/>
      <family val="3"/>
      <charset val="134"/>
    </font>
    <font>
      <b/>
      <i/>
      <sz val="9"/>
      <name val="仿宋体"/>
      <charset val="134"/>
    </font>
    <font>
      <sz val="9"/>
      <color indexed="9"/>
      <name val="Arial Narrow"/>
      <family val="2"/>
    </font>
    <font>
      <b/>
      <sz val="14"/>
      <color indexed="18"/>
      <name val="隶书"/>
      <family val="3"/>
      <charset val="134"/>
    </font>
    <font>
      <b/>
      <sz val="9"/>
      <color indexed="12"/>
      <name val="Arial Narrow"/>
      <family val="2"/>
    </font>
    <font>
      <b/>
      <sz val="10"/>
      <color indexed="12"/>
      <name val="Arial Narrow"/>
      <family val="2"/>
    </font>
    <font>
      <sz val="10"/>
      <color indexed="12"/>
      <name val="Arial Narrow"/>
      <family val="2"/>
    </font>
    <font>
      <b/>
      <sz val="9"/>
      <color indexed="12"/>
      <name val="Times New Roman"/>
      <family val="1"/>
    </font>
    <font>
      <b/>
      <sz val="11"/>
      <color indexed="56"/>
      <name val="Times New Roman"/>
      <family val="1"/>
    </font>
    <font>
      <b/>
      <sz val="14"/>
      <color indexed="56"/>
      <name val="宋体"/>
      <family val="3"/>
      <charset val="134"/>
    </font>
    <font>
      <sz val="14"/>
      <name val="宋体"/>
      <family val="3"/>
      <charset val="134"/>
    </font>
    <font>
      <i/>
      <sz val="10"/>
      <name val="Arial Narrow"/>
      <family val="2"/>
    </font>
    <font>
      <sz val="10"/>
      <name val="华文宋体"/>
      <family val="3"/>
      <charset val="134"/>
    </font>
    <font>
      <b/>
      <sz val="12"/>
      <name val="华文宋体"/>
      <family val="3"/>
      <charset val="134"/>
    </font>
    <font>
      <b/>
      <sz val="11"/>
      <name val="华文宋体"/>
      <family val="3"/>
      <charset val="134"/>
    </font>
    <font>
      <sz val="11"/>
      <name val="华文宋体"/>
      <family val="3"/>
      <charset val="134"/>
    </font>
    <font>
      <u/>
      <sz val="11"/>
      <color indexed="12"/>
      <name val="华文宋体"/>
      <family val="3"/>
      <charset val="134"/>
    </font>
    <font>
      <sz val="12"/>
      <name val="华文宋体"/>
      <family val="3"/>
      <charset val="134"/>
    </font>
    <font>
      <b/>
      <sz val="11"/>
      <color indexed="12"/>
      <name val="华文宋体"/>
      <family val="3"/>
      <charset val="134"/>
    </font>
    <font>
      <sz val="11"/>
      <color indexed="14"/>
      <name val="华文宋体"/>
      <family val="3"/>
      <charset val="134"/>
    </font>
    <font>
      <b/>
      <sz val="10"/>
      <color indexed="12"/>
      <name val="华文宋体"/>
      <family val="3"/>
      <charset val="134"/>
    </font>
    <font>
      <b/>
      <i/>
      <sz val="10"/>
      <color indexed="12"/>
      <name val="Arial Narrow"/>
      <family val="2"/>
    </font>
    <font>
      <sz val="10"/>
      <color indexed="12"/>
      <name val="宋体"/>
      <family val="3"/>
      <charset val="134"/>
    </font>
    <font>
      <sz val="10"/>
      <color indexed="12"/>
      <name val="Times New Roman"/>
      <family val="1"/>
    </font>
    <font>
      <sz val="13"/>
      <name val="Tms Rmn"/>
      <family val="1"/>
    </font>
    <font>
      <b/>
      <sz val="13"/>
      <name val="Tms Rmn"/>
      <family val="1"/>
    </font>
    <font>
      <b/>
      <sz val="10"/>
      <name val="Arial"/>
      <family val="2"/>
    </font>
    <font>
      <b/>
      <sz val="10"/>
      <color indexed="10"/>
      <name val="Arial"/>
      <family val="2"/>
    </font>
    <font>
      <u/>
      <sz val="10"/>
      <color indexed="12"/>
      <name val="宋体"/>
      <family val="3"/>
      <charset val="134"/>
    </font>
    <font>
      <b/>
      <sz val="10"/>
      <name val="Arial Unicode MS"/>
      <family val="2"/>
      <charset val="134"/>
    </font>
    <font>
      <b/>
      <sz val="8"/>
      <color indexed="18"/>
      <name val="Times New Roman"/>
      <family val="1"/>
    </font>
    <font>
      <sz val="8"/>
      <name val="宋体"/>
      <family val="3"/>
      <charset val="134"/>
    </font>
    <font>
      <b/>
      <i/>
      <sz val="10"/>
      <color indexed="12"/>
      <name val="宋体"/>
      <family val="3"/>
      <charset val="134"/>
    </font>
    <font>
      <b/>
      <sz val="10"/>
      <color indexed="61"/>
      <name val="宋体"/>
      <family val="3"/>
      <charset val="134"/>
    </font>
    <font>
      <sz val="12"/>
      <name val="宋体"/>
      <family val="3"/>
      <charset val="134"/>
    </font>
    <font>
      <sz val="10"/>
      <color indexed="10"/>
      <name val="Arial Narrow"/>
      <family val="2"/>
    </font>
    <font>
      <sz val="12"/>
      <color indexed="10"/>
      <name val="长城仿宋"/>
      <family val="3"/>
      <charset val="134"/>
    </font>
    <font>
      <b/>
      <sz val="16"/>
      <color indexed="10"/>
      <name val="宋体"/>
      <family val="3"/>
      <charset val="134"/>
    </font>
    <font>
      <b/>
      <sz val="9"/>
      <color indexed="12"/>
      <name val="宋体"/>
      <family val="3"/>
      <charset val="134"/>
    </font>
    <font>
      <b/>
      <sz val="12"/>
      <color indexed="12"/>
      <name val="宋体"/>
      <family val="3"/>
      <charset val="134"/>
    </font>
    <font>
      <b/>
      <sz val="10"/>
      <color indexed="12"/>
      <name val="长城仿宋"/>
      <family val="3"/>
      <charset val="134"/>
    </font>
    <font>
      <sz val="9"/>
      <color indexed="8"/>
      <name val="宋体"/>
      <family val="3"/>
      <charset val="134"/>
    </font>
    <font>
      <sz val="12"/>
      <color indexed="9"/>
      <name val="宋体"/>
      <family val="3"/>
      <charset val="134"/>
    </font>
    <font>
      <sz val="10"/>
      <color indexed="9"/>
      <name val="华文宋体"/>
      <family val="3"/>
      <charset val="134"/>
    </font>
    <font>
      <sz val="10"/>
      <name val="宋体"/>
      <family val="3"/>
      <charset val="134"/>
    </font>
    <font>
      <sz val="9"/>
      <name val="宋体"/>
      <family val="3"/>
      <charset val="134"/>
    </font>
    <font>
      <b/>
      <sz val="9"/>
      <color indexed="10"/>
      <name val="新宋体"/>
      <family val="3"/>
      <charset val="134"/>
    </font>
    <font>
      <b/>
      <sz val="9"/>
      <color indexed="10"/>
      <name val="Arial Narrow"/>
      <family val="2"/>
    </font>
    <font>
      <b/>
      <sz val="10"/>
      <color indexed="10"/>
      <name val="宋体"/>
      <family val="3"/>
      <charset val="134"/>
    </font>
    <font>
      <b/>
      <u/>
      <sz val="10"/>
      <color indexed="10"/>
      <name val="Arial Narrow"/>
      <family val="2"/>
    </font>
    <font>
      <b/>
      <sz val="9"/>
      <color rgb="FFFF0000"/>
      <name val="Arial Narrow"/>
      <family val="2"/>
    </font>
    <font>
      <b/>
      <sz val="10"/>
      <color rgb="FFFF0000"/>
      <name val="宋体"/>
      <family val="3"/>
      <charset val="134"/>
    </font>
    <font>
      <b/>
      <sz val="10"/>
      <color rgb="FFFF0000"/>
      <name val="Arial Narrow"/>
      <family val="2"/>
    </font>
    <font>
      <sz val="9"/>
      <color theme="0"/>
      <name val="Arial Narrow"/>
      <family val="2"/>
    </font>
    <font>
      <sz val="8"/>
      <color theme="0"/>
      <name val="Arial Narrow"/>
      <family val="2"/>
    </font>
    <font>
      <b/>
      <i/>
      <sz val="10"/>
      <name val="Arial Narrow"/>
      <family val="2"/>
    </font>
    <font>
      <sz val="9"/>
      <color rgb="FFFF0000"/>
      <name val="Arial Narrow"/>
      <family val="2"/>
    </font>
    <font>
      <sz val="9"/>
      <color indexed="81"/>
      <name val="宋体"/>
      <family val="3"/>
      <charset val="134"/>
    </font>
    <font>
      <b/>
      <sz val="9"/>
      <color indexed="81"/>
      <name val="宋体"/>
      <family val="3"/>
      <charset val="134"/>
    </font>
    <font>
      <sz val="8"/>
      <color rgb="FFFF0000"/>
      <name val="Arial Narrow"/>
      <family val="2"/>
    </font>
    <font>
      <sz val="10"/>
      <name val="宋体"/>
      <family val="3"/>
      <charset val="134"/>
      <scheme val="minor"/>
    </font>
  </fonts>
  <fills count="34">
    <fill>
      <patternFill patternType="none"/>
    </fill>
    <fill>
      <patternFill patternType="gray125"/>
    </fill>
    <fill>
      <patternFill patternType="solid">
        <fgColor indexed="9"/>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39"/>
        <bgColor indexed="64"/>
      </patternFill>
    </fill>
    <fill>
      <patternFill patternType="solid">
        <fgColor indexed="9"/>
        <bgColor indexed="64"/>
      </patternFill>
    </fill>
    <fill>
      <patternFill patternType="solid">
        <fgColor indexed="26"/>
        <bgColor indexed="43"/>
      </patternFill>
    </fill>
    <fill>
      <patternFill patternType="solid">
        <fgColor indexed="46"/>
        <bgColor indexed="64"/>
      </patternFill>
    </fill>
    <fill>
      <patternFill patternType="solid">
        <fgColor indexed="12"/>
        <bgColor indexed="64"/>
      </patternFill>
    </fill>
    <fill>
      <patternFill patternType="solid">
        <fgColor indexed="48"/>
        <bgColor indexed="64"/>
      </patternFill>
    </fill>
    <fill>
      <patternFill patternType="solid">
        <fgColor indexed="41"/>
        <bgColor indexed="64"/>
      </patternFill>
    </fill>
    <fill>
      <patternFill patternType="solid">
        <fgColor indexed="49"/>
        <bgColor indexed="64"/>
      </patternFill>
    </fill>
    <fill>
      <patternFill patternType="solid">
        <fgColor indexed="42"/>
        <bgColor indexed="64"/>
      </patternFill>
    </fill>
    <fill>
      <patternFill patternType="solid">
        <fgColor indexed="44"/>
        <bgColor indexed="64"/>
      </patternFill>
    </fill>
    <fill>
      <patternFill patternType="solid">
        <fgColor indexed="45"/>
        <bgColor indexed="64"/>
      </patternFill>
    </fill>
    <fill>
      <patternFill patternType="solid">
        <fgColor indexed="43"/>
        <bgColor indexed="64"/>
      </patternFill>
    </fill>
    <fill>
      <patternFill patternType="solid">
        <fgColor theme="0" tint="-0.14999847407452621"/>
        <bgColor indexed="64"/>
      </patternFill>
    </fill>
    <fill>
      <patternFill patternType="solid">
        <fgColor rgb="FFFFFFCC"/>
        <bgColor indexed="64"/>
      </patternFill>
    </fill>
    <fill>
      <patternFill patternType="solid">
        <fgColor rgb="FFC0C0C0"/>
        <bgColor indexed="64"/>
      </patternFill>
    </fill>
    <fill>
      <patternFill patternType="solid">
        <fgColor rgb="FFCCFFCC"/>
        <bgColor indexed="64"/>
      </patternFill>
    </fill>
    <fill>
      <patternFill patternType="solid">
        <fgColor rgb="FFCCFFFF"/>
        <bgColor indexed="64"/>
      </patternFill>
    </fill>
    <fill>
      <patternFill patternType="solid">
        <fgColor rgb="FF99CCFF"/>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bgColor indexed="64"/>
      </patternFill>
    </fill>
    <fill>
      <patternFill patternType="solid">
        <fgColor theme="5" tint="0.79998168889431442"/>
        <bgColor indexed="64"/>
      </patternFill>
    </fill>
    <fill>
      <patternFill patternType="solid">
        <fgColor rgb="FFF6A9B3"/>
        <bgColor indexed="64"/>
      </patternFill>
    </fill>
    <fill>
      <patternFill patternType="solid">
        <fgColor theme="8" tint="0.39997558519241921"/>
        <bgColor indexed="64"/>
      </patternFill>
    </fill>
    <fill>
      <patternFill patternType="solid">
        <fgColor rgb="FF00B050"/>
        <bgColor indexed="64"/>
      </patternFill>
    </fill>
  </fills>
  <borders count="9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right style="hair">
        <color indexed="64"/>
      </right>
      <top style="thin">
        <color indexed="64"/>
      </top>
      <bottom style="thin">
        <color indexed="64"/>
      </bottom>
      <diagonal/>
    </border>
    <border>
      <left/>
      <right style="hair">
        <color indexed="64"/>
      </right>
      <top style="hair">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diagonal/>
    </border>
    <border>
      <left/>
      <right style="thin">
        <color indexed="64"/>
      </right>
      <top/>
      <bottom style="medium">
        <color indexed="64"/>
      </bottom>
      <diagonal/>
    </border>
    <border>
      <left/>
      <right style="thin">
        <color indexed="64"/>
      </right>
      <top/>
      <bottom style="thin">
        <color indexed="64"/>
      </bottom>
      <diagonal/>
    </border>
    <border>
      <left style="hair">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hair">
        <color indexed="64"/>
      </right>
      <top style="medium">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8"/>
      </left>
      <right style="thick">
        <color indexed="41"/>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style="thick">
        <color indexed="41"/>
      </bottom>
      <diagonal/>
    </border>
    <border>
      <left style="hair">
        <color indexed="8"/>
      </left>
      <right style="thick">
        <color indexed="41"/>
      </right>
      <top style="hair">
        <color indexed="8"/>
      </top>
      <bottom style="thick">
        <color indexed="41"/>
      </bottom>
      <diagonal/>
    </border>
    <border>
      <left/>
      <right/>
      <top/>
      <bottom style="thick">
        <color indexed="40"/>
      </bottom>
      <diagonal/>
    </border>
    <border>
      <left/>
      <right/>
      <top/>
      <bottom style="dashed">
        <color indexed="64"/>
      </bottom>
      <diagonal/>
    </border>
    <border>
      <left/>
      <right/>
      <top style="hair">
        <color indexed="64"/>
      </top>
      <bottom style="thin">
        <color indexed="64"/>
      </bottom>
      <diagonal/>
    </border>
    <border>
      <left/>
      <right/>
      <top style="thin">
        <color indexed="64"/>
      </top>
      <bottom style="medium">
        <color indexed="64"/>
      </bottom>
      <diagonal/>
    </border>
    <border>
      <left style="hair">
        <color indexed="8"/>
      </left>
      <right style="hair">
        <color indexed="8"/>
      </right>
      <top style="thick">
        <color indexed="63"/>
      </top>
      <bottom style="hair">
        <color indexed="8"/>
      </bottom>
      <diagonal/>
    </border>
    <border>
      <left style="hair">
        <color indexed="8"/>
      </left>
      <right style="hair">
        <color indexed="8"/>
      </right>
      <top style="hair">
        <color indexed="8"/>
      </top>
      <bottom style="thin">
        <color indexed="8"/>
      </bottom>
      <diagonal/>
    </border>
    <border>
      <left style="hair">
        <color indexed="8"/>
      </left>
      <right style="thick">
        <color indexed="41"/>
      </right>
      <top style="hair">
        <color indexed="8"/>
      </top>
      <bottom style="thin">
        <color indexed="8"/>
      </bottom>
      <diagonal/>
    </border>
    <border>
      <left style="thick">
        <color indexed="63"/>
      </left>
      <right style="hair">
        <color indexed="8"/>
      </right>
      <top style="hair">
        <color indexed="8"/>
      </top>
      <bottom style="hair">
        <color indexed="8"/>
      </bottom>
      <diagonal/>
    </border>
    <border>
      <left style="thick">
        <color indexed="63"/>
      </left>
      <right style="hair">
        <color indexed="8"/>
      </right>
      <top style="hair">
        <color indexed="8"/>
      </top>
      <bottom style="thick">
        <color indexed="41"/>
      </bottom>
      <diagonal/>
    </border>
    <border>
      <left/>
      <right/>
      <top style="hair">
        <color indexed="64"/>
      </top>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medium">
        <color indexed="64"/>
      </top>
      <bottom/>
      <diagonal/>
    </border>
    <border>
      <left style="thick">
        <color indexed="63"/>
      </left>
      <right style="hair">
        <color indexed="8"/>
      </right>
      <top style="thick">
        <color indexed="63"/>
      </top>
      <bottom style="hair">
        <color indexed="8"/>
      </bottom>
      <diagonal/>
    </border>
    <border>
      <left style="thick">
        <color indexed="63"/>
      </left>
      <right style="hair">
        <color indexed="8"/>
      </right>
      <top style="hair">
        <color indexed="8"/>
      </top>
      <bottom style="thin">
        <color indexed="8"/>
      </bottom>
      <diagonal/>
    </border>
    <border>
      <left style="hair">
        <color indexed="8"/>
      </left>
      <right style="thick">
        <color indexed="41"/>
      </right>
      <top style="thick">
        <color indexed="63"/>
      </top>
      <bottom style="hair">
        <color indexed="8"/>
      </bottom>
      <diagonal/>
    </border>
  </borders>
  <cellStyleXfs count="146">
    <xf numFmtId="190" fontId="0" fillId="0" borderId="0">
      <protection locked="0"/>
    </xf>
    <xf numFmtId="190" fontId="42" fillId="0" borderId="0" applyNumberFormat="0" applyFill="0" applyBorder="0" applyAlignment="0" applyProtection="0"/>
    <xf numFmtId="190" fontId="43" fillId="0" borderId="0"/>
    <xf numFmtId="190" fontId="43" fillId="0" borderId="0"/>
    <xf numFmtId="190" fontId="43" fillId="0" borderId="0"/>
    <xf numFmtId="190" fontId="43" fillId="0" borderId="0"/>
    <xf numFmtId="49" fontId="13" fillId="0" borderId="0" applyProtection="0">
      <alignment horizontal="left"/>
    </xf>
    <xf numFmtId="190" fontId="72" fillId="0" borderId="0">
      <alignment vertical="top"/>
      <protection locked="0"/>
    </xf>
    <xf numFmtId="190" fontId="72" fillId="0" borderId="0">
      <alignment vertical="top"/>
      <protection locked="0"/>
    </xf>
    <xf numFmtId="190" fontId="72" fillId="0" borderId="0">
      <alignment vertical="top"/>
      <protection locked="0"/>
    </xf>
    <xf numFmtId="190" fontId="72" fillId="0" borderId="0">
      <alignment vertical="top"/>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protection locked="0"/>
    </xf>
    <xf numFmtId="190" fontId="72" fillId="0" borderId="0">
      <alignment vertical="top"/>
      <protection locked="0"/>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xf>
    <xf numFmtId="190" fontId="72" fillId="0" borderId="0">
      <alignment vertical="top"/>
      <protection locked="0"/>
    </xf>
    <xf numFmtId="190" fontId="72" fillId="0" borderId="0">
      <alignment vertical="top"/>
    </xf>
    <xf numFmtId="190" fontId="72" fillId="0" borderId="0">
      <alignment vertical="top"/>
      <protection locked="0"/>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xf>
    <xf numFmtId="190" fontId="72" fillId="0" borderId="0">
      <alignment vertical="top"/>
    </xf>
    <xf numFmtId="190" fontId="72" fillId="0" borderId="0">
      <alignment vertical="top"/>
    </xf>
    <xf numFmtId="185" fontId="13" fillId="0" borderId="0" applyFill="0" applyBorder="0" applyProtection="0">
      <alignment horizontal="right"/>
    </xf>
    <xf numFmtId="186" fontId="13" fillId="0" borderId="0" applyFill="0" applyBorder="0" applyProtection="0">
      <alignment horizontal="right"/>
    </xf>
    <xf numFmtId="184" fontId="39" fillId="0" borderId="0" applyFill="0" applyBorder="0" applyProtection="0">
      <alignment horizontal="center"/>
    </xf>
    <xf numFmtId="183" fontId="39" fillId="0" borderId="0" applyFill="0" applyBorder="0" applyProtection="0">
      <alignment horizontal="center"/>
    </xf>
    <xf numFmtId="187" fontId="40" fillId="0" borderId="0" applyFill="0" applyBorder="0" applyProtection="0">
      <alignment horizontal="right"/>
    </xf>
    <xf numFmtId="188" fontId="13" fillId="0" borderId="0" applyFill="0" applyBorder="0" applyProtection="0">
      <alignment horizontal="right"/>
    </xf>
    <xf numFmtId="189" fontId="13" fillId="0" borderId="0" applyFill="0" applyBorder="0" applyProtection="0">
      <alignment horizontal="right"/>
    </xf>
    <xf numFmtId="192" fontId="13" fillId="0" borderId="0" applyFill="0" applyBorder="0" applyProtection="0">
      <alignment horizontal="right"/>
    </xf>
    <xf numFmtId="191" fontId="13" fillId="0" borderId="0" applyFill="0" applyBorder="0" applyProtection="0">
      <alignment horizontal="right"/>
    </xf>
    <xf numFmtId="212" fontId="112" fillId="0" borderId="0" applyFont="0" applyFill="0" applyBorder="0" applyAlignment="0" applyProtection="0"/>
    <xf numFmtId="208" fontId="112" fillId="0" borderId="0" applyFont="0" applyFill="0" applyBorder="0" applyAlignment="0" applyProtection="0"/>
    <xf numFmtId="10" fontId="112" fillId="0" borderId="0" applyFont="0" applyFill="0" applyBorder="0" applyAlignment="0" applyProtection="0"/>
    <xf numFmtId="3" fontId="41" fillId="0" borderId="0"/>
    <xf numFmtId="182" fontId="42" fillId="0" borderId="1" applyAlignment="0" applyProtection="0"/>
    <xf numFmtId="199" fontId="1" fillId="0" borderId="0" applyFill="0" applyBorder="0" applyAlignment="0"/>
    <xf numFmtId="190" fontId="113" fillId="0" borderId="2" applyNumberFormat="0" applyFill="0" applyProtection="0">
      <alignment horizontal="center"/>
    </xf>
    <xf numFmtId="190" fontId="73" fillId="0" borderId="3">
      <alignment horizontal="center"/>
    </xf>
    <xf numFmtId="203" fontId="43" fillId="0" borderId="0"/>
    <xf numFmtId="203" fontId="43" fillId="0" borderId="0"/>
    <xf numFmtId="203" fontId="43" fillId="0" borderId="0"/>
    <xf numFmtId="203" fontId="43" fillId="0" borderId="0"/>
    <xf numFmtId="203" fontId="43" fillId="0" borderId="0"/>
    <xf numFmtId="203" fontId="43" fillId="0" borderId="0"/>
    <xf numFmtId="203" fontId="43" fillId="0" borderId="0"/>
    <xf numFmtId="203" fontId="43" fillId="0" borderId="0"/>
    <xf numFmtId="38" fontId="74" fillId="0" borderId="0" applyFont="0" applyFill="0" applyBorder="0" applyAlignment="0" applyProtection="0"/>
    <xf numFmtId="37" fontId="112" fillId="0" borderId="0" applyFont="0" applyFill="0" applyBorder="0" applyAlignment="0" applyProtection="0"/>
    <xf numFmtId="211" fontId="112" fillId="0" borderId="0" applyFont="0" applyFill="0" applyBorder="0" applyAlignment="0" applyProtection="0"/>
    <xf numFmtId="39" fontId="112" fillId="0" borderId="0" applyFont="0" applyFill="0" applyBorder="0" applyAlignment="0" applyProtection="0"/>
    <xf numFmtId="40" fontId="74" fillId="0" borderId="0" applyFont="0" applyFill="0" applyBorder="0" applyAlignment="0" applyProtection="0"/>
    <xf numFmtId="206" fontId="1" fillId="0" borderId="0" applyFont="0" applyFill="0" applyBorder="0" applyAlignment="0" applyProtection="0"/>
    <xf numFmtId="182" fontId="112" fillId="0" borderId="0" applyFont="0" applyFill="0" applyBorder="0" applyAlignment="0" applyProtection="0"/>
    <xf numFmtId="210" fontId="112" fillId="0" borderId="0" applyFont="0" applyFill="0" applyBorder="0" applyAlignment="0" applyProtection="0"/>
    <xf numFmtId="207" fontId="1" fillId="0" borderId="0" applyFont="0" applyFill="0" applyBorder="0" applyAlignment="0" applyProtection="0"/>
    <xf numFmtId="41" fontId="43" fillId="0" borderId="0" applyFont="0" applyFill="0" applyBorder="0" applyAlignment="0" applyProtection="0"/>
    <xf numFmtId="43" fontId="43" fillId="0" borderId="0" applyFont="0" applyFill="0" applyBorder="0" applyAlignment="0" applyProtection="0"/>
    <xf numFmtId="190" fontId="11" fillId="0" borderId="0">
      <alignment horizontal="left"/>
    </xf>
    <xf numFmtId="190" fontId="45" fillId="3" borderId="4"/>
    <xf numFmtId="190" fontId="13" fillId="0" borderId="0" applyFont="0" applyFill="0" applyBorder="0" applyAlignment="0" applyProtection="0"/>
    <xf numFmtId="190" fontId="44" fillId="0" borderId="0" applyNumberFormat="0" applyFill="0" applyBorder="0" applyAlignment="0" applyProtection="0">
      <alignment vertical="top"/>
      <protection locked="0"/>
    </xf>
    <xf numFmtId="38" fontId="45" fillId="4" borderId="0" applyNumberFormat="0" applyBorder="0" applyAlignment="0" applyProtection="0"/>
    <xf numFmtId="190" fontId="75" fillId="0" borderId="5" applyNumberFormat="0" applyAlignment="0" applyProtection="0">
      <alignment horizontal="left" vertical="center"/>
    </xf>
    <xf numFmtId="190" fontId="75" fillId="0" borderId="6">
      <alignment horizontal="left" vertical="center"/>
    </xf>
    <xf numFmtId="14" fontId="114" fillId="5" borderId="7">
      <alignment horizontal="center" vertical="center" wrapText="1"/>
    </xf>
    <xf numFmtId="190" fontId="46" fillId="0" borderId="0" applyNumberFormat="0" applyFill="0" applyBorder="0" applyAlignment="0" applyProtection="0">
      <alignment vertical="top"/>
      <protection locked="0"/>
    </xf>
    <xf numFmtId="10" fontId="45" fillId="6" borderId="4" applyNumberFormat="0" applyBorder="0" applyAlignment="0" applyProtection="0"/>
    <xf numFmtId="190" fontId="13" fillId="0" borderId="0" applyNumberFormat="0" applyFont="0" applyFill="0" applyBorder="0" applyProtection="0">
      <alignment horizontal="left" vertical="center"/>
    </xf>
    <xf numFmtId="41" fontId="43" fillId="0" borderId="0" applyFont="0" applyFill="0" applyBorder="0" applyAlignment="0" applyProtection="0"/>
    <xf numFmtId="43" fontId="43"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43" fillId="0" borderId="0" applyFont="0" applyFill="0" applyBorder="0" applyAlignment="0" applyProtection="0"/>
    <xf numFmtId="197" fontId="43" fillId="0" borderId="0" applyFont="0" applyFill="0" applyBorder="0" applyAlignment="0" applyProtection="0"/>
    <xf numFmtId="204" fontId="43" fillId="0" borderId="0" applyFont="0" applyFill="0" applyBorder="0" applyAlignment="0" applyProtection="0"/>
    <xf numFmtId="205" fontId="1" fillId="0" borderId="0" applyFont="0" applyFill="0" applyBorder="0" applyAlignment="0" applyProtection="0"/>
    <xf numFmtId="37" fontId="47" fillId="0" borderId="0"/>
    <xf numFmtId="190" fontId="48" fillId="0" borderId="0"/>
    <xf numFmtId="193" fontId="1" fillId="0" borderId="0"/>
    <xf numFmtId="190" fontId="74" fillId="0" borderId="0"/>
    <xf numFmtId="190" fontId="76" fillId="0" borderId="0"/>
    <xf numFmtId="213" fontId="43" fillId="0" borderId="0" applyFont="0" applyFill="0" applyBorder="0" applyAlignment="0" applyProtection="0"/>
    <xf numFmtId="10" fontId="43" fillId="0" borderId="0" applyFont="0" applyFill="0" applyBorder="0" applyAlignment="0" applyProtection="0"/>
    <xf numFmtId="190" fontId="45" fillId="4" borderId="4"/>
    <xf numFmtId="4" fontId="11" fillId="0" borderId="0">
      <alignment horizontal="right"/>
    </xf>
    <xf numFmtId="3" fontId="49" fillId="0" borderId="0"/>
    <xf numFmtId="4" fontId="77" fillId="0" borderId="0">
      <alignment horizontal="right"/>
    </xf>
    <xf numFmtId="190" fontId="129" fillId="2" borderId="0">
      <alignment horizontal="left" vertical="center"/>
    </xf>
    <xf numFmtId="190" fontId="129" fillId="2" borderId="0">
      <alignment horizontal="right" vertical="center"/>
    </xf>
    <xf numFmtId="190" fontId="78" fillId="0" borderId="0">
      <alignment horizontal="left"/>
    </xf>
    <xf numFmtId="190" fontId="79" fillId="0" borderId="4">
      <alignment horizontal="center"/>
    </xf>
    <xf numFmtId="190" fontId="79" fillId="0" borderId="0">
      <alignment horizontal="center" vertical="center"/>
    </xf>
    <xf numFmtId="190" fontId="80" fillId="7" borderId="0" applyNumberFormat="0" applyFill="0">
      <alignment horizontal="left" vertical="center"/>
    </xf>
    <xf numFmtId="190" fontId="115" fillId="0" borderId="0" applyFill="0" applyBorder="0" applyProtection="0">
      <alignment horizontal="left" vertical="top"/>
    </xf>
    <xf numFmtId="190" fontId="81" fillId="0" borderId="0">
      <alignment horizontal="center"/>
    </xf>
    <xf numFmtId="190" fontId="82" fillId="0" borderId="0" applyNumberFormat="0" applyFont="0" applyFill="0" applyBorder="0" applyProtection="0">
      <alignment horizontal="center" vertical="center" wrapText="1"/>
    </xf>
    <xf numFmtId="9" fontId="83" fillId="0" borderId="0" applyFont="0" applyFill="0" applyBorder="0" applyAlignment="0" applyProtection="0"/>
    <xf numFmtId="9" fontId="2" fillId="0" borderId="0" applyFont="0" applyFill="0" applyBorder="0" applyAlignment="0" applyProtection="0"/>
    <xf numFmtId="4" fontId="84" fillId="0" borderId="0">
      <alignment horizontal="right"/>
    </xf>
    <xf numFmtId="190" fontId="3" fillId="0" borderId="0">
      <protection locked="0"/>
    </xf>
    <xf numFmtId="190" fontId="2" fillId="0" borderId="0">
      <protection locked="0"/>
    </xf>
    <xf numFmtId="190" fontId="13" fillId="0" borderId="0">
      <protection locked="0"/>
    </xf>
    <xf numFmtId="190" fontId="4" fillId="0" borderId="0">
      <protection locked="0"/>
    </xf>
    <xf numFmtId="190" fontId="1" fillId="0" borderId="0">
      <protection locked="0"/>
    </xf>
    <xf numFmtId="190" fontId="116" fillId="0" borderId="0" applyNumberFormat="0" applyFill="0" applyBorder="0" applyAlignment="0" applyProtection="0">
      <alignment vertical="top"/>
      <protection locked="0"/>
    </xf>
    <xf numFmtId="190" fontId="5" fillId="0" borderId="0" applyNumberFormat="0" applyFill="0" applyBorder="0" applyAlignment="0" applyProtection="0">
      <alignment vertical="top"/>
      <protection locked="0"/>
    </xf>
    <xf numFmtId="190" fontId="42" fillId="0" borderId="0" applyNumberFormat="0" applyFill="0" applyBorder="0" applyAlignment="0" applyProtection="0"/>
    <xf numFmtId="4" fontId="82" fillId="0" borderId="0" applyFont="0" applyFill="0" applyBorder="0" applyAlignment="0" applyProtection="0"/>
    <xf numFmtId="41" fontId="43" fillId="0" borderId="0" applyFont="0" applyFill="0" applyBorder="0" applyAlignment="0" applyProtection="0"/>
    <xf numFmtId="201" fontId="4" fillId="0" borderId="0" applyFont="0" applyFill="0" applyBorder="0" applyAlignment="0" applyProtection="0"/>
    <xf numFmtId="8" fontId="1" fillId="0" borderId="0" applyFont="0" applyFill="0" applyBorder="0" applyAlignment="0" applyProtection="0"/>
    <xf numFmtId="202" fontId="4" fillId="0" borderId="0" applyFont="0" applyFill="0" applyBorder="0" applyAlignment="0" applyProtection="0"/>
    <xf numFmtId="200" fontId="4" fillId="0" borderId="0" applyFont="0" applyFill="0" applyBorder="0" applyAlignment="0" applyProtection="0"/>
    <xf numFmtId="190" fontId="13" fillId="0" borderId="0"/>
    <xf numFmtId="190" fontId="4" fillId="0" borderId="0"/>
    <xf numFmtId="190" fontId="4" fillId="0" borderId="0"/>
    <xf numFmtId="190" fontId="4" fillId="0" borderId="0"/>
    <xf numFmtId="190" fontId="13" fillId="0" borderId="0" applyFont="0" applyFill="0" applyBorder="0" applyAlignment="0" applyProtection="0"/>
    <xf numFmtId="190" fontId="13"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43" fontId="1" fillId="0" borderId="0" applyFont="0" applyFill="0" applyBorder="0" applyAlignment="0" applyProtection="0"/>
    <xf numFmtId="190" fontId="87" fillId="0" borderId="0"/>
    <xf numFmtId="197" fontId="43" fillId="0" borderId="0" applyFont="0" applyFill="0" applyBorder="0" applyAlignment="0" applyProtection="0"/>
    <xf numFmtId="198" fontId="1" fillId="0" borderId="0" applyFont="0" applyFill="0" applyBorder="0" applyAlignment="0" applyProtection="0"/>
    <xf numFmtId="190" fontId="72" fillId="0" borderId="0">
      <alignment vertical="top"/>
      <protection locked="0"/>
    </xf>
    <xf numFmtId="38" fontId="85" fillId="0" borderId="0" applyFont="0" applyFill="0" applyBorder="0" applyAlignment="0" applyProtection="0"/>
    <xf numFmtId="40" fontId="85" fillId="0" borderId="0" applyFont="0" applyFill="0" applyBorder="0" applyAlignment="0" applyProtection="0"/>
    <xf numFmtId="190" fontId="85" fillId="0" borderId="0" applyFont="0" applyFill="0" applyBorder="0" applyAlignment="0" applyProtection="0"/>
    <xf numFmtId="190" fontId="85" fillId="0" borderId="0" applyFont="0" applyFill="0" applyBorder="0" applyAlignment="0" applyProtection="0"/>
    <xf numFmtId="190" fontId="86" fillId="0" borderId="0"/>
    <xf numFmtId="190" fontId="1" fillId="0" borderId="0"/>
  </cellStyleXfs>
  <cellXfs count="1267">
    <xf numFmtId="190" fontId="0" fillId="0" borderId="0" xfId="0">
      <protection locked="0"/>
    </xf>
    <xf numFmtId="190" fontId="101" fillId="6" borderId="82" xfId="0" applyFont="1" applyFill="1" applyBorder="1" applyAlignment="1" applyProtection="1">
      <alignment horizontal="center" vertical="center"/>
      <protection hidden="1"/>
    </xf>
    <xf numFmtId="190" fontId="0" fillId="4" borderId="0" xfId="0" applyFill="1" applyProtection="1">
      <protection hidden="1"/>
    </xf>
    <xf numFmtId="190" fontId="0" fillId="0" borderId="0" xfId="0" applyProtection="1">
      <protection locked="0"/>
    </xf>
    <xf numFmtId="22" fontId="0" fillId="0" borderId="0" xfId="0" applyNumberFormat="1" applyProtection="1">
      <protection locked="0"/>
    </xf>
    <xf numFmtId="43" fontId="0" fillId="0" borderId="0" xfId="0" applyNumberFormat="1" applyProtection="1">
      <protection locked="0"/>
    </xf>
    <xf numFmtId="43" fontId="28" fillId="6" borderId="0" xfId="132" applyFont="1" applyFill="1" applyAlignment="1" applyProtection="1">
      <alignment horizontal="center" vertical="center" shrinkToFit="1"/>
      <protection locked="0"/>
    </xf>
    <xf numFmtId="43" fontId="0" fillId="4" borderId="0" xfId="0" applyNumberFormat="1" applyFill="1" applyAlignment="1" applyProtection="1">
      <alignment vertical="center" shrinkToFit="1"/>
      <protection locked="0"/>
    </xf>
    <xf numFmtId="176" fontId="10" fillId="4" borderId="0" xfId="0" applyNumberFormat="1" applyFont="1" applyFill="1" applyAlignment="1" applyProtection="1">
      <alignment shrinkToFit="1"/>
      <protection locked="0"/>
    </xf>
    <xf numFmtId="43" fontId="28" fillId="6" borderId="0" xfId="132" applyFont="1" applyFill="1" applyAlignment="1" applyProtection="1">
      <alignment horizontal="left" vertical="center" shrinkToFit="1"/>
      <protection locked="0"/>
    </xf>
    <xf numFmtId="4" fontId="8" fillId="8" borderId="0" xfId="0" applyNumberFormat="1" applyFont="1" applyFill="1" applyBorder="1" applyAlignment="1" applyProtection="1">
      <alignment horizontal="center"/>
      <protection locked="0"/>
    </xf>
    <xf numFmtId="4" fontId="30" fillId="8" borderId="0" xfId="0" applyNumberFormat="1" applyFont="1" applyFill="1" applyBorder="1" applyAlignment="1" applyProtection="1">
      <alignment horizontal="left"/>
      <protection locked="0"/>
    </xf>
    <xf numFmtId="4" fontId="31" fillId="8" borderId="0" xfId="0" applyNumberFormat="1" applyFont="1" applyFill="1" applyBorder="1" applyAlignment="1" applyProtection="1">
      <alignment horizontal="left"/>
      <protection locked="0"/>
    </xf>
    <xf numFmtId="4" fontId="29" fillId="8" borderId="0" xfId="0" applyNumberFormat="1" applyFont="1" applyFill="1" applyBorder="1" applyAlignment="1" applyProtection="1">
      <alignment horizontal="left"/>
      <protection locked="0"/>
    </xf>
    <xf numFmtId="190" fontId="0" fillId="4" borderId="0" xfId="0" applyFill="1" applyAlignment="1" applyProtection="1">
      <alignment vertical="center"/>
      <protection hidden="1"/>
    </xf>
    <xf numFmtId="190" fontId="0" fillId="4" borderId="0" xfId="0" applyFill="1" applyAlignment="1" applyProtection="1">
      <alignment horizontal="left" vertical="center"/>
      <protection hidden="1"/>
    </xf>
    <xf numFmtId="43" fontId="21" fillId="0" borderId="0" xfId="113" applyNumberFormat="1" applyFont="1" applyBorder="1" applyAlignment="1">
      <alignment horizontal="center" vertical="center"/>
      <protection locked="0"/>
    </xf>
    <xf numFmtId="177" fontId="37" fillId="0" borderId="8" xfId="114" applyNumberFormat="1" applyFont="1" applyBorder="1" applyAlignment="1">
      <alignment horizontal="center" vertical="center"/>
      <protection locked="0"/>
    </xf>
    <xf numFmtId="43" fontId="52" fillId="9" borderId="0" xfId="114" applyNumberFormat="1" applyFont="1" applyFill="1" applyAlignment="1">
      <alignment horizontal="centerContinuous" vertical="center"/>
      <protection locked="0"/>
    </xf>
    <xf numFmtId="43" fontId="53" fillId="9" borderId="0" xfId="114" applyNumberFormat="1" applyFont="1" applyFill="1" applyAlignment="1">
      <alignment horizontal="centerContinuous" vertical="center"/>
      <protection locked="0"/>
    </xf>
    <xf numFmtId="43" fontId="53" fillId="9" borderId="0" xfId="114" applyNumberFormat="1" applyFont="1" applyFill="1">
      <protection locked="0"/>
    </xf>
    <xf numFmtId="43" fontId="37" fillId="0" borderId="0" xfId="114" applyNumberFormat="1" applyFont="1" applyAlignment="1">
      <alignment vertical="center"/>
      <protection locked="0"/>
    </xf>
    <xf numFmtId="43" fontId="37" fillId="0" borderId="0" xfId="114" applyNumberFormat="1" applyFont="1" applyAlignment="1">
      <alignment horizontal="center" vertical="center"/>
      <protection locked="0"/>
    </xf>
    <xf numFmtId="43" fontId="37" fillId="0" borderId="0" xfId="114" applyNumberFormat="1" applyFont="1">
      <protection locked="0"/>
    </xf>
    <xf numFmtId="43" fontId="55" fillId="0" borderId="0" xfId="114" applyNumberFormat="1" applyFont="1">
      <protection locked="0"/>
    </xf>
    <xf numFmtId="43" fontId="37" fillId="0" borderId="8" xfId="114" applyNumberFormat="1" applyFont="1" applyBorder="1" applyAlignment="1">
      <alignment horizontal="center"/>
      <protection locked="0"/>
    </xf>
    <xf numFmtId="43" fontId="37" fillId="0" borderId="9" xfId="114" applyNumberFormat="1" applyFont="1" applyBorder="1">
      <protection locked="0"/>
    </xf>
    <xf numFmtId="43" fontId="37" fillId="0" borderId="10" xfId="114" applyNumberFormat="1" applyFont="1" applyBorder="1" applyAlignment="1">
      <alignment horizontal="center"/>
      <protection locked="0"/>
    </xf>
    <xf numFmtId="43" fontId="57" fillId="4" borderId="0" xfId="114" applyNumberFormat="1" applyFont="1" applyFill="1" applyBorder="1" applyAlignment="1" applyProtection="1">
      <alignment horizontal="left"/>
    </xf>
    <xf numFmtId="190" fontId="59" fillId="0" borderId="0" xfId="110" applyFont="1" applyAlignment="1">
      <alignment horizontal="centerContinuous" vertical="center"/>
      <protection locked="0"/>
    </xf>
    <xf numFmtId="176" fontId="60" fillId="0" borderId="0" xfId="110" applyNumberFormat="1" applyFont="1" applyAlignment="1">
      <alignment horizontal="centerContinuous" vertical="center"/>
      <protection locked="0"/>
    </xf>
    <xf numFmtId="176" fontId="60" fillId="0" borderId="0" xfId="110" applyNumberFormat="1" applyFont="1" applyAlignment="1">
      <alignment horizontal="center" vertical="center"/>
      <protection locked="0"/>
    </xf>
    <xf numFmtId="176" fontId="36" fillId="0" borderId="0" xfId="110" applyNumberFormat="1" applyFont="1" applyAlignment="1">
      <alignment vertical="center"/>
      <protection locked="0"/>
    </xf>
    <xf numFmtId="176" fontId="37" fillId="0" borderId="0" xfId="110" applyNumberFormat="1" applyFont="1" applyAlignment="1">
      <alignment vertical="center"/>
      <protection locked="0"/>
    </xf>
    <xf numFmtId="179" fontId="37" fillId="0" borderId="0" xfId="110" applyNumberFormat="1" applyFont="1" applyAlignment="1">
      <alignment vertical="center"/>
      <protection locked="0"/>
    </xf>
    <xf numFmtId="43" fontId="65" fillId="0" borderId="0" xfId="113" applyNumberFormat="1" applyFont="1" applyBorder="1" applyAlignment="1">
      <alignment vertical="center"/>
      <protection locked="0"/>
    </xf>
    <xf numFmtId="43" fontId="10" fillId="0" borderId="0" xfId="113" applyNumberFormat="1" applyFont="1" applyBorder="1" applyAlignment="1">
      <alignment vertical="center"/>
      <protection locked="0"/>
    </xf>
    <xf numFmtId="43" fontId="1" fillId="0" borderId="0" xfId="113" applyNumberFormat="1" applyFont="1" applyBorder="1" applyAlignment="1">
      <alignment horizontal="center" vertical="center"/>
      <protection locked="0"/>
    </xf>
    <xf numFmtId="43" fontId="65" fillId="0" borderId="0" xfId="133" applyNumberFormat="1" applyFont="1" applyBorder="1" applyAlignment="1">
      <alignment vertical="center"/>
    </xf>
    <xf numFmtId="43" fontId="1" fillId="0" borderId="0" xfId="133" applyNumberFormat="1" applyFont="1" applyBorder="1" applyAlignment="1">
      <alignment horizontal="center" vertical="center"/>
    </xf>
    <xf numFmtId="43" fontId="68" fillId="0" borderId="0" xfId="133" applyNumberFormat="1" applyFont="1" applyBorder="1" applyAlignment="1">
      <alignment vertical="center"/>
    </xf>
    <xf numFmtId="43" fontId="10" fillId="0" borderId="0" xfId="133" applyNumberFormat="1" applyFont="1" applyBorder="1" applyAlignment="1">
      <alignment horizontal="center" vertical="center"/>
    </xf>
    <xf numFmtId="43" fontId="6" fillId="0" borderId="0" xfId="113" applyNumberFormat="1" applyFont="1" applyBorder="1" applyAlignment="1">
      <alignment vertical="center"/>
      <protection locked="0"/>
    </xf>
    <xf numFmtId="43" fontId="10" fillId="0" borderId="0" xfId="113" applyNumberFormat="1" applyFont="1" applyBorder="1" applyAlignment="1">
      <alignment horizontal="center" vertical="center"/>
      <protection locked="0"/>
    </xf>
    <xf numFmtId="43" fontId="21" fillId="0" borderId="11" xfId="125" applyNumberFormat="1" applyFont="1" applyBorder="1" applyAlignment="1">
      <alignment vertical="center"/>
    </xf>
    <xf numFmtId="43" fontId="10" fillId="0" borderId="3" xfId="113" applyNumberFormat="1" applyFont="1" applyBorder="1" applyAlignment="1">
      <alignment horizontal="center" vertical="center"/>
      <protection locked="0"/>
    </xf>
    <xf numFmtId="43" fontId="10" fillId="0" borderId="11" xfId="125" applyNumberFormat="1" applyFont="1" applyBorder="1" applyAlignment="1">
      <alignment vertical="center"/>
    </xf>
    <xf numFmtId="43" fontId="10" fillId="0" borderId="12" xfId="113" applyNumberFormat="1" applyFont="1" applyBorder="1" applyAlignment="1">
      <alignment horizontal="center" vertical="center"/>
      <protection locked="0"/>
    </xf>
    <xf numFmtId="43" fontId="10" fillId="0" borderId="12" xfId="113" applyNumberFormat="1" applyFont="1" applyBorder="1" applyAlignment="1">
      <alignment vertical="center"/>
      <protection locked="0"/>
    </xf>
    <xf numFmtId="43" fontId="21" fillId="0" borderId="12" xfId="113" applyNumberFormat="1" applyFont="1" applyBorder="1" applyAlignment="1">
      <alignment horizontal="center" vertical="center"/>
      <protection locked="0"/>
    </xf>
    <xf numFmtId="43" fontId="21" fillId="0" borderId="0" xfId="113" applyNumberFormat="1" applyFont="1" applyBorder="1" applyAlignment="1">
      <alignment vertical="center"/>
      <protection locked="0"/>
    </xf>
    <xf numFmtId="43" fontId="21" fillId="0" borderId="13" xfId="125" applyNumberFormat="1" applyFont="1" applyFill="1" applyBorder="1" applyAlignment="1">
      <alignment vertical="center"/>
    </xf>
    <xf numFmtId="43" fontId="21" fillId="0" borderId="14" xfId="113" applyNumberFormat="1" applyFont="1" applyFill="1" applyBorder="1" applyAlignment="1">
      <alignment horizontal="center" vertical="center"/>
      <protection locked="0"/>
    </xf>
    <xf numFmtId="43" fontId="21" fillId="0" borderId="0" xfId="125" applyNumberFormat="1" applyFont="1" applyFill="1" applyBorder="1" applyAlignment="1">
      <alignment vertical="center"/>
    </xf>
    <xf numFmtId="43" fontId="21" fillId="0" borderId="0" xfId="113" applyNumberFormat="1" applyFont="1" applyFill="1" applyBorder="1" applyAlignment="1">
      <alignment horizontal="center" vertical="center"/>
      <protection locked="0"/>
    </xf>
    <xf numFmtId="43" fontId="21" fillId="0" borderId="0" xfId="113" applyNumberFormat="1" applyFont="1" applyFill="1" applyBorder="1" applyAlignment="1">
      <alignment vertical="center"/>
      <protection locked="0"/>
    </xf>
    <xf numFmtId="43" fontId="6" fillId="0" borderId="0" xfId="113" applyNumberFormat="1" applyFont="1" applyBorder="1" applyAlignment="1">
      <alignment horizontal="center" vertical="center"/>
      <protection locked="0"/>
    </xf>
    <xf numFmtId="43" fontId="10" fillId="0" borderId="0" xfId="113" applyNumberFormat="1" applyFont="1" applyBorder="1" applyAlignment="1">
      <alignment horizontal="right" vertical="center"/>
      <protection locked="0"/>
    </xf>
    <xf numFmtId="43" fontId="10" fillId="0" borderId="11" xfId="113" applyNumberFormat="1" applyFont="1" applyBorder="1" applyAlignment="1">
      <alignment vertical="center"/>
      <protection locked="0"/>
    </xf>
    <xf numFmtId="43" fontId="21" fillId="0" borderId="11" xfId="113" applyNumberFormat="1" applyFont="1" applyBorder="1" applyAlignment="1">
      <alignment vertical="center"/>
      <protection locked="0"/>
    </xf>
    <xf numFmtId="190" fontId="10" fillId="0" borderId="0" xfId="0" applyFont="1" applyFill="1" applyAlignment="1" applyProtection="1">
      <alignment horizontal="left" vertical="center"/>
      <protection hidden="1"/>
    </xf>
    <xf numFmtId="3" fontId="10" fillId="0" borderId="0" xfId="132" applyNumberFormat="1" applyFont="1" applyFill="1" applyBorder="1" applyAlignment="1" applyProtection="1">
      <alignment horizontal="center" vertical="center"/>
      <protection hidden="1"/>
    </xf>
    <xf numFmtId="190" fontId="13" fillId="0" borderId="0" xfId="0" applyFont="1" applyFill="1" applyAlignment="1" applyProtection="1">
      <alignment horizontal="left" vertical="center"/>
      <protection hidden="1"/>
    </xf>
    <xf numFmtId="190" fontId="10" fillId="0" borderId="0" xfId="0" applyFont="1" applyFill="1" applyAlignment="1" applyProtection="1">
      <protection hidden="1"/>
    </xf>
    <xf numFmtId="190" fontId="21" fillId="0" borderId="0" xfId="0" applyFont="1" applyFill="1" applyAlignment="1" applyProtection="1">
      <alignment horizontal="left" vertical="center"/>
      <protection hidden="1"/>
    </xf>
    <xf numFmtId="3" fontId="21" fillId="0" borderId="0" xfId="132" applyNumberFormat="1" applyFont="1" applyFill="1" applyBorder="1" applyAlignment="1" applyProtection="1">
      <alignment horizontal="left" vertical="center"/>
      <protection hidden="1"/>
    </xf>
    <xf numFmtId="190" fontId="12" fillId="10" borderId="16" xfId="0" applyFont="1" applyFill="1" applyBorder="1">
      <protection locked="0"/>
    </xf>
    <xf numFmtId="190" fontId="10" fillId="10" borderId="8" xfId="0" applyFont="1" applyFill="1" applyBorder="1" applyAlignment="1">
      <alignment horizontal="center"/>
      <protection locked="0"/>
    </xf>
    <xf numFmtId="190" fontId="10" fillId="10" borderId="18" xfId="0" applyFont="1" applyFill="1" applyBorder="1" applyAlignment="1">
      <alignment horizontal="center"/>
      <protection locked="0"/>
    </xf>
    <xf numFmtId="190" fontId="12" fillId="10" borderId="19" xfId="0" applyFont="1" applyFill="1" applyBorder="1">
      <protection locked="0"/>
    </xf>
    <xf numFmtId="190" fontId="10" fillId="10" borderId="8" xfId="0" applyFont="1" applyFill="1" applyBorder="1" applyAlignment="1">
      <alignment horizontal="center" vertical="center"/>
      <protection locked="0"/>
    </xf>
    <xf numFmtId="43" fontId="89" fillId="4" borderId="0" xfId="114" applyNumberFormat="1" applyFont="1" applyFill="1" applyBorder="1" applyAlignment="1" applyProtection="1"/>
    <xf numFmtId="43" fontId="38" fillId="0" borderId="20" xfId="132" applyFont="1" applyBorder="1" applyAlignment="1" applyProtection="1">
      <alignment vertical="center"/>
      <protection locked="0"/>
    </xf>
    <xf numFmtId="43" fontId="38" fillId="0" borderId="20" xfId="132" applyFont="1" applyBorder="1" applyAlignment="1" applyProtection="1">
      <alignment horizontal="center" vertical="center"/>
      <protection locked="0"/>
    </xf>
    <xf numFmtId="43" fontId="36" fillId="0" borderId="20" xfId="132" applyFont="1" applyBorder="1" applyAlignment="1" applyProtection="1">
      <alignment horizontal="center" vertical="center"/>
      <protection locked="0"/>
    </xf>
    <xf numFmtId="190" fontId="13" fillId="10" borderId="8" xfId="0" applyFont="1" applyFill="1" applyBorder="1">
      <protection locked="0"/>
    </xf>
    <xf numFmtId="190" fontId="13" fillId="10" borderId="18" xfId="0" applyFont="1" applyFill="1" applyBorder="1">
      <protection locked="0"/>
    </xf>
    <xf numFmtId="190" fontId="10" fillId="0" borderId="0" xfId="0" applyFont="1" applyFill="1" applyAlignment="1" applyProtection="1">
      <alignment vertical="center"/>
      <protection hidden="1"/>
    </xf>
    <xf numFmtId="190" fontId="0" fillId="0" borderId="0" xfId="0" applyFill="1" applyAlignment="1" applyProtection="1">
      <alignment vertical="center"/>
      <protection hidden="1"/>
    </xf>
    <xf numFmtId="176" fontId="0" fillId="0" borderId="0" xfId="0" applyNumberFormat="1" applyFill="1" applyAlignment="1" applyProtection="1">
      <alignment vertical="center"/>
      <protection hidden="1"/>
    </xf>
    <xf numFmtId="43" fontId="53" fillId="4" borderId="2" xfId="114" applyNumberFormat="1" applyFont="1" applyFill="1" applyBorder="1" applyAlignment="1" applyProtection="1">
      <alignment horizontal="center"/>
    </xf>
    <xf numFmtId="43" fontId="33" fillId="4" borderId="2" xfId="114" applyNumberFormat="1" applyFont="1" applyFill="1" applyBorder="1" applyAlignment="1" applyProtection="1">
      <alignment horizontal="center"/>
    </xf>
    <xf numFmtId="43" fontId="37" fillId="4" borderId="0" xfId="114" applyNumberFormat="1" applyFont="1" applyFill="1" applyAlignment="1" applyProtection="1">
      <alignment horizontal="center" vertical="center"/>
    </xf>
    <xf numFmtId="43" fontId="37" fillId="4" borderId="0" xfId="114" applyNumberFormat="1" applyFont="1" applyFill="1" applyProtection="1"/>
    <xf numFmtId="43" fontId="37" fillId="4" borderId="0" xfId="114" applyNumberFormat="1" applyFont="1" applyFill="1" applyAlignment="1" applyProtection="1">
      <alignment horizontal="center"/>
    </xf>
    <xf numFmtId="43" fontId="3" fillId="4" borderId="0" xfId="114" applyNumberFormat="1" applyFont="1" applyFill="1" applyProtection="1"/>
    <xf numFmtId="43" fontId="33" fillId="4" borderId="0" xfId="114" applyNumberFormat="1" applyFont="1" applyFill="1" applyProtection="1"/>
    <xf numFmtId="43" fontId="53" fillId="4" borderId="0" xfId="114" applyNumberFormat="1" applyFont="1" applyFill="1" applyProtection="1"/>
    <xf numFmtId="176" fontId="10" fillId="0" borderId="0" xfId="110" applyNumberFormat="1" applyFont="1" applyAlignment="1" applyProtection="1">
      <alignment vertical="center"/>
    </xf>
    <xf numFmtId="176" fontId="10" fillId="0" borderId="0" xfId="110" applyNumberFormat="1" applyFont="1" applyAlignment="1" applyProtection="1">
      <alignment horizontal="left" vertical="center"/>
    </xf>
    <xf numFmtId="176" fontId="61" fillId="0" borderId="0" xfId="110" applyNumberFormat="1" applyFont="1" applyAlignment="1" applyProtection="1">
      <alignment vertical="center"/>
    </xf>
    <xf numFmtId="176" fontId="36" fillId="0" borderId="0" xfId="110" applyNumberFormat="1" applyFont="1" applyAlignment="1" applyProtection="1">
      <alignment vertical="center"/>
    </xf>
    <xf numFmtId="176" fontId="62" fillId="0" borderId="0" xfId="110" applyNumberFormat="1" applyFont="1" applyAlignment="1" applyProtection="1">
      <alignment horizontal="center" vertical="center"/>
    </xf>
    <xf numFmtId="176" fontId="36" fillId="0" borderId="0" xfId="110" applyNumberFormat="1" applyFont="1" applyAlignment="1" applyProtection="1">
      <alignment horizontal="left" vertical="center"/>
    </xf>
    <xf numFmtId="176" fontId="21" fillId="0" borderId="21" xfId="110" applyNumberFormat="1" applyFont="1" applyBorder="1" applyAlignment="1" applyProtection="1">
      <alignment vertical="center"/>
    </xf>
    <xf numFmtId="176" fontId="37" fillId="0" borderId="22" xfId="110" applyNumberFormat="1" applyFont="1" applyBorder="1" applyAlignment="1" applyProtection="1">
      <alignment vertical="center"/>
    </xf>
    <xf numFmtId="176" fontId="37" fillId="0" borderId="23" xfId="110" applyNumberFormat="1" applyFont="1" applyBorder="1" applyAlignment="1" applyProtection="1">
      <alignment vertical="center"/>
    </xf>
    <xf numFmtId="176" fontId="13" fillId="0" borderId="24" xfId="110" applyNumberFormat="1" applyFont="1" applyBorder="1" applyAlignment="1" applyProtection="1">
      <alignment horizontal="left" vertical="center"/>
    </xf>
    <xf numFmtId="176" fontId="17" fillId="0" borderId="24" xfId="110" applyNumberFormat="1" applyFont="1" applyBorder="1" applyAlignment="1" applyProtection="1">
      <alignment horizontal="center" vertical="center"/>
    </xf>
    <xf numFmtId="176" fontId="17" fillId="0" borderId="24" xfId="110" applyNumberFormat="1" applyFont="1" applyBorder="1" applyAlignment="1" applyProtection="1">
      <alignment horizontal="left" vertical="center"/>
    </xf>
    <xf numFmtId="176" fontId="17" fillId="0" borderId="25" xfId="110" applyNumberFormat="1" applyFont="1" applyBorder="1" applyAlignment="1" applyProtection="1">
      <alignment horizontal="center" vertical="center"/>
    </xf>
    <xf numFmtId="43" fontId="3" fillId="0" borderId="0" xfId="114" applyNumberFormat="1" applyFont="1" applyAlignment="1" applyProtection="1">
      <alignment vertical="center"/>
    </xf>
    <xf numFmtId="190" fontId="59" fillId="0" borderId="0" xfId="110" applyFont="1" applyAlignment="1" applyProtection="1">
      <alignment horizontal="centerContinuous" vertical="center"/>
    </xf>
    <xf numFmtId="176" fontId="60" fillId="0" borderId="0" xfId="110" applyNumberFormat="1" applyFont="1" applyAlignment="1" applyProtection="1">
      <alignment horizontal="centerContinuous" vertical="center"/>
    </xf>
    <xf numFmtId="176" fontId="17" fillId="0" borderId="26" xfId="110" applyNumberFormat="1" applyFont="1" applyBorder="1" applyAlignment="1" applyProtection="1">
      <alignment horizontal="center" vertical="center"/>
    </xf>
    <xf numFmtId="176" fontId="10" fillId="0" borderId="21" xfId="110" applyNumberFormat="1" applyFont="1" applyBorder="1" applyAlignment="1" applyProtection="1">
      <alignment vertical="center"/>
    </xf>
    <xf numFmtId="43" fontId="66" fillId="0" borderId="0" xfId="113" applyNumberFormat="1" applyFont="1" applyBorder="1" applyAlignment="1" applyProtection="1">
      <alignment horizontal="center" vertical="center"/>
    </xf>
    <xf numFmtId="49" fontId="10" fillId="0" borderId="12" xfId="113" applyNumberFormat="1" applyFont="1" applyBorder="1" applyAlignment="1" applyProtection="1">
      <alignment horizontal="center" vertical="center"/>
    </xf>
    <xf numFmtId="181" fontId="10" fillId="0" borderId="11" xfId="134" applyFont="1" applyBorder="1" applyAlignment="1" applyProtection="1">
      <alignment vertical="center"/>
    </xf>
    <xf numFmtId="181" fontId="10" fillId="0" borderId="20" xfId="134" applyFont="1" applyBorder="1" applyAlignment="1" applyProtection="1">
      <alignment vertical="center"/>
    </xf>
    <xf numFmtId="181" fontId="36" fillId="0" borderId="11" xfId="134" applyFont="1" applyBorder="1" applyAlignment="1" applyProtection="1">
      <alignment vertical="center"/>
    </xf>
    <xf numFmtId="181" fontId="36" fillId="0" borderId="20" xfId="134" applyFont="1" applyBorder="1" applyAlignment="1" applyProtection="1">
      <alignment vertical="center"/>
    </xf>
    <xf numFmtId="49" fontId="10" fillId="0" borderId="11" xfId="113" applyNumberFormat="1" applyFont="1" applyBorder="1" applyAlignment="1" applyProtection="1">
      <alignment horizontal="center" vertical="center"/>
    </xf>
    <xf numFmtId="49" fontId="21" fillId="0" borderId="27" xfId="113" applyNumberFormat="1" applyFont="1" applyFill="1" applyBorder="1" applyAlignment="1" applyProtection="1">
      <alignment horizontal="center" vertical="center"/>
    </xf>
    <xf numFmtId="190" fontId="66" fillId="0" borderId="0" xfId="113" applyFont="1" applyAlignment="1" applyProtection="1">
      <alignment horizontal="center" vertical="center"/>
    </xf>
    <xf numFmtId="43" fontId="21" fillId="0" borderId="28" xfId="113" applyNumberFormat="1" applyFont="1" applyFill="1" applyBorder="1" applyAlignment="1" applyProtection="1">
      <alignment horizontal="left" vertical="center"/>
    </xf>
    <xf numFmtId="43" fontId="66" fillId="0" borderId="0" xfId="113" applyNumberFormat="1" applyFont="1" applyAlignment="1" applyProtection="1">
      <alignment horizontal="center" vertical="center"/>
    </xf>
    <xf numFmtId="43" fontId="65" fillId="0" borderId="0" xfId="133" applyNumberFormat="1" applyFont="1" applyBorder="1" applyAlignment="1" applyProtection="1">
      <alignment vertical="center"/>
    </xf>
    <xf numFmtId="43" fontId="10" fillId="0" borderId="0" xfId="113" applyNumberFormat="1" applyFont="1" applyAlignment="1" applyProtection="1">
      <alignment horizontal="right" vertical="center" wrapText="1"/>
    </xf>
    <xf numFmtId="43" fontId="1" fillId="0" borderId="0" xfId="133" applyNumberFormat="1" applyFont="1" applyBorder="1" applyAlignment="1" applyProtection="1">
      <alignment vertical="center"/>
    </xf>
    <xf numFmtId="43" fontId="10" fillId="0" borderId="12" xfId="133" applyNumberFormat="1" applyFont="1" applyBorder="1" applyAlignment="1" applyProtection="1">
      <alignment horizontal="center" vertical="center"/>
    </xf>
    <xf numFmtId="43" fontId="38" fillId="0" borderId="20" xfId="133" applyNumberFormat="1" applyFont="1" applyBorder="1" applyAlignment="1" applyProtection="1">
      <alignment vertical="center"/>
    </xf>
    <xf numFmtId="43" fontId="36" fillId="0" borderId="20" xfId="133" applyNumberFormat="1" applyFont="1" applyBorder="1" applyAlignment="1" applyProtection="1">
      <alignment vertical="center"/>
    </xf>
    <xf numFmtId="43" fontId="37" fillId="0" borderId="0" xfId="114" applyNumberFormat="1" applyFont="1" applyFill="1" applyAlignment="1" applyProtection="1">
      <alignment vertical="center"/>
    </xf>
    <xf numFmtId="43" fontId="3" fillId="0" borderId="9" xfId="114" applyNumberFormat="1" applyFont="1" applyBorder="1" applyAlignment="1" applyProtection="1">
      <alignment horizontal="center" vertical="center"/>
    </xf>
    <xf numFmtId="43" fontId="54" fillId="0" borderId="9" xfId="114" applyNumberFormat="1" applyFont="1" applyBorder="1" applyAlignment="1" applyProtection="1">
      <alignment horizontal="center"/>
    </xf>
    <xf numFmtId="43" fontId="37" fillId="0" borderId="9" xfId="114" applyNumberFormat="1" applyFont="1" applyBorder="1" applyAlignment="1" applyProtection="1">
      <alignment horizontal="center"/>
    </xf>
    <xf numFmtId="43" fontId="54" fillId="0" borderId="24" xfId="114" applyNumberFormat="1" applyFont="1" applyBorder="1" applyAlignment="1" applyProtection="1">
      <alignment horizontal="center"/>
    </xf>
    <xf numFmtId="43" fontId="51" fillId="0" borderId="0" xfId="114" applyNumberFormat="1" applyFont="1" applyFill="1" applyAlignment="1" applyProtection="1">
      <alignment horizontal="centerContinuous" vertical="center"/>
    </xf>
    <xf numFmtId="176" fontId="10" fillId="0" borderId="24" xfId="0" applyNumberFormat="1" applyFont="1" applyFill="1" applyBorder="1" applyAlignment="1" applyProtection="1">
      <alignment horizontal="left" vertical="center" shrinkToFit="1"/>
    </xf>
    <xf numFmtId="3" fontId="6" fillId="0" borderId="8" xfId="0" applyNumberFormat="1" applyFont="1" applyFill="1" applyBorder="1" applyAlignment="1" applyProtection="1">
      <alignment horizontal="center" vertical="center" shrinkToFit="1"/>
    </xf>
    <xf numFmtId="3" fontId="10" fillId="0" borderId="8" xfId="0" applyNumberFormat="1" applyFont="1" applyFill="1" applyBorder="1" applyAlignment="1" applyProtection="1">
      <alignment horizontal="center" vertical="center" shrinkToFit="1"/>
    </xf>
    <xf numFmtId="43" fontId="11" fillId="0" borderId="9" xfId="132" applyNumberFormat="1" applyFont="1" applyFill="1" applyBorder="1" applyAlignment="1" applyProtection="1">
      <alignment horizontal="right" vertical="center" shrinkToFit="1"/>
      <protection locked="0"/>
    </xf>
    <xf numFmtId="190" fontId="21" fillId="0" borderId="24" xfId="0" applyFont="1" applyFill="1" applyBorder="1" applyAlignment="1" applyProtection="1">
      <alignment horizontal="center" vertical="center" shrinkToFit="1"/>
    </xf>
    <xf numFmtId="176" fontId="19" fillId="0" borderId="24" xfId="0" applyNumberFormat="1" applyFont="1" applyFill="1" applyBorder="1" applyAlignment="1" applyProtection="1">
      <alignment horizontal="left" vertical="center" shrinkToFit="1"/>
    </xf>
    <xf numFmtId="176" fontId="21" fillId="0" borderId="24" xfId="0" applyNumberFormat="1" applyFont="1" applyFill="1" applyBorder="1" applyAlignment="1" applyProtection="1">
      <alignment horizontal="center" vertical="center" shrinkToFit="1"/>
    </xf>
    <xf numFmtId="176" fontId="21" fillId="0" borderId="29" xfId="0" applyNumberFormat="1" applyFont="1" applyFill="1" applyBorder="1" applyAlignment="1" applyProtection="1">
      <alignment horizontal="center" vertical="center" shrinkToFit="1"/>
    </xf>
    <xf numFmtId="3" fontId="10" fillId="0" borderId="30" xfId="0" applyNumberFormat="1" applyFont="1" applyFill="1" applyBorder="1" applyAlignment="1" applyProtection="1">
      <alignment horizontal="center" vertical="center" shrinkToFit="1"/>
    </xf>
    <xf numFmtId="190" fontId="10" fillId="8" borderId="0" xfId="0" applyFont="1" applyFill="1" applyAlignment="1" applyProtection="1">
      <alignment vertical="center"/>
    </xf>
    <xf numFmtId="190" fontId="3" fillId="8" borderId="0" xfId="0" applyFont="1" applyFill="1" applyAlignment="1" applyProtection="1">
      <alignment vertical="center"/>
    </xf>
    <xf numFmtId="43" fontId="10" fillId="0" borderId="0" xfId="113" applyNumberFormat="1" applyFont="1" applyBorder="1" applyAlignment="1" applyProtection="1">
      <alignment vertical="center"/>
    </xf>
    <xf numFmtId="43" fontId="10" fillId="0" borderId="0" xfId="113" applyNumberFormat="1" applyFont="1" applyBorder="1" applyAlignment="1" applyProtection="1">
      <alignment horizontal="right" vertical="center" wrapText="1"/>
    </xf>
    <xf numFmtId="43" fontId="37" fillId="0" borderId="8" xfId="135" applyNumberFormat="1" applyFont="1" applyBorder="1" applyProtection="1">
      <protection locked="0"/>
    </xf>
    <xf numFmtId="43" fontId="53" fillId="9" borderId="0" xfId="114" applyNumberFormat="1" applyFont="1" applyFill="1" applyAlignment="1" applyProtection="1">
      <alignment horizontal="centerContinuous" vertical="center"/>
      <protection locked="0"/>
    </xf>
    <xf numFmtId="43" fontId="54" fillId="0" borderId="0" xfId="114" applyNumberFormat="1" applyFont="1" applyAlignment="1" applyProtection="1">
      <alignment vertical="center"/>
      <protection locked="0"/>
    </xf>
    <xf numFmtId="43" fontId="3" fillId="0" borderId="8" xfId="114" applyNumberFormat="1" applyFont="1" applyBorder="1" applyAlignment="1" applyProtection="1">
      <alignment horizontal="center"/>
      <protection locked="0"/>
    </xf>
    <xf numFmtId="43" fontId="37" fillId="0" borderId="31" xfId="114" applyNumberFormat="1" applyFont="1" applyBorder="1" applyProtection="1">
      <protection locked="0"/>
    </xf>
    <xf numFmtId="43" fontId="53" fillId="9" borderId="0" xfId="114" applyNumberFormat="1" applyFont="1" applyFill="1" applyAlignment="1">
      <alignment horizontal="centerContinuous" vertical="center" wrapText="1"/>
      <protection locked="0"/>
    </xf>
    <xf numFmtId="43" fontId="37" fillId="0" borderId="0" xfId="114" applyNumberFormat="1" applyFont="1" applyAlignment="1">
      <alignment vertical="center" wrapText="1"/>
      <protection locked="0"/>
    </xf>
    <xf numFmtId="43" fontId="54" fillId="0" borderId="9" xfId="114" applyNumberFormat="1" applyFont="1" applyBorder="1" applyAlignment="1" applyProtection="1">
      <alignment horizontal="center" wrapText="1"/>
    </xf>
    <xf numFmtId="43" fontId="36" fillId="0" borderId="11" xfId="132" applyFont="1" applyBorder="1" applyAlignment="1" applyProtection="1">
      <alignment vertical="center"/>
    </xf>
    <xf numFmtId="43" fontId="10" fillId="0" borderId="20" xfId="132" applyFont="1" applyBorder="1" applyAlignment="1" applyProtection="1">
      <alignment vertical="center"/>
    </xf>
    <xf numFmtId="43" fontId="36" fillId="0" borderId="20" xfId="132" applyFont="1" applyBorder="1" applyAlignment="1" applyProtection="1">
      <alignment vertical="center"/>
    </xf>
    <xf numFmtId="43" fontId="36" fillId="0" borderId="0" xfId="132" applyFont="1" applyBorder="1" applyAlignment="1" applyProtection="1">
      <alignment vertical="center"/>
    </xf>
    <xf numFmtId="43" fontId="38" fillId="0" borderId="11" xfId="132" applyFont="1" applyBorder="1" applyAlignment="1" applyProtection="1">
      <alignment vertical="center"/>
    </xf>
    <xf numFmtId="43" fontId="38" fillId="0" borderId="0" xfId="132" applyFont="1" applyBorder="1" applyAlignment="1" applyProtection="1">
      <alignment vertical="center"/>
    </xf>
    <xf numFmtId="43" fontId="38" fillId="0" borderId="20" xfId="132" applyFont="1" applyBorder="1" applyAlignment="1" applyProtection="1">
      <alignment vertical="center"/>
    </xf>
    <xf numFmtId="43" fontId="36" fillId="0" borderId="20" xfId="132" applyFont="1" applyFill="1" applyBorder="1" applyAlignment="1" applyProtection="1">
      <alignment vertical="center"/>
    </xf>
    <xf numFmtId="43" fontId="38" fillId="0" borderId="27" xfId="132" applyFont="1" applyFill="1" applyBorder="1" applyAlignment="1" applyProtection="1">
      <alignment vertical="center"/>
    </xf>
    <xf numFmtId="43" fontId="38" fillId="0" borderId="32" xfId="132" applyFont="1" applyFill="1" applyBorder="1" applyAlignment="1" applyProtection="1">
      <alignment vertical="center"/>
    </xf>
    <xf numFmtId="43" fontId="38" fillId="0" borderId="7" xfId="132" applyFont="1" applyFill="1" applyBorder="1" applyAlignment="1" applyProtection="1">
      <alignment horizontal="right" vertical="center"/>
    </xf>
    <xf numFmtId="43" fontId="38" fillId="0" borderId="32" xfId="132" applyFont="1" applyFill="1" applyBorder="1" applyAlignment="1" applyProtection="1">
      <alignment horizontal="right" vertical="center"/>
    </xf>
    <xf numFmtId="43" fontId="36" fillId="0" borderId="20" xfId="132" applyFont="1" applyBorder="1" applyAlignment="1" applyProtection="1">
      <alignment vertical="center"/>
      <protection locked="0"/>
    </xf>
    <xf numFmtId="43" fontId="70" fillId="0" borderId="20" xfId="132" applyFont="1" applyBorder="1" applyAlignment="1" applyProtection="1">
      <alignment vertical="center"/>
      <protection locked="0"/>
    </xf>
    <xf numFmtId="43" fontId="71" fillId="0" borderId="20" xfId="132" applyFont="1" applyBorder="1" applyAlignment="1" applyProtection="1">
      <alignment vertical="center"/>
      <protection locked="0"/>
    </xf>
    <xf numFmtId="43" fontId="36" fillId="0" borderId="12" xfId="132" applyFont="1" applyBorder="1" applyAlignment="1" applyProtection="1">
      <alignment horizontal="center" vertical="center"/>
      <protection locked="0"/>
    </xf>
    <xf numFmtId="43" fontId="38" fillId="0" borderId="33" xfId="132" applyFont="1" applyFill="1" applyBorder="1" applyAlignment="1" applyProtection="1">
      <alignment vertical="center"/>
      <protection locked="0"/>
    </xf>
    <xf numFmtId="43" fontId="38" fillId="0" borderId="33" xfId="132" applyFont="1" applyBorder="1" applyAlignment="1" applyProtection="1">
      <alignment horizontal="center" vertical="center"/>
      <protection locked="0"/>
    </xf>
    <xf numFmtId="43" fontId="36" fillId="0" borderId="0" xfId="0" applyNumberFormat="1" applyFont="1" applyFill="1" applyAlignment="1" applyProtection="1">
      <alignment vertical="center"/>
      <protection locked="0"/>
    </xf>
    <xf numFmtId="43" fontId="14" fillId="0" borderId="9" xfId="132" applyNumberFormat="1" applyFont="1" applyFill="1" applyBorder="1" applyAlignment="1" applyProtection="1">
      <alignment horizontal="right" vertical="center" shrinkToFit="1"/>
      <protection locked="0"/>
    </xf>
    <xf numFmtId="43" fontId="14" fillId="0" borderId="34" xfId="132" applyNumberFormat="1" applyFont="1" applyFill="1" applyBorder="1" applyAlignment="1" applyProtection="1">
      <alignment horizontal="right" vertical="center" shrinkToFit="1"/>
      <protection locked="0"/>
    </xf>
    <xf numFmtId="43" fontId="15" fillId="0" borderId="0" xfId="114" applyNumberFormat="1" applyFont="1">
      <protection locked="0"/>
    </xf>
    <xf numFmtId="190" fontId="10" fillId="0" borderId="0" xfId="0" applyFont="1" applyFill="1" applyAlignment="1" applyProtection="1">
      <alignment horizontal="left" vertical="center" shrinkToFit="1"/>
      <protection hidden="1"/>
    </xf>
    <xf numFmtId="190" fontId="10" fillId="0" borderId="35" xfId="0" applyFont="1" applyBorder="1" applyAlignment="1" applyProtection="1">
      <alignment horizontal="centerContinuous" vertical="center"/>
    </xf>
    <xf numFmtId="190" fontId="10" fillId="0" borderId="8" xfId="0" applyFont="1" applyBorder="1" applyAlignment="1" applyProtection="1">
      <alignment horizontal="center" vertical="center"/>
    </xf>
    <xf numFmtId="190" fontId="10" fillId="0" borderId="8" xfId="0" applyFont="1" applyBorder="1" applyAlignment="1" applyProtection="1">
      <alignment horizontal="centerContinuous" vertical="center"/>
    </xf>
    <xf numFmtId="190" fontId="3" fillId="0" borderId="18" xfId="0" applyFont="1" applyBorder="1" applyAlignment="1" applyProtection="1">
      <alignment horizontal="center" vertical="center"/>
    </xf>
    <xf numFmtId="43" fontId="68" fillId="0" borderId="0" xfId="133" applyNumberFormat="1" applyFont="1" applyFill="1" applyBorder="1" applyAlignment="1">
      <alignment vertical="center"/>
    </xf>
    <xf numFmtId="43" fontId="36" fillId="0" borderId="0" xfId="132" applyFont="1" applyFill="1" applyAlignment="1" applyProtection="1">
      <alignment vertical="center"/>
      <protection locked="0"/>
    </xf>
    <xf numFmtId="43" fontId="36" fillId="0" borderId="0" xfId="132" applyFont="1" applyFill="1" applyAlignment="1" applyProtection="1">
      <alignment vertical="center"/>
      <protection hidden="1"/>
    </xf>
    <xf numFmtId="176" fontId="19" fillId="0" borderId="36" xfId="0" applyNumberFormat="1" applyFont="1" applyFill="1" applyBorder="1" applyAlignment="1" applyProtection="1">
      <alignment horizontal="left" vertical="center" shrinkToFit="1"/>
    </xf>
    <xf numFmtId="3" fontId="6" fillId="0" borderId="37" xfId="0" applyNumberFormat="1" applyFont="1" applyFill="1" applyBorder="1" applyAlignment="1" applyProtection="1">
      <alignment horizontal="center" vertical="center" shrinkToFit="1"/>
    </xf>
    <xf numFmtId="190" fontId="13" fillId="0" borderId="37" xfId="0" applyFont="1" applyFill="1" applyBorder="1" applyAlignment="1" applyProtection="1">
      <alignment horizontal="left" vertical="center" shrinkToFit="1"/>
    </xf>
    <xf numFmtId="190" fontId="10" fillId="0" borderId="24" xfId="0" applyFont="1" applyBorder="1" applyAlignment="1" applyProtection="1">
      <alignment horizontal="center" vertical="center"/>
    </xf>
    <xf numFmtId="190" fontId="10" fillId="0" borderId="18" xfId="0" applyFont="1" applyBorder="1" applyAlignment="1" applyProtection="1">
      <alignment horizontal="center" vertical="center"/>
    </xf>
    <xf numFmtId="190" fontId="21" fillId="0" borderId="39" xfId="0" applyFont="1" applyFill="1" applyBorder="1" applyAlignment="1" applyProtection="1">
      <alignment horizontal="center" vertical="center" shrinkToFit="1"/>
    </xf>
    <xf numFmtId="190" fontId="25" fillId="0" borderId="36" xfId="0" applyFont="1" applyFill="1" applyBorder="1" applyAlignment="1" applyProtection="1">
      <alignment horizontal="left" vertical="center" shrinkToFit="1"/>
    </xf>
    <xf numFmtId="190" fontId="10" fillId="0" borderId="24" xfId="0" applyFont="1" applyFill="1" applyBorder="1" applyAlignment="1" applyProtection="1">
      <alignment horizontal="left" vertical="center" shrinkToFit="1"/>
    </xf>
    <xf numFmtId="190" fontId="19" fillId="0" borderId="24" xfId="0" applyFont="1" applyFill="1" applyBorder="1" applyAlignment="1" applyProtection="1">
      <alignment horizontal="left" vertical="center" shrinkToFit="1"/>
    </xf>
    <xf numFmtId="190" fontId="21" fillId="0" borderId="29" xfId="0" applyFont="1" applyFill="1" applyBorder="1" applyAlignment="1" applyProtection="1">
      <alignment horizontal="center" vertical="center" shrinkToFit="1"/>
    </xf>
    <xf numFmtId="190" fontId="13" fillId="0" borderId="40" xfId="0" applyFont="1" applyFill="1" applyBorder="1" applyAlignment="1" applyProtection="1">
      <alignment horizontal="left" vertical="center" shrinkToFit="1"/>
      <protection locked="0"/>
    </xf>
    <xf numFmtId="176" fontId="10" fillId="0" borderId="0" xfId="110" applyNumberFormat="1" applyFont="1" applyBorder="1" applyAlignment="1" applyProtection="1">
      <alignment vertical="center"/>
    </xf>
    <xf numFmtId="176" fontId="10" fillId="0" borderId="0" xfId="110" applyNumberFormat="1" applyFont="1" applyBorder="1" applyAlignment="1" applyProtection="1">
      <alignment horizontal="left" vertical="center"/>
    </xf>
    <xf numFmtId="176" fontId="36" fillId="0" borderId="0" xfId="110" applyNumberFormat="1" applyFont="1" applyBorder="1" applyAlignment="1">
      <alignment vertical="center"/>
      <protection locked="0"/>
    </xf>
    <xf numFmtId="176" fontId="36" fillId="0" borderId="0" xfId="110" applyNumberFormat="1" applyFont="1" applyBorder="1" applyAlignment="1" applyProtection="1">
      <alignment horizontal="left" vertical="center"/>
    </xf>
    <xf numFmtId="176" fontId="10" fillId="0" borderId="0" xfId="110" applyNumberFormat="1" applyFont="1" applyFill="1" applyAlignment="1" applyProtection="1">
      <alignment vertical="center"/>
    </xf>
    <xf numFmtId="176" fontId="36" fillId="0" borderId="0" xfId="110" applyNumberFormat="1" applyFont="1" applyFill="1" applyAlignment="1">
      <alignment vertical="center"/>
      <protection locked="0"/>
    </xf>
    <xf numFmtId="176" fontId="10" fillId="0" borderId="0" xfId="110" applyNumberFormat="1" applyFont="1" applyFill="1" applyAlignment="1" applyProtection="1">
      <alignment horizontal="left" vertical="center"/>
    </xf>
    <xf numFmtId="176" fontId="36" fillId="0" borderId="0" xfId="110" applyNumberFormat="1" applyFont="1" applyFill="1" applyAlignment="1" applyProtection="1">
      <alignment vertical="center"/>
    </xf>
    <xf numFmtId="176" fontId="62" fillId="0" borderId="0" xfId="110" applyNumberFormat="1" applyFont="1" applyFill="1" applyAlignment="1" applyProtection="1">
      <alignment horizontal="center" vertical="center"/>
    </xf>
    <xf numFmtId="43" fontId="3" fillId="0" borderId="0" xfId="114" applyNumberFormat="1" applyFont="1" applyFill="1" applyAlignment="1" applyProtection="1">
      <alignment vertical="center"/>
    </xf>
    <xf numFmtId="43" fontId="37" fillId="0" borderId="0" xfId="114" applyNumberFormat="1" applyFont="1" applyFill="1" applyAlignment="1">
      <alignment vertical="center"/>
      <protection locked="0"/>
    </xf>
    <xf numFmtId="176" fontId="36" fillId="0" borderId="0" xfId="110" applyNumberFormat="1" applyFont="1" applyFill="1" applyAlignment="1" applyProtection="1">
      <alignment horizontal="left" vertical="center"/>
    </xf>
    <xf numFmtId="190" fontId="3" fillId="0" borderId="0" xfId="0" applyFont="1" applyFill="1" applyAlignment="1">
      <alignment horizontal="center"/>
      <protection locked="0"/>
    </xf>
    <xf numFmtId="190" fontId="3" fillId="0" borderId="0" xfId="0" applyFont="1" applyFill="1" applyBorder="1">
      <protection locked="0"/>
    </xf>
    <xf numFmtId="190" fontId="3" fillId="0" borderId="0" xfId="0" applyFont="1" applyFill="1">
      <protection locked="0"/>
    </xf>
    <xf numFmtId="190" fontId="3" fillId="0" borderId="0" xfId="0" applyFont="1" applyFill="1" applyBorder="1" applyAlignment="1">
      <alignment horizontal="center"/>
      <protection locked="0"/>
    </xf>
    <xf numFmtId="43" fontId="3" fillId="0" borderId="0" xfId="132" applyFont="1" applyFill="1" applyBorder="1"/>
    <xf numFmtId="190" fontId="11" fillId="0" borderId="0" xfId="0" applyFont="1" applyFill="1" applyBorder="1">
      <protection locked="0"/>
    </xf>
    <xf numFmtId="43" fontId="3" fillId="0" borderId="0" xfId="132" applyFont="1" applyFill="1"/>
    <xf numFmtId="190" fontId="11" fillId="0" borderId="24" xfId="0" applyFont="1" applyFill="1" applyBorder="1" applyAlignment="1">
      <alignment horizontal="left"/>
      <protection locked="0"/>
    </xf>
    <xf numFmtId="209" fontId="11" fillId="0" borderId="9" xfId="0" applyNumberFormat="1" applyFont="1" applyFill="1" applyBorder="1" applyAlignment="1">
      <alignment horizontal="center"/>
      <protection locked="0"/>
    </xf>
    <xf numFmtId="190" fontId="11" fillId="0" borderId="24" xfId="0" applyFont="1" applyFill="1" applyBorder="1">
      <protection locked="0"/>
    </xf>
    <xf numFmtId="190" fontId="11" fillId="0" borderId="26" xfId="0" applyFont="1" applyFill="1" applyBorder="1">
      <protection locked="0"/>
    </xf>
    <xf numFmtId="209" fontId="11" fillId="0" borderId="41" xfId="0" applyNumberFormat="1" applyFont="1" applyFill="1" applyBorder="1" applyAlignment="1">
      <alignment horizontal="center"/>
      <protection locked="0"/>
    </xf>
    <xf numFmtId="190" fontId="11" fillId="0" borderId="29" xfId="0" applyFont="1" applyFill="1" applyBorder="1">
      <protection locked="0"/>
    </xf>
    <xf numFmtId="209" fontId="11" fillId="0" borderId="34" xfId="0" applyNumberFormat="1" applyFont="1" applyFill="1" applyBorder="1" applyAlignment="1">
      <alignment horizontal="center"/>
      <protection locked="0"/>
    </xf>
    <xf numFmtId="190" fontId="3" fillId="4" borderId="36" xfId="0" applyFont="1" applyFill="1" applyBorder="1" applyAlignment="1">
      <alignment horizontal="left"/>
      <protection locked="0"/>
    </xf>
    <xf numFmtId="43" fontId="11" fillId="4" borderId="37" xfId="132" applyFont="1" applyFill="1" applyBorder="1" applyAlignment="1">
      <alignment horizontal="right"/>
    </xf>
    <xf numFmtId="209" fontId="11" fillId="4" borderId="37" xfId="0" applyNumberFormat="1" applyFont="1" applyFill="1" applyBorder="1" applyAlignment="1">
      <alignment horizontal="right"/>
      <protection locked="0"/>
    </xf>
    <xf numFmtId="209" fontId="11" fillId="4" borderId="40" xfId="0" applyNumberFormat="1" applyFont="1" applyFill="1" applyBorder="1" applyAlignment="1">
      <alignment horizontal="center"/>
      <protection locked="0"/>
    </xf>
    <xf numFmtId="190" fontId="3" fillId="4" borderId="24" xfId="0" applyFont="1" applyFill="1" applyBorder="1" applyAlignment="1">
      <alignment horizontal="left"/>
      <protection locked="0"/>
    </xf>
    <xf numFmtId="209" fontId="11" fillId="4" borderId="9" xfId="0" applyNumberFormat="1" applyFont="1" applyFill="1" applyBorder="1" applyAlignment="1">
      <alignment horizontal="center"/>
      <protection locked="0"/>
    </xf>
    <xf numFmtId="190" fontId="3" fillId="4" borderId="24" xfId="0" applyFont="1" applyFill="1" applyBorder="1">
      <protection locked="0"/>
    </xf>
    <xf numFmtId="190" fontId="3" fillId="0" borderId="0" xfId="0" applyFont="1" applyFill="1" applyAlignment="1">
      <alignment horizontal="center" vertical="center" shrinkToFit="1"/>
      <protection locked="0"/>
    </xf>
    <xf numFmtId="190" fontId="33" fillId="0" borderId="18" xfId="0" applyFont="1" applyFill="1" applyBorder="1" applyAlignment="1">
      <alignment horizontal="center" vertical="center" shrinkToFit="1"/>
      <protection locked="0"/>
    </xf>
    <xf numFmtId="43" fontId="33" fillId="0" borderId="18" xfId="132" applyFont="1" applyFill="1" applyBorder="1" applyAlignment="1">
      <alignment horizontal="center" vertical="center" shrinkToFit="1"/>
    </xf>
    <xf numFmtId="176" fontId="36" fillId="0" borderId="0" xfId="110" applyNumberFormat="1" applyFont="1" applyFill="1" applyAlignment="1">
      <alignment vertical="center" shrinkToFit="1"/>
      <protection locked="0"/>
    </xf>
    <xf numFmtId="190" fontId="11" fillId="4" borderId="37" xfId="0" applyFont="1" applyFill="1" applyBorder="1" applyAlignment="1">
      <alignment horizontal="center" vertical="center" shrinkToFit="1"/>
      <protection locked="0"/>
    </xf>
    <xf numFmtId="190" fontId="3" fillId="0" borderId="8" xfId="0" applyFont="1" applyFill="1" applyBorder="1" applyAlignment="1">
      <alignment horizontal="center" shrinkToFit="1"/>
      <protection locked="0"/>
    </xf>
    <xf numFmtId="190" fontId="3" fillId="4" borderId="8" xfId="0" applyFont="1" applyFill="1" applyBorder="1" applyAlignment="1">
      <alignment horizontal="center" shrinkToFit="1"/>
      <protection locked="0"/>
    </xf>
    <xf numFmtId="190" fontId="11" fillId="4" borderId="8" xfId="0" applyFont="1" applyFill="1" applyBorder="1" applyAlignment="1">
      <alignment horizontal="center" shrinkToFit="1"/>
      <protection locked="0"/>
    </xf>
    <xf numFmtId="190" fontId="3" fillId="0" borderId="38" xfId="0" applyFont="1" applyFill="1" applyBorder="1" applyAlignment="1">
      <alignment horizontal="center" shrinkToFit="1"/>
      <protection locked="0"/>
    </xf>
    <xf numFmtId="190" fontId="3" fillId="0" borderId="30" xfId="0" applyFont="1" applyFill="1" applyBorder="1" applyAlignment="1">
      <alignment horizontal="center" shrinkToFit="1"/>
      <protection locked="0"/>
    </xf>
    <xf numFmtId="190" fontId="3" fillId="0" borderId="0" xfId="0" applyFont="1" applyFill="1" applyBorder="1" applyAlignment="1">
      <alignment horizontal="center" shrinkToFit="1"/>
      <protection locked="0"/>
    </xf>
    <xf numFmtId="190" fontId="3" fillId="0" borderId="0" xfId="0" applyFont="1" applyFill="1" applyAlignment="1">
      <alignment horizontal="center" shrinkToFit="1"/>
      <protection locked="0"/>
    </xf>
    <xf numFmtId="43" fontId="37" fillId="0" borderId="8" xfId="132" applyFont="1" applyBorder="1" applyAlignment="1" applyProtection="1">
      <alignment vertical="center"/>
    </xf>
    <xf numFmtId="43" fontId="37" fillId="0" borderId="9" xfId="132" applyFont="1" applyBorder="1" applyAlignment="1" applyProtection="1">
      <alignment vertical="center"/>
    </xf>
    <xf numFmtId="43" fontId="53" fillId="0" borderId="38" xfId="132" applyFont="1" applyBorder="1" applyAlignment="1" applyProtection="1">
      <alignment vertical="center"/>
    </xf>
    <xf numFmtId="43" fontId="53" fillId="0" borderId="41" xfId="132" applyFont="1" applyBorder="1" applyAlignment="1" applyProtection="1">
      <alignment vertical="center"/>
    </xf>
    <xf numFmtId="43" fontId="53" fillId="0" borderId="42" xfId="132" applyFont="1" applyBorder="1" applyAlignment="1" applyProtection="1">
      <alignment vertical="center"/>
      <protection locked="0"/>
    </xf>
    <xf numFmtId="43" fontId="53" fillId="0" borderId="43" xfId="132" applyFont="1" applyBorder="1" applyAlignment="1" applyProtection="1">
      <alignment vertical="center"/>
      <protection locked="0"/>
    </xf>
    <xf numFmtId="43" fontId="53" fillId="0" borderId="8" xfId="132" applyFont="1" applyBorder="1" applyAlignment="1" applyProtection="1">
      <alignment vertical="center"/>
    </xf>
    <xf numFmtId="43" fontId="53" fillId="0" borderId="9" xfId="132" applyFont="1" applyBorder="1" applyAlignment="1" applyProtection="1">
      <alignment vertical="center"/>
    </xf>
    <xf numFmtId="43" fontId="53" fillId="0" borderId="38" xfId="132" applyFont="1" applyBorder="1" applyAlignment="1" applyProtection="1">
      <alignment vertical="center"/>
      <protection locked="0"/>
    </xf>
    <xf numFmtId="43" fontId="53" fillId="0" borderId="41" xfId="132" applyFont="1" applyBorder="1" applyAlignment="1" applyProtection="1">
      <alignment vertical="center"/>
      <protection locked="0"/>
    </xf>
    <xf numFmtId="43" fontId="53" fillId="0" borderId="22" xfId="132" applyFont="1" applyBorder="1" applyAlignment="1" applyProtection="1">
      <alignment vertical="center"/>
    </xf>
    <xf numFmtId="43" fontId="37" fillId="0" borderId="22" xfId="132" applyFont="1" applyBorder="1" applyAlignment="1" applyProtection="1">
      <alignment vertical="center"/>
    </xf>
    <xf numFmtId="176" fontId="21" fillId="0" borderId="37" xfId="110" applyNumberFormat="1" applyFont="1" applyBorder="1" applyAlignment="1" applyProtection="1">
      <alignment horizontal="center" vertical="center"/>
    </xf>
    <xf numFmtId="176" fontId="21" fillId="0" borderId="18" xfId="110" applyNumberFormat="1" applyFont="1" applyBorder="1" applyAlignment="1" applyProtection="1">
      <alignment horizontal="center" vertical="center"/>
    </xf>
    <xf numFmtId="190" fontId="13" fillId="0" borderId="37" xfId="0" applyFont="1" applyFill="1" applyBorder="1" applyAlignment="1" applyProtection="1">
      <alignment horizontal="center" vertical="center" shrinkToFit="1"/>
    </xf>
    <xf numFmtId="43" fontId="11" fillId="0" borderId="8" xfId="132" applyNumberFormat="1" applyFont="1" applyFill="1" applyBorder="1" applyAlignment="1" applyProtection="1">
      <alignment horizontal="center" vertical="center" shrinkToFit="1"/>
    </xf>
    <xf numFmtId="190" fontId="36" fillId="0" borderId="37" xfId="0" applyFont="1" applyFill="1" applyBorder="1" applyAlignment="1" applyProtection="1">
      <alignment horizontal="center" vertical="center" shrinkToFit="1"/>
    </xf>
    <xf numFmtId="190" fontId="36" fillId="0" borderId="37" xfId="0" applyFont="1" applyFill="1" applyBorder="1" applyAlignment="1" applyProtection="1">
      <alignment horizontal="left" vertical="center" shrinkToFit="1"/>
    </xf>
    <xf numFmtId="43" fontId="37" fillId="0" borderId="8" xfId="132" applyNumberFormat="1" applyFont="1" applyFill="1" applyBorder="1" applyAlignment="1" applyProtection="1">
      <alignment horizontal="right" vertical="center" shrinkToFit="1"/>
    </xf>
    <xf numFmtId="10" fontId="37" fillId="0" borderId="8" xfId="108" applyNumberFormat="1" applyFont="1" applyFill="1" applyBorder="1" applyAlignment="1" applyProtection="1">
      <alignment horizontal="center" vertical="center" shrinkToFit="1"/>
    </xf>
    <xf numFmtId="43" fontId="92" fillId="0" borderId="8" xfId="132" applyNumberFormat="1" applyFont="1" applyFill="1" applyBorder="1" applyAlignment="1" applyProtection="1">
      <alignment horizontal="right" vertical="center" shrinkToFit="1"/>
    </xf>
    <xf numFmtId="43" fontId="92" fillId="0" borderId="30" xfId="132" applyNumberFormat="1" applyFont="1" applyFill="1" applyBorder="1" applyAlignment="1" applyProtection="1">
      <alignment horizontal="right" vertical="center" shrinkToFit="1"/>
    </xf>
    <xf numFmtId="3" fontId="10" fillId="0" borderId="37" xfId="0" applyNumberFormat="1" applyFont="1" applyFill="1" applyBorder="1" applyAlignment="1" applyProtection="1">
      <alignment horizontal="center" vertical="center" shrinkToFit="1"/>
    </xf>
    <xf numFmtId="43" fontId="92" fillId="0" borderId="18" xfId="132" applyNumberFormat="1" applyFont="1" applyFill="1" applyBorder="1" applyAlignment="1" applyProtection="1">
      <alignment horizontal="right" vertical="center" shrinkToFit="1"/>
    </xf>
    <xf numFmtId="43" fontId="92" fillId="0" borderId="34" xfId="132" applyNumberFormat="1" applyFont="1" applyFill="1" applyBorder="1" applyAlignment="1" applyProtection="1">
      <alignment horizontal="right" vertical="center" shrinkToFit="1"/>
    </xf>
    <xf numFmtId="43" fontId="38" fillId="0" borderId="22" xfId="132" applyFont="1" applyFill="1" applyBorder="1" applyAlignment="1" applyProtection="1">
      <alignment vertical="center" shrinkToFit="1"/>
    </xf>
    <xf numFmtId="43" fontId="36" fillId="0" borderId="22" xfId="132" applyFont="1" applyFill="1" applyBorder="1" applyAlignment="1" applyProtection="1">
      <alignment vertical="center" shrinkToFit="1"/>
    </xf>
    <xf numFmtId="43" fontId="36" fillId="0" borderId="8" xfId="132" applyFont="1" applyFill="1" applyBorder="1" applyAlignment="1" applyProtection="1">
      <alignment vertical="center" shrinkToFit="1"/>
    </xf>
    <xf numFmtId="190" fontId="0" fillId="0" borderId="37" xfId="0" applyFill="1" applyBorder="1" applyAlignment="1" applyProtection="1">
      <alignment vertical="center" shrinkToFit="1"/>
    </xf>
    <xf numFmtId="10" fontId="37" fillId="0" borderId="8" xfId="108" applyNumberFormat="1" applyFont="1" applyFill="1" applyBorder="1" applyAlignment="1" applyProtection="1">
      <alignment horizontal="right" vertical="center" shrinkToFit="1"/>
    </xf>
    <xf numFmtId="190" fontId="34" fillId="0" borderId="37" xfId="0" applyFont="1" applyFill="1" applyBorder="1" applyAlignment="1" applyProtection="1">
      <alignment vertical="center" shrinkToFit="1"/>
    </xf>
    <xf numFmtId="43" fontId="37" fillId="0" borderId="8" xfId="132" applyFont="1" applyFill="1" applyBorder="1" applyAlignment="1">
      <alignment horizontal="right" shrinkToFit="1"/>
    </xf>
    <xf numFmtId="208" fontId="37" fillId="0" borderId="8" xfId="0" applyNumberFormat="1" applyFont="1" applyFill="1" applyBorder="1" applyAlignment="1">
      <alignment horizontal="right"/>
      <protection locked="0"/>
    </xf>
    <xf numFmtId="43" fontId="37" fillId="4" borderId="8" xfId="132" applyFont="1" applyFill="1" applyBorder="1" applyAlignment="1">
      <alignment horizontal="right" shrinkToFit="1"/>
    </xf>
    <xf numFmtId="208" fontId="37" fillId="4" borderId="8" xfId="0" applyNumberFormat="1" applyFont="1" applyFill="1" applyBorder="1" applyAlignment="1">
      <alignment horizontal="right"/>
      <protection locked="0"/>
    </xf>
    <xf numFmtId="43" fontId="37" fillId="0" borderId="8" xfId="132" applyFont="1" applyFill="1" applyBorder="1" applyAlignment="1" applyProtection="1">
      <alignment horizontal="center"/>
      <protection locked="0"/>
    </xf>
    <xf numFmtId="43" fontId="37" fillId="4" borderId="8" xfId="132" applyFont="1" applyFill="1" applyBorder="1" applyAlignment="1" applyProtection="1">
      <alignment horizontal="center"/>
      <protection locked="0"/>
    </xf>
    <xf numFmtId="208" fontId="37" fillId="4" borderId="8" xfId="0" applyNumberFormat="1" applyFont="1" applyFill="1" applyBorder="1" applyAlignment="1">
      <alignment horizontal="center"/>
      <protection locked="0"/>
    </xf>
    <xf numFmtId="43" fontId="37" fillId="0" borderId="38" xfId="132" applyFont="1" applyFill="1" applyBorder="1" applyAlignment="1">
      <alignment shrinkToFit="1"/>
    </xf>
    <xf numFmtId="208" fontId="37" fillId="0" borderId="38" xfId="0" applyNumberFormat="1" applyFont="1" applyFill="1" applyBorder="1" applyAlignment="1">
      <alignment horizontal="right"/>
      <protection locked="0"/>
    </xf>
    <xf numFmtId="43" fontId="37" fillId="0" borderId="38" xfId="132" applyFont="1" applyFill="1" applyBorder="1" applyAlignment="1">
      <alignment horizontal="right" shrinkToFit="1"/>
    </xf>
    <xf numFmtId="43" fontId="37" fillId="0" borderId="30" xfId="132" applyFont="1" applyFill="1" applyBorder="1" applyAlignment="1">
      <alignment shrinkToFit="1"/>
    </xf>
    <xf numFmtId="208" fontId="37" fillId="0" borderId="30" xfId="0" applyNumberFormat="1" applyFont="1" applyFill="1" applyBorder="1" applyAlignment="1">
      <alignment horizontal="right"/>
      <protection locked="0"/>
    </xf>
    <xf numFmtId="43" fontId="37" fillId="0" borderId="30" xfId="132" applyFont="1" applyFill="1" applyBorder="1" applyAlignment="1">
      <alignment horizontal="right" shrinkToFit="1"/>
    </xf>
    <xf numFmtId="190" fontId="0" fillId="0" borderId="0" xfId="0" applyFill="1" applyBorder="1" applyAlignment="1" applyProtection="1">
      <alignment vertical="center"/>
      <protection hidden="1"/>
    </xf>
    <xf numFmtId="14" fontId="23" fillId="8" borderId="0" xfId="0" applyNumberFormat="1" applyFont="1" applyFill="1" applyAlignment="1" applyProtection="1">
      <alignment vertical="center"/>
    </xf>
    <xf numFmtId="190" fontId="0" fillId="8" borderId="0" xfId="0" applyFill="1" applyAlignment="1" applyProtection="1">
      <alignment vertical="center"/>
    </xf>
    <xf numFmtId="14" fontId="9" fillId="8" borderId="0" xfId="0" applyNumberFormat="1" applyFont="1" applyFill="1" applyAlignment="1" applyProtection="1">
      <alignment horizontal="center" vertical="center"/>
    </xf>
    <xf numFmtId="14" fontId="10" fillId="8" borderId="0" xfId="132" applyNumberFormat="1" applyFont="1" applyFill="1" applyAlignment="1" applyProtection="1">
      <alignment vertical="center"/>
    </xf>
    <xf numFmtId="14" fontId="9" fillId="8" borderId="0" xfId="132" applyNumberFormat="1" applyFont="1" applyFill="1" applyAlignment="1" applyProtection="1">
      <alignment vertical="center"/>
    </xf>
    <xf numFmtId="190" fontId="10" fillId="8" borderId="44" xfId="0" applyFont="1" applyFill="1" applyBorder="1" applyAlignment="1" applyProtection="1">
      <alignment horizontal="center" vertical="center" wrapText="1" shrinkToFit="1"/>
    </xf>
    <xf numFmtId="190" fontId="10" fillId="8" borderId="45" xfId="0" applyFont="1" applyFill="1" applyBorder="1" applyAlignment="1" applyProtection="1">
      <alignment horizontal="center" vertical="center" wrapText="1" shrinkToFit="1"/>
    </xf>
    <xf numFmtId="3" fontId="6" fillId="8" borderId="8" xfId="0" applyNumberFormat="1" applyFont="1" applyFill="1" applyBorder="1" applyAlignment="1" applyProtection="1">
      <alignment horizontal="center" vertical="center" shrinkToFit="1"/>
    </xf>
    <xf numFmtId="3" fontId="6" fillId="8" borderId="30" xfId="0" applyNumberFormat="1" applyFont="1" applyFill="1" applyBorder="1" applyAlignment="1" applyProtection="1">
      <alignment horizontal="center" vertical="center" shrinkToFit="1"/>
    </xf>
    <xf numFmtId="43" fontId="37" fillId="8" borderId="8" xfId="132" applyNumberFormat="1" applyFont="1" applyFill="1" applyBorder="1" applyAlignment="1" applyProtection="1">
      <alignment horizontal="right" vertical="center" shrinkToFit="1"/>
    </xf>
    <xf numFmtId="43" fontId="37" fillId="8" borderId="8" xfId="132" applyNumberFormat="1" applyFont="1" applyFill="1" applyBorder="1" applyAlignment="1" applyProtection="1">
      <alignment horizontal="right" vertical="center" shrinkToFit="1"/>
      <protection locked="0"/>
    </xf>
    <xf numFmtId="3" fontId="10" fillId="8" borderId="8" xfId="0" applyNumberFormat="1" applyFont="1" applyFill="1" applyBorder="1" applyAlignment="1" applyProtection="1">
      <alignment horizontal="center" vertical="center" shrinkToFit="1"/>
    </xf>
    <xf numFmtId="43" fontId="53" fillId="8" borderId="8" xfId="132" applyNumberFormat="1" applyFont="1" applyFill="1" applyBorder="1" applyAlignment="1" applyProtection="1">
      <alignment horizontal="right" vertical="center" shrinkToFit="1"/>
    </xf>
    <xf numFmtId="3" fontId="10" fillId="8" borderId="30" xfId="0" applyNumberFormat="1" applyFont="1" applyFill="1" applyBorder="1" applyAlignment="1" applyProtection="1">
      <alignment horizontal="center" vertical="center" shrinkToFit="1"/>
    </xf>
    <xf numFmtId="43" fontId="37" fillId="8" borderId="9" xfId="132" applyNumberFormat="1" applyFont="1" applyFill="1" applyBorder="1" applyAlignment="1" applyProtection="1">
      <alignment horizontal="right" vertical="center" shrinkToFit="1"/>
    </xf>
    <xf numFmtId="176" fontId="37" fillId="8" borderId="0" xfId="132" applyNumberFormat="1" applyFont="1" applyFill="1" applyAlignment="1" applyProtection="1">
      <alignment horizontal="center" vertical="center" shrinkToFit="1"/>
    </xf>
    <xf numFmtId="9" fontId="10" fillId="8" borderId="0" xfId="108" applyFont="1" applyFill="1" applyAlignment="1" applyProtection="1">
      <alignment horizontal="right" vertical="center"/>
    </xf>
    <xf numFmtId="43" fontId="36" fillId="8" borderId="37" xfId="132" applyFont="1" applyFill="1" applyBorder="1" applyAlignment="1" applyProtection="1">
      <alignment vertical="center"/>
    </xf>
    <xf numFmtId="43" fontId="36" fillId="8" borderId="40" xfId="132" applyFont="1" applyFill="1" applyBorder="1" applyAlignment="1" applyProtection="1">
      <alignment vertical="center" shrinkToFit="1"/>
    </xf>
    <xf numFmtId="43" fontId="36" fillId="8" borderId="8" xfId="132" applyFont="1" applyFill="1" applyBorder="1" applyAlignment="1" applyProtection="1">
      <alignment vertical="center"/>
    </xf>
    <xf numFmtId="43" fontId="36" fillId="8" borderId="9" xfId="132" applyFont="1" applyFill="1" applyBorder="1" applyAlignment="1" applyProtection="1">
      <alignment vertical="center" shrinkToFit="1"/>
    </xf>
    <xf numFmtId="43" fontId="38" fillId="8" borderId="8" xfId="132" applyFont="1" applyFill="1" applyBorder="1" applyAlignment="1" applyProtection="1">
      <alignment vertical="center"/>
    </xf>
    <xf numFmtId="43" fontId="38" fillId="8" borderId="37" xfId="132" applyFont="1" applyFill="1" applyBorder="1" applyAlignment="1" applyProtection="1">
      <alignment vertical="center" shrinkToFit="1"/>
    </xf>
    <xf numFmtId="43" fontId="36" fillId="8" borderId="8" xfId="132" applyFont="1" applyFill="1" applyBorder="1" applyAlignment="1" applyProtection="1">
      <alignment vertical="center" shrinkToFit="1"/>
    </xf>
    <xf numFmtId="43" fontId="38" fillId="8" borderId="8" xfId="132" applyFont="1" applyFill="1" applyBorder="1" applyAlignment="1" applyProtection="1">
      <alignment vertical="center" shrinkToFit="1"/>
    </xf>
    <xf numFmtId="43" fontId="37" fillId="0" borderId="8" xfId="132" applyFont="1" applyBorder="1" applyAlignment="1" applyProtection="1">
      <alignment vertical="center"/>
      <protection locked="0"/>
    </xf>
    <xf numFmtId="178" fontId="10" fillId="6" borderId="4" xfId="0" applyNumberFormat="1" applyFont="1" applyFill="1" applyBorder="1" applyAlignment="1" applyProtection="1">
      <alignment horizontal="left" vertical="center" shrinkToFit="1"/>
    </xf>
    <xf numFmtId="177" fontId="58" fillId="11" borderId="0" xfId="114" applyNumberFormat="1" applyFont="1" applyFill="1" applyAlignment="1" applyProtection="1">
      <alignment vertical="center"/>
    </xf>
    <xf numFmtId="43" fontId="58" fillId="11" borderId="0" xfId="114" applyNumberFormat="1" applyFont="1" applyFill="1" applyAlignment="1" applyProtection="1">
      <alignment wrapText="1"/>
    </xf>
    <xf numFmtId="43" fontId="58" fillId="11" borderId="0" xfId="114" applyNumberFormat="1" applyFont="1" applyFill="1" applyAlignment="1" applyProtection="1">
      <alignment horizontal="center"/>
    </xf>
    <xf numFmtId="43" fontId="58" fillId="11" borderId="0" xfId="114" applyNumberFormat="1" applyFont="1" applyFill="1" applyProtection="1"/>
    <xf numFmtId="43" fontId="55" fillId="11" borderId="0" xfId="114" applyNumberFormat="1" applyFont="1" applyFill="1" applyAlignment="1" applyProtection="1">
      <alignment horizontal="center"/>
    </xf>
    <xf numFmtId="43" fontId="37" fillId="0" borderId="24" xfId="114" applyNumberFormat="1" applyFont="1" applyBorder="1" applyAlignment="1">
      <alignment shrinkToFit="1"/>
      <protection locked="0"/>
    </xf>
    <xf numFmtId="190" fontId="10" fillId="6" borderId="4" xfId="0" applyFont="1" applyFill="1" applyBorder="1" applyAlignment="1" applyProtection="1">
      <alignment vertical="center" shrinkToFit="1"/>
    </xf>
    <xf numFmtId="178" fontId="13" fillId="6" borderId="4" xfId="0" applyNumberFormat="1" applyFont="1" applyFill="1" applyBorder="1" applyAlignment="1" applyProtection="1">
      <alignment horizontal="left" vertical="center" shrinkToFit="1"/>
    </xf>
    <xf numFmtId="178" fontId="10" fillId="6" borderId="4" xfId="0" applyNumberFormat="1" applyFont="1" applyFill="1" applyBorder="1" applyAlignment="1" applyProtection="1">
      <alignment vertical="center" shrinkToFit="1"/>
    </xf>
    <xf numFmtId="190" fontId="10" fillId="6" borderId="4" xfId="0" applyNumberFormat="1" applyFont="1" applyFill="1" applyBorder="1" applyAlignment="1" applyProtection="1">
      <alignment vertical="center" shrinkToFit="1"/>
    </xf>
    <xf numFmtId="190" fontId="13" fillId="6" borderId="4" xfId="0" applyFont="1" applyFill="1" applyBorder="1" applyAlignment="1" applyProtection="1">
      <alignment vertical="center" shrinkToFit="1"/>
    </xf>
    <xf numFmtId="190" fontId="36" fillId="10" borderId="8" xfId="0" applyFont="1" applyFill="1" applyBorder="1" applyAlignment="1">
      <alignment horizontal="center"/>
      <protection locked="0"/>
    </xf>
    <xf numFmtId="43" fontId="93" fillId="0" borderId="8" xfId="132" applyFont="1" applyFill="1" applyBorder="1" applyAlignment="1" applyProtection="1">
      <alignment vertical="center" shrinkToFit="1"/>
    </xf>
    <xf numFmtId="10" fontId="92" fillId="0" borderId="8" xfId="108" applyNumberFormat="1" applyFont="1" applyFill="1" applyBorder="1" applyAlignment="1" applyProtection="1">
      <alignment horizontal="right" vertical="center" shrinkToFit="1"/>
    </xf>
    <xf numFmtId="10" fontId="92" fillId="0" borderId="8" xfId="108" applyNumberFormat="1" applyFont="1" applyFill="1" applyBorder="1" applyAlignment="1" applyProtection="1">
      <alignment horizontal="center" vertical="center" shrinkToFit="1"/>
    </xf>
    <xf numFmtId="10" fontId="92" fillId="0" borderId="30" xfId="108" applyNumberFormat="1" applyFont="1" applyFill="1" applyBorder="1" applyAlignment="1" applyProtection="1">
      <alignment horizontal="center" vertical="center" shrinkToFit="1"/>
    </xf>
    <xf numFmtId="10" fontId="92" fillId="0" borderId="30" xfId="108" applyNumberFormat="1" applyFont="1" applyFill="1" applyBorder="1" applyAlignment="1" applyProtection="1">
      <alignment horizontal="right" vertical="center" shrinkToFit="1"/>
    </xf>
    <xf numFmtId="43" fontId="37" fillId="0" borderId="8" xfId="132" applyFont="1" applyFill="1" applyBorder="1" applyAlignment="1" applyProtection="1">
      <alignment horizontal="right"/>
      <protection locked="0"/>
    </xf>
    <xf numFmtId="43" fontId="64" fillId="0" borderId="0" xfId="132" applyFont="1" applyAlignment="1" applyProtection="1">
      <alignment vertical="center"/>
    </xf>
    <xf numFmtId="43" fontId="37" fillId="0" borderId="0" xfId="132" applyFont="1" applyAlignment="1" applyProtection="1">
      <alignment vertical="center"/>
    </xf>
    <xf numFmtId="176" fontId="37" fillId="0" borderId="0" xfId="110" applyNumberFormat="1" applyFont="1" applyAlignment="1" applyProtection="1">
      <alignment vertical="center"/>
    </xf>
    <xf numFmtId="176" fontId="37" fillId="0" borderId="0" xfId="110" applyNumberFormat="1" applyFont="1" applyAlignment="1" applyProtection="1">
      <alignment vertical="center"/>
      <protection locked="0"/>
    </xf>
    <xf numFmtId="43" fontId="37" fillId="4" borderId="0" xfId="114" applyNumberFormat="1" applyFont="1" applyFill="1" applyAlignment="1" applyProtection="1">
      <alignment horizontal="center" vertical="center"/>
      <protection locked="0"/>
    </xf>
    <xf numFmtId="43" fontId="37" fillId="4" borderId="0" xfId="114" applyNumberFormat="1" applyFont="1" applyFill="1" applyAlignment="1" applyProtection="1">
      <alignment horizontal="center"/>
      <protection locked="0"/>
    </xf>
    <xf numFmtId="190" fontId="65" fillId="0" borderId="0" xfId="113" applyNumberFormat="1" applyFont="1" applyBorder="1" applyAlignment="1" applyProtection="1">
      <alignment vertical="center"/>
    </xf>
    <xf numFmtId="190" fontId="0" fillId="0" borderId="0" xfId="0" applyBorder="1" applyAlignment="1" applyProtection="1">
      <alignment vertical="center"/>
    </xf>
    <xf numFmtId="43" fontId="24" fillId="12" borderId="2" xfId="0" applyNumberFormat="1" applyFont="1" applyFill="1" applyBorder="1" applyAlignment="1" applyProtection="1">
      <alignment horizontal="center" vertical="center"/>
    </xf>
    <xf numFmtId="43" fontId="26" fillId="6" borderId="2" xfId="0" applyNumberFormat="1" applyFont="1" applyFill="1" applyBorder="1" applyAlignment="1" applyProtection="1">
      <alignment horizontal="left" vertical="center"/>
    </xf>
    <xf numFmtId="43" fontId="24" fillId="6" borderId="2" xfId="0" applyNumberFormat="1" applyFont="1" applyFill="1" applyBorder="1" applyAlignment="1" applyProtection="1">
      <alignment horizontal="center" vertical="center"/>
    </xf>
    <xf numFmtId="43" fontId="24" fillId="13" borderId="2" xfId="0" applyNumberFormat="1" applyFont="1" applyFill="1" applyBorder="1" applyAlignment="1" applyProtection="1">
      <alignment horizontal="center" vertical="center"/>
    </xf>
    <xf numFmtId="190" fontId="19" fillId="6" borderId="4" xfId="0" applyFont="1" applyFill="1" applyBorder="1" applyAlignment="1" applyProtection="1">
      <alignment vertical="center" shrinkToFit="1"/>
    </xf>
    <xf numFmtId="178" fontId="19" fillId="6" borderId="4" xfId="0" applyNumberFormat="1" applyFont="1" applyFill="1" applyBorder="1" applyAlignment="1" applyProtection="1">
      <alignment horizontal="left" vertical="center" shrinkToFit="1"/>
    </xf>
    <xf numFmtId="190" fontId="20" fillId="6" borderId="4" xfId="0" applyNumberFormat="1" applyFont="1" applyFill="1" applyBorder="1" applyAlignment="1" applyProtection="1">
      <alignment vertical="center" shrinkToFit="1"/>
    </xf>
    <xf numFmtId="178" fontId="20" fillId="6" borderId="4" xfId="0" applyNumberFormat="1" applyFont="1" applyFill="1" applyBorder="1" applyAlignment="1" applyProtection="1">
      <alignment vertical="center" shrinkToFit="1"/>
    </xf>
    <xf numFmtId="190" fontId="13" fillId="0" borderId="0" xfId="0" applyFont="1" applyBorder="1" applyAlignment="1" applyProtection="1">
      <alignment vertical="center" shrinkToFit="1"/>
    </xf>
    <xf numFmtId="190" fontId="0" fillId="0" borderId="0" xfId="0" applyAlignment="1" applyProtection="1">
      <alignment vertical="center"/>
    </xf>
    <xf numFmtId="190" fontId="10" fillId="9" borderId="4" xfId="0" applyNumberFormat="1" applyFont="1" applyFill="1" applyBorder="1" applyAlignment="1" applyProtection="1">
      <alignment vertical="center" shrinkToFit="1"/>
    </xf>
    <xf numFmtId="190" fontId="10" fillId="9" borderId="4" xfId="0" applyFont="1" applyFill="1" applyBorder="1" applyAlignment="1" applyProtection="1">
      <alignment vertical="center" shrinkToFit="1"/>
      <protection locked="0"/>
    </xf>
    <xf numFmtId="190" fontId="10" fillId="9" borderId="4" xfId="0" applyNumberFormat="1" applyFont="1" applyFill="1" applyBorder="1" applyAlignment="1" applyProtection="1">
      <alignment vertical="center" shrinkToFit="1"/>
      <protection locked="0"/>
    </xf>
    <xf numFmtId="178" fontId="13" fillId="9" borderId="4" xfId="0" applyNumberFormat="1" applyFont="1" applyFill="1" applyBorder="1" applyAlignment="1" applyProtection="1">
      <alignment horizontal="left" vertical="center" shrinkToFit="1"/>
      <protection locked="0"/>
    </xf>
    <xf numFmtId="190" fontId="10" fillId="9" borderId="4" xfId="0" applyNumberFormat="1" applyFont="1" applyFill="1" applyBorder="1" applyAlignment="1" applyProtection="1">
      <alignment horizontal="left" vertical="center" shrinkToFit="1"/>
      <protection locked="0"/>
    </xf>
    <xf numFmtId="190" fontId="13" fillId="9" borderId="4" xfId="0" applyFont="1" applyFill="1" applyBorder="1" applyAlignment="1" applyProtection="1">
      <alignment vertical="center" shrinkToFit="1"/>
      <protection locked="0"/>
    </xf>
    <xf numFmtId="178" fontId="10" fillId="9" borderId="4" xfId="0" applyNumberFormat="1" applyFont="1" applyFill="1" applyBorder="1" applyAlignment="1" applyProtection="1">
      <alignment horizontal="left" vertical="center" shrinkToFit="1"/>
      <protection locked="0"/>
    </xf>
    <xf numFmtId="190" fontId="10" fillId="9" borderId="4" xfId="0" applyFont="1" applyFill="1" applyBorder="1" applyAlignment="1" applyProtection="1">
      <alignment vertical="center" shrinkToFit="1"/>
    </xf>
    <xf numFmtId="178" fontId="17" fillId="6" borderId="4" xfId="0" applyNumberFormat="1" applyFont="1" applyFill="1" applyBorder="1" applyAlignment="1" applyProtection="1">
      <alignment horizontal="left" vertical="center" shrinkToFit="1"/>
    </xf>
    <xf numFmtId="178" fontId="21" fillId="6" borderId="4" xfId="0" applyNumberFormat="1" applyFont="1" applyFill="1" applyBorder="1" applyAlignment="1" applyProtection="1">
      <alignment horizontal="center" vertical="center" shrinkToFit="1"/>
    </xf>
    <xf numFmtId="190" fontId="13" fillId="9" borderId="4" xfId="0" applyFont="1" applyFill="1" applyBorder="1" applyAlignment="1" applyProtection="1">
      <alignment vertical="center" shrinkToFit="1"/>
    </xf>
    <xf numFmtId="190" fontId="21" fillId="6" borderId="4" xfId="0" applyFont="1" applyFill="1" applyBorder="1" applyAlignment="1" applyProtection="1">
      <alignment horizontal="center" vertical="center" shrinkToFit="1"/>
    </xf>
    <xf numFmtId="190" fontId="10" fillId="6" borderId="4" xfId="0" applyFont="1" applyFill="1" applyBorder="1" applyAlignment="1" applyProtection="1">
      <alignment horizontal="left" vertical="center" shrinkToFit="1"/>
    </xf>
    <xf numFmtId="43" fontId="17" fillId="6" borderId="4" xfId="132" applyFont="1" applyFill="1" applyBorder="1" applyAlignment="1" applyProtection="1">
      <alignment horizontal="left" vertical="center" shrinkToFit="1"/>
    </xf>
    <xf numFmtId="190" fontId="10" fillId="6" borderId="4" xfId="0" applyNumberFormat="1" applyFont="1" applyFill="1" applyBorder="1" applyAlignment="1" applyProtection="1">
      <alignment horizontal="left" vertical="center" shrinkToFit="1"/>
    </xf>
    <xf numFmtId="178" fontId="20" fillId="6" borderId="4" xfId="0" applyNumberFormat="1" applyFont="1" applyFill="1" applyBorder="1" applyAlignment="1" applyProtection="1">
      <alignment horizontal="left" vertical="center" shrinkToFit="1"/>
    </xf>
    <xf numFmtId="190" fontId="21" fillId="6" borderId="4" xfId="0" applyFont="1" applyFill="1" applyBorder="1" applyAlignment="1" applyProtection="1">
      <alignment vertical="center" shrinkToFit="1"/>
    </xf>
    <xf numFmtId="190" fontId="2" fillId="6" borderId="4" xfId="0" applyFont="1" applyFill="1" applyBorder="1" applyAlignment="1" applyProtection="1">
      <alignment vertical="center" shrinkToFit="1"/>
    </xf>
    <xf numFmtId="190" fontId="0" fillId="12" borderId="0" xfId="0" applyFill="1" applyAlignment="1" applyProtection="1">
      <alignment vertical="center"/>
    </xf>
    <xf numFmtId="43" fontId="4" fillId="12" borderId="0" xfId="0" applyNumberFormat="1" applyFont="1" applyFill="1" applyAlignment="1" applyProtection="1">
      <alignment vertical="center"/>
    </xf>
    <xf numFmtId="43" fontId="4" fillId="13" borderId="0" xfId="0" applyNumberFormat="1" applyFont="1" applyFill="1" applyAlignment="1" applyProtection="1">
      <alignment vertical="center"/>
    </xf>
    <xf numFmtId="190" fontId="22" fillId="5" borderId="4" xfId="0" applyFont="1" applyFill="1" applyBorder="1" applyAlignment="1" applyProtection="1">
      <alignment horizontal="center" vertical="center" shrinkToFit="1"/>
    </xf>
    <xf numFmtId="178" fontId="22" fillId="5" borderId="4" xfId="0" applyNumberFormat="1" applyFont="1" applyFill="1" applyBorder="1" applyAlignment="1" applyProtection="1">
      <alignment horizontal="center" vertical="center" shrinkToFit="1"/>
    </xf>
    <xf numFmtId="178" fontId="23" fillId="5" borderId="4" xfId="0" applyNumberFormat="1" applyFont="1" applyFill="1" applyBorder="1" applyAlignment="1" applyProtection="1">
      <alignment horizontal="left" vertical="center" shrinkToFit="1"/>
    </xf>
    <xf numFmtId="43" fontId="4" fillId="0" borderId="0" xfId="0" applyNumberFormat="1" applyFont="1" applyFill="1" applyAlignment="1" applyProtection="1">
      <alignment vertical="center"/>
    </xf>
    <xf numFmtId="43" fontId="4" fillId="0" borderId="0" xfId="0" applyNumberFormat="1" applyFont="1" applyFill="1" applyBorder="1" applyAlignment="1" applyProtection="1">
      <alignment vertical="center"/>
    </xf>
    <xf numFmtId="190" fontId="23" fillId="5" borderId="4" xfId="0" applyFont="1" applyFill="1" applyBorder="1" applyAlignment="1" applyProtection="1">
      <alignment vertical="center" shrinkToFit="1"/>
    </xf>
    <xf numFmtId="43" fontId="37" fillId="0" borderId="23" xfId="132" applyFont="1" applyBorder="1" applyAlignment="1" applyProtection="1">
      <alignment vertical="center"/>
    </xf>
    <xf numFmtId="43" fontId="97" fillId="6" borderId="0" xfId="0" applyNumberFormat="1" applyFont="1" applyFill="1" applyBorder="1" applyAlignment="1" applyProtection="1">
      <alignment horizontal="center" vertical="center"/>
    </xf>
    <xf numFmtId="43" fontId="69" fillId="4" borderId="0" xfId="114" applyNumberFormat="1" applyFont="1" applyFill="1" applyAlignment="1" applyProtection="1">
      <alignment horizontal="center" vertical="center"/>
      <protection locked="0"/>
    </xf>
    <xf numFmtId="43" fontId="97" fillId="13" borderId="0" xfId="0" applyNumberFormat="1" applyFont="1" applyFill="1" applyBorder="1" applyAlignment="1" applyProtection="1">
      <alignment horizontal="center" vertical="center"/>
    </xf>
    <xf numFmtId="190" fontId="98" fillId="0" borderId="0" xfId="0" applyFont="1" applyBorder="1" applyAlignment="1" applyProtection="1">
      <alignment vertical="center"/>
    </xf>
    <xf numFmtId="43" fontId="60" fillId="4" borderId="2" xfId="114" applyNumberFormat="1" applyFont="1" applyFill="1" applyBorder="1" applyAlignment="1" applyProtection="1">
      <alignment horizontal="center"/>
      <protection locked="0"/>
    </xf>
    <xf numFmtId="178" fontId="21" fillId="6" borderId="4" xfId="0" applyNumberFormat="1" applyFont="1" applyFill="1" applyBorder="1" applyAlignment="1" applyProtection="1">
      <alignment horizontal="left" vertical="center" shrinkToFit="1"/>
    </xf>
    <xf numFmtId="190" fontId="17" fillId="6" borderId="4" xfId="0" applyFont="1" applyFill="1" applyBorder="1" applyAlignment="1" applyProtection="1">
      <alignment vertical="center" shrinkToFit="1"/>
    </xf>
    <xf numFmtId="190" fontId="37" fillId="14" borderId="0" xfId="132" applyNumberFormat="1" applyFont="1" applyFill="1" applyAlignment="1" applyProtection="1">
      <alignment horizontal="left" vertical="center"/>
    </xf>
    <xf numFmtId="176" fontId="90" fillId="14" borderId="0" xfId="110" applyNumberFormat="1" applyFont="1" applyFill="1" applyAlignment="1" applyProtection="1">
      <alignment vertical="center"/>
    </xf>
    <xf numFmtId="190" fontId="3" fillId="8" borderId="0" xfId="0" applyFont="1" applyFill="1" applyAlignment="1" applyProtection="1">
      <alignment horizontal="left" vertical="center"/>
    </xf>
    <xf numFmtId="31" fontId="1" fillId="0" borderId="0" xfId="113" applyNumberFormat="1" applyFont="1" applyBorder="1" applyAlignment="1" applyProtection="1">
      <alignment horizontal="center" vertical="center"/>
    </xf>
    <xf numFmtId="43" fontId="36" fillId="0" borderId="0" xfId="132" applyFont="1" applyProtection="1">
      <protection locked="0"/>
    </xf>
    <xf numFmtId="190" fontId="38" fillId="0" borderId="0" xfId="132" applyNumberFormat="1" applyFont="1" applyAlignment="1" applyProtection="1">
      <alignment horizontal="center"/>
      <protection locked="0"/>
    </xf>
    <xf numFmtId="43" fontId="36" fillId="0" borderId="0" xfId="132" applyFont="1" applyAlignment="1" applyProtection="1">
      <alignment horizontal="center"/>
      <protection locked="0"/>
    </xf>
    <xf numFmtId="190" fontId="36" fillId="0" borderId="0" xfId="132" applyNumberFormat="1" applyFont="1" applyAlignment="1" applyProtection="1">
      <alignment horizontal="center"/>
      <protection locked="0"/>
    </xf>
    <xf numFmtId="43" fontId="36" fillId="0" borderId="0" xfId="1" applyNumberFormat="1" applyFont="1" applyProtection="1">
      <protection locked="0"/>
    </xf>
    <xf numFmtId="43" fontId="38" fillId="0" borderId="0" xfId="1" applyNumberFormat="1" applyFont="1" applyProtection="1">
      <protection locked="0"/>
    </xf>
    <xf numFmtId="43" fontId="38" fillId="0" borderId="0" xfId="132" applyFont="1" applyProtection="1">
      <protection locked="0"/>
    </xf>
    <xf numFmtId="190" fontId="38" fillId="0" borderId="0" xfId="1" applyNumberFormat="1" applyFont="1" applyAlignment="1" applyProtection="1">
      <alignment horizontal="center"/>
      <protection locked="0"/>
    </xf>
    <xf numFmtId="190" fontId="99" fillId="0" borderId="24" xfId="132" applyNumberFormat="1" applyFont="1" applyBorder="1" applyProtection="1">
      <protection locked="0"/>
    </xf>
    <xf numFmtId="43" fontId="36" fillId="0" borderId="8" xfId="1" applyNumberFormat="1" applyFont="1" applyBorder="1" applyProtection="1">
      <protection locked="0"/>
    </xf>
    <xf numFmtId="43" fontId="36" fillId="0" borderId="8" xfId="132" applyFont="1" applyBorder="1" applyProtection="1">
      <protection locked="0"/>
    </xf>
    <xf numFmtId="43" fontId="36" fillId="0" borderId="9" xfId="132" applyFont="1" applyBorder="1" applyProtection="1">
      <protection locked="0"/>
    </xf>
    <xf numFmtId="190" fontId="36" fillId="0" borderId="24" xfId="132" applyNumberFormat="1" applyFont="1" applyBorder="1" applyProtection="1">
      <protection locked="0"/>
    </xf>
    <xf numFmtId="190" fontId="36" fillId="0" borderId="24" xfId="132" applyNumberFormat="1" applyFont="1" applyBorder="1" applyAlignment="1" applyProtection="1">
      <alignment horizontal="left" indent="1"/>
      <protection locked="0"/>
    </xf>
    <xf numFmtId="190" fontId="38" fillId="0" borderId="24" xfId="132" applyNumberFormat="1" applyFont="1" applyBorder="1" applyAlignment="1" applyProtection="1">
      <alignment horizontal="center"/>
      <protection locked="0"/>
    </xf>
    <xf numFmtId="43" fontId="38" fillId="0" borderId="8" xfId="1" applyNumberFormat="1" applyFont="1" applyBorder="1" applyProtection="1">
      <protection locked="0"/>
    </xf>
    <xf numFmtId="43" fontId="38" fillId="0" borderId="8" xfId="132" applyFont="1" applyBorder="1" applyProtection="1">
      <protection locked="0"/>
    </xf>
    <xf numFmtId="43" fontId="38" fillId="0" borderId="9" xfId="132" applyFont="1" applyBorder="1" applyProtection="1">
      <protection locked="0"/>
    </xf>
    <xf numFmtId="43" fontId="21" fillId="0" borderId="48" xfId="1" applyNumberFormat="1" applyFont="1" applyBorder="1" applyAlignment="1" applyProtection="1">
      <alignment horizontal="center"/>
      <protection locked="0"/>
    </xf>
    <xf numFmtId="43" fontId="10" fillId="0" borderId="48" xfId="132" applyFont="1" applyBorder="1" applyAlignment="1" applyProtection="1">
      <alignment horizontal="center"/>
      <protection locked="0"/>
    </xf>
    <xf numFmtId="43" fontId="21" fillId="0" borderId="48" xfId="132" applyFont="1" applyBorder="1" applyAlignment="1" applyProtection="1">
      <alignment horizontal="center"/>
      <protection locked="0"/>
    </xf>
    <xf numFmtId="43" fontId="21" fillId="15" borderId="48" xfId="132" applyFont="1" applyFill="1" applyBorder="1" applyAlignment="1" applyProtection="1">
      <alignment horizontal="center"/>
      <protection locked="0"/>
    </xf>
    <xf numFmtId="43" fontId="10" fillId="15" borderId="48" xfId="132" applyFont="1" applyFill="1" applyBorder="1" applyAlignment="1" applyProtection="1">
      <alignment horizontal="center"/>
      <protection locked="0"/>
    </xf>
    <xf numFmtId="43" fontId="36" fillId="15" borderId="48" xfId="132" applyFont="1" applyFill="1" applyBorder="1" applyAlignment="1" applyProtection="1">
      <alignment horizontal="center"/>
      <protection locked="0"/>
    </xf>
    <xf numFmtId="43" fontId="10" fillId="0" borderId="48" xfId="1" applyNumberFormat="1" applyFont="1" applyBorder="1" applyAlignment="1" applyProtection="1">
      <alignment horizontal="center"/>
      <protection locked="0"/>
    </xf>
    <xf numFmtId="43" fontId="10" fillId="0" borderId="49" xfId="1" applyNumberFormat="1" applyFont="1" applyBorder="1" applyAlignment="1" applyProtection="1">
      <alignment horizontal="center"/>
      <protection locked="0"/>
    </xf>
    <xf numFmtId="43" fontId="38" fillId="0" borderId="51" xfId="1" applyNumberFormat="1" applyFont="1" applyBorder="1" applyProtection="1">
      <protection locked="0"/>
    </xf>
    <xf numFmtId="43" fontId="38" fillId="0" borderId="51" xfId="132" applyFont="1" applyBorder="1" applyProtection="1">
      <protection locked="0"/>
    </xf>
    <xf numFmtId="43" fontId="38" fillId="0" borderId="52" xfId="132" applyFont="1" applyBorder="1" applyProtection="1">
      <protection locked="0"/>
    </xf>
    <xf numFmtId="190" fontId="99" fillId="0" borderId="36" xfId="132" applyNumberFormat="1" applyFont="1" applyBorder="1" applyProtection="1">
      <protection locked="0"/>
    </xf>
    <xf numFmtId="43" fontId="36" fillId="0" borderId="37" xfId="1" applyNumberFormat="1" applyFont="1" applyBorder="1" applyProtection="1">
      <protection locked="0"/>
    </xf>
    <xf numFmtId="43" fontId="36" fillId="0" borderId="37" xfId="132" applyFont="1" applyBorder="1" applyProtection="1">
      <protection locked="0"/>
    </xf>
    <xf numFmtId="43" fontId="36" fillId="0" borderId="40" xfId="132" applyFont="1" applyBorder="1" applyProtection="1">
      <protection locked="0"/>
    </xf>
    <xf numFmtId="43" fontId="36" fillId="0" borderId="18" xfId="132" applyFont="1" applyBorder="1" applyProtection="1">
      <protection locked="0"/>
    </xf>
    <xf numFmtId="43" fontId="36" fillId="0" borderId="53" xfId="132" applyFont="1" applyBorder="1" applyProtection="1">
      <protection locked="0"/>
    </xf>
    <xf numFmtId="43" fontId="38" fillId="0" borderId="42" xfId="1" applyNumberFormat="1" applyFont="1" applyBorder="1" applyProtection="1">
      <protection locked="0"/>
    </xf>
    <xf numFmtId="43" fontId="38" fillId="0" borderId="42" xfId="132" applyFont="1" applyBorder="1" applyProtection="1">
      <protection locked="0"/>
    </xf>
    <xf numFmtId="43" fontId="38" fillId="0" borderId="43" xfId="132" applyFont="1" applyBorder="1" applyProtection="1">
      <protection locked="0"/>
    </xf>
    <xf numFmtId="190" fontId="38" fillId="0" borderId="24" xfId="132" applyNumberFormat="1" applyFont="1" applyBorder="1" applyProtection="1">
      <protection locked="0"/>
    </xf>
    <xf numFmtId="43" fontId="38" fillId="0" borderId="22" xfId="132" applyFont="1" applyBorder="1" applyProtection="1">
      <protection locked="0"/>
    </xf>
    <xf numFmtId="43" fontId="38" fillId="0" borderId="23" xfId="132" applyFont="1" applyBorder="1" applyProtection="1">
      <protection locked="0"/>
    </xf>
    <xf numFmtId="43" fontId="21" fillId="0" borderId="42" xfId="132" applyFont="1" applyBorder="1" applyAlignment="1" applyProtection="1">
      <alignment horizontal="center"/>
      <protection locked="0"/>
    </xf>
    <xf numFmtId="43" fontId="10" fillId="0" borderId="42" xfId="132" applyFont="1" applyBorder="1" applyAlignment="1" applyProtection="1">
      <alignment horizontal="center"/>
      <protection locked="0"/>
    </xf>
    <xf numFmtId="43" fontId="21" fillId="15" borderId="42" xfId="132" applyFont="1" applyFill="1" applyBorder="1" applyAlignment="1" applyProtection="1">
      <alignment horizontal="center"/>
      <protection locked="0"/>
    </xf>
    <xf numFmtId="43" fontId="10" fillId="15" borderId="42" xfId="132" applyFont="1" applyFill="1" applyBorder="1" applyAlignment="1" applyProtection="1">
      <alignment horizontal="center"/>
      <protection locked="0"/>
    </xf>
    <xf numFmtId="43" fontId="36" fillId="15" borderId="42" xfId="132" applyFont="1" applyFill="1" applyBorder="1" applyAlignment="1" applyProtection="1">
      <alignment horizontal="center"/>
      <protection locked="0"/>
    </xf>
    <xf numFmtId="43" fontId="36" fillId="0" borderId="42" xfId="132" applyFont="1" applyBorder="1" applyAlignment="1" applyProtection="1">
      <alignment horizontal="center"/>
      <protection locked="0"/>
    </xf>
    <xf numFmtId="43" fontId="10" fillId="0" borderId="43" xfId="132" applyFont="1" applyBorder="1" applyAlignment="1" applyProtection="1">
      <alignment horizontal="center"/>
      <protection locked="0"/>
    </xf>
    <xf numFmtId="190" fontId="10" fillId="16" borderId="0" xfId="132" applyNumberFormat="1" applyFont="1" applyFill="1" applyProtection="1">
      <protection locked="0"/>
    </xf>
    <xf numFmtId="43" fontId="38" fillId="16" borderId="0" xfId="1" applyNumberFormat="1" applyFont="1" applyFill="1" applyProtection="1">
      <protection locked="0"/>
    </xf>
    <xf numFmtId="43" fontId="36" fillId="16" borderId="0" xfId="132" applyFont="1" applyFill="1" applyProtection="1">
      <protection locked="0"/>
    </xf>
    <xf numFmtId="190" fontId="10" fillId="16" borderId="0" xfId="132" applyNumberFormat="1" applyFont="1" applyFill="1" applyAlignment="1" applyProtection="1">
      <alignment shrinkToFit="1"/>
      <protection locked="0"/>
    </xf>
    <xf numFmtId="43" fontId="36" fillId="0" borderId="0" xfId="132" applyFont="1" applyBorder="1" applyProtection="1">
      <protection locked="0"/>
    </xf>
    <xf numFmtId="43" fontId="36" fillId="15" borderId="49" xfId="132" applyFont="1" applyFill="1" applyBorder="1" applyAlignment="1" applyProtection="1">
      <alignment horizontal="center"/>
      <protection locked="0"/>
    </xf>
    <xf numFmtId="31" fontId="11" fillId="8" borderId="0" xfId="132" applyNumberFormat="1" applyFont="1" applyFill="1" applyBorder="1" applyAlignment="1" applyProtection="1">
      <alignment horizontal="center" vertical="center" shrinkToFit="1"/>
    </xf>
    <xf numFmtId="190" fontId="10" fillId="8" borderId="18" xfId="0" applyFont="1" applyFill="1" applyBorder="1" applyAlignment="1" applyProtection="1">
      <alignment horizontal="center" vertical="center" wrapText="1" shrinkToFit="1"/>
    </xf>
    <xf numFmtId="190" fontId="10" fillId="8" borderId="53" xfId="0" applyFont="1" applyFill="1" applyBorder="1" applyAlignment="1" applyProtection="1">
      <alignment horizontal="center" vertical="center" wrapText="1" shrinkToFit="1"/>
    </xf>
    <xf numFmtId="190" fontId="36" fillId="0" borderId="0" xfId="0" applyFont="1" applyFill="1" applyAlignment="1" applyProtection="1">
      <alignment vertical="center"/>
      <protection hidden="1"/>
    </xf>
    <xf numFmtId="190" fontId="36" fillId="8" borderId="37" xfId="0" applyFont="1" applyFill="1" applyBorder="1" applyAlignment="1" applyProtection="1">
      <alignment horizontal="center" vertical="center" shrinkToFit="1"/>
    </xf>
    <xf numFmtId="190" fontId="36" fillId="8" borderId="37" xfId="0" applyFont="1" applyFill="1" applyBorder="1" applyAlignment="1" applyProtection="1">
      <alignment horizontal="center" vertical="center" shrinkToFit="1"/>
      <protection locked="0"/>
    </xf>
    <xf numFmtId="190" fontId="36" fillId="8" borderId="37" xfId="0" applyFont="1" applyFill="1" applyBorder="1" applyAlignment="1" applyProtection="1">
      <alignment horizontal="left" vertical="center" shrinkToFit="1"/>
    </xf>
    <xf numFmtId="190" fontId="36" fillId="8" borderId="40" xfId="0" applyFont="1" applyFill="1" applyBorder="1" applyAlignment="1" applyProtection="1">
      <alignment horizontal="left" vertical="center" shrinkToFit="1"/>
    </xf>
    <xf numFmtId="3" fontId="10" fillId="8" borderId="37" xfId="0" applyNumberFormat="1" applyFont="1" applyFill="1" applyBorder="1" applyAlignment="1" applyProtection="1">
      <alignment horizontal="center" vertical="center" shrinkToFit="1"/>
    </xf>
    <xf numFmtId="43" fontId="36" fillId="8" borderId="37" xfId="132" applyFont="1" applyFill="1" applyBorder="1" applyAlignment="1" applyProtection="1">
      <alignment horizontal="center" vertical="center" shrinkToFit="1"/>
    </xf>
    <xf numFmtId="43" fontId="34" fillId="0" borderId="0" xfId="132" applyFont="1" applyFill="1" applyAlignment="1" applyProtection="1">
      <alignment vertical="center"/>
      <protection hidden="1"/>
    </xf>
    <xf numFmtId="177" fontId="58" fillId="14" borderId="0" xfId="114" applyNumberFormat="1" applyFont="1" applyFill="1" applyAlignment="1" applyProtection="1">
      <alignment vertical="center"/>
    </xf>
    <xf numFmtId="43" fontId="58" fillId="14" borderId="0" xfId="114" applyNumberFormat="1" applyFont="1" applyFill="1" applyAlignment="1" applyProtection="1">
      <alignment wrapText="1"/>
    </xf>
    <xf numFmtId="43" fontId="58" fillId="14" borderId="0" xfId="114" applyNumberFormat="1" applyFont="1" applyFill="1" applyAlignment="1" applyProtection="1">
      <alignment horizontal="center"/>
    </xf>
    <xf numFmtId="43" fontId="58" fillId="14" borderId="0" xfId="114" applyNumberFormat="1" applyFont="1" applyFill="1" applyProtection="1"/>
    <xf numFmtId="43" fontId="55" fillId="14" borderId="0" xfId="114" applyNumberFormat="1" applyFont="1" applyFill="1" applyAlignment="1" applyProtection="1">
      <alignment horizontal="center"/>
    </xf>
    <xf numFmtId="177" fontId="58" fillId="14" borderId="10" xfId="114" applyNumberFormat="1" applyFont="1" applyFill="1" applyBorder="1" applyAlignment="1" applyProtection="1">
      <alignment vertical="center"/>
    </xf>
    <xf numFmtId="43" fontId="58" fillId="14" borderId="10" xfId="114" applyNumberFormat="1" applyFont="1" applyFill="1" applyBorder="1" applyAlignment="1" applyProtection="1">
      <alignment wrapText="1"/>
    </xf>
    <xf numFmtId="43" fontId="58" fillId="14" borderId="10" xfId="114" applyNumberFormat="1" applyFont="1" applyFill="1" applyBorder="1" applyAlignment="1" applyProtection="1">
      <alignment horizontal="center"/>
    </xf>
    <xf numFmtId="43" fontId="58" fillId="14" borderId="10" xfId="114" applyNumberFormat="1" applyFont="1" applyFill="1" applyBorder="1" applyProtection="1"/>
    <xf numFmtId="43" fontId="55" fillId="14" borderId="10" xfId="114" applyNumberFormat="1" applyFont="1" applyFill="1" applyBorder="1" applyAlignment="1" applyProtection="1">
      <alignment horizontal="center"/>
    </xf>
    <xf numFmtId="43" fontId="21" fillId="11" borderId="48" xfId="132" applyFont="1" applyFill="1" applyBorder="1" applyAlignment="1" applyProtection="1">
      <alignment horizontal="center"/>
      <protection locked="0"/>
    </xf>
    <xf numFmtId="43" fontId="10" fillId="11" borderId="48" xfId="132" applyFont="1" applyFill="1" applyBorder="1" applyAlignment="1" applyProtection="1">
      <alignment horizontal="center"/>
      <protection locked="0"/>
    </xf>
    <xf numFmtId="43" fontId="36" fillId="11" borderId="48" xfId="132" applyFont="1" applyFill="1" applyBorder="1" applyAlignment="1" applyProtection="1">
      <alignment horizontal="center"/>
      <protection locked="0"/>
    </xf>
    <xf numFmtId="43" fontId="10" fillId="11" borderId="49" xfId="132" applyFont="1" applyFill="1" applyBorder="1" applyAlignment="1" applyProtection="1">
      <alignment horizontal="center"/>
      <protection locked="0"/>
    </xf>
    <xf numFmtId="176" fontId="13" fillId="0" borderId="24" xfId="110" applyNumberFormat="1" applyFont="1" applyBorder="1" applyAlignment="1" applyProtection="1">
      <alignment horizontal="left" vertical="center" indent="1"/>
    </xf>
    <xf numFmtId="190" fontId="36" fillId="0" borderId="24" xfId="132" applyNumberFormat="1" applyFont="1" applyBorder="1" applyAlignment="1" applyProtection="1">
      <alignment horizontal="left"/>
      <protection locked="0"/>
    </xf>
    <xf numFmtId="31" fontId="38" fillId="0" borderId="54" xfId="113" applyNumberFormat="1" applyFont="1" applyBorder="1" applyAlignment="1" applyProtection="1">
      <alignment horizontal="center" vertical="center"/>
    </xf>
    <xf numFmtId="31" fontId="38" fillId="0" borderId="55" xfId="113" applyNumberFormat="1" applyFont="1" applyBorder="1" applyAlignment="1" applyProtection="1">
      <alignment horizontal="center" vertical="center"/>
    </xf>
    <xf numFmtId="181" fontId="10" fillId="0" borderId="56" xfId="134" applyFont="1" applyBorder="1" applyAlignment="1" applyProtection="1">
      <alignment vertical="center"/>
    </xf>
    <xf numFmtId="181" fontId="10" fillId="0" borderId="57" xfId="134" applyFont="1" applyBorder="1" applyAlignment="1" applyProtection="1">
      <alignment vertical="center"/>
    </xf>
    <xf numFmtId="43" fontId="65" fillId="0" borderId="0" xfId="113" applyNumberFormat="1" applyFont="1" applyBorder="1" applyAlignment="1" applyProtection="1">
      <alignment vertical="center"/>
    </xf>
    <xf numFmtId="190" fontId="103" fillId="6" borderId="18" xfId="0" applyFont="1" applyFill="1" applyBorder="1" applyAlignment="1" applyProtection="1">
      <alignment vertical="center"/>
      <protection hidden="1"/>
    </xf>
    <xf numFmtId="43" fontId="37" fillId="11" borderId="8" xfId="132" applyFont="1" applyFill="1" applyBorder="1" applyAlignment="1">
      <alignment horizontal="right" shrinkToFit="1"/>
    </xf>
    <xf numFmtId="190" fontId="10" fillId="10" borderId="22" xfId="0" applyFont="1" applyFill="1" applyBorder="1" applyAlignment="1">
      <alignment horizontal="center"/>
      <protection locked="0"/>
    </xf>
    <xf numFmtId="190" fontId="13" fillId="10" borderId="22" xfId="0" applyFont="1" applyFill="1" applyBorder="1">
      <protection locked="0"/>
    </xf>
    <xf numFmtId="190" fontId="12" fillId="10" borderId="59" xfId="0" applyFont="1" applyFill="1" applyBorder="1">
      <protection locked="0"/>
    </xf>
    <xf numFmtId="190" fontId="21" fillId="10" borderId="42" xfId="0" applyFont="1" applyFill="1" applyBorder="1" applyAlignment="1">
      <alignment horizontal="center"/>
      <protection locked="0"/>
    </xf>
    <xf numFmtId="190" fontId="21" fillId="10" borderId="61" xfId="0" applyFont="1" applyFill="1" applyBorder="1" applyAlignment="1">
      <alignment horizontal="center"/>
      <protection locked="0"/>
    </xf>
    <xf numFmtId="43" fontId="10" fillId="0" borderId="11" xfId="125" applyNumberFormat="1" applyFont="1" applyBorder="1" applyAlignment="1">
      <alignment horizontal="left" vertical="center" indent="1"/>
    </xf>
    <xf numFmtId="190" fontId="100" fillId="0" borderId="0" xfId="112" applyFont="1">
      <protection locked="0"/>
    </xf>
    <xf numFmtId="190" fontId="101" fillId="0" borderId="56" xfId="112" applyFont="1" applyBorder="1" applyProtection="1"/>
    <xf numFmtId="190" fontId="100" fillId="0" borderId="1" xfId="112" applyFont="1" applyBorder="1" applyProtection="1"/>
    <xf numFmtId="190" fontId="100" fillId="0" borderId="57" xfId="112" applyFont="1" applyBorder="1" applyProtection="1"/>
    <xf numFmtId="190" fontId="100" fillId="0" borderId="0" xfId="112" applyFont="1" applyBorder="1" applyProtection="1"/>
    <xf numFmtId="190" fontId="100" fillId="0" borderId="20" xfId="112" applyFont="1" applyBorder="1" applyProtection="1"/>
    <xf numFmtId="190" fontId="103" fillId="0" borderId="11" xfId="112" applyFont="1" applyBorder="1" applyAlignment="1" applyProtection="1">
      <alignment horizontal="center"/>
    </xf>
    <xf numFmtId="190" fontId="103" fillId="0" borderId="0" xfId="112" applyFont="1" applyBorder="1" applyProtection="1"/>
    <xf numFmtId="190" fontId="103" fillId="0" borderId="20" xfId="112" applyFont="1" applyBorder="1" applyProtection="1"/>
    <xf numFmtId="190" fontId="103" fillId="0" borderId="0" xfId="112" applyFont="1" applyBorder="1" applyAlignment="1" applyProtection="1">
      <alignment horizontal="center"/>
    </xf>
    <xf numFmtId="190" fontId="104" fillId="0" borderId="0" xfId="116" applyFont="1" applyBorder="1" applyAlignment="1" applyProtection="1">
      <alignment horizontal="center"/>
    </xf>
    <xf numFmtId="190" fontId="104" fillId="0" borderId="0" xfId="116" applyFont="1" applyBorder="1" applyAlignment="1" applyProtection="1"/>
    <xf numFmtId="190" fontId="100" fillId="0" borderId="0" xfId="112" applyFont="1" applyBorder="1">
      <protection locked="0"/>
    </xf>
    <xf numFmtId="190" fontId="103" fillId="0" borderId="13" xfId="112" applyFont="1" applyBorder="1" applyAlignment="1" applyProtection="1">
      <alignment horizontal="center"/>
    </xf>
    <xf numFmtId="190" fontId="103" fillId="0" borderId="2" xfId="112" applyFont="1" applyBorder="1" applyProtection="1"/>
    <xf numFmtId="190" fontId="103" fillId="0" borderId="33" xfId="112" applyFont="1" applyBorder="1" applyProtection="1"/>
    <xf numFmtId="190" fontId="101" fillId="0" borderId="0" xfId="112" applyFont="1" applyBorder="1" applyProtection="1"/>
    <xf numFmtId="190" fontId="103" fillId="6" borderId="8" xfId="0" applyFont="1" applyFill="1" applyBorder="1" applyAlignment="1" applyProtection="1">
      <alignment horizontal="left" vertical="center"/>
      <protection hidden="1"/>
    </xf>
    <xf numFmtId="190" fontId="103" fillId="9" borderId="8" xfId="0" applyFont="1" applyFill="1" applyBorder="1" applyAlignment="1" applyProtection="1">
      <alignment vertical="center"/>
      <protection locked="0" hidden="1"/>
    </xf>
    <xf numFmtId="190" fontId="103" fillId="6" borderId="8" xfId="0" applyFont="1" applyFill="1" applyBorder="1" applyAlignment="1" applyProtection="1">
      <alignment vertical="center"/>
      <protection hidden="1"/>
    </xf>
    <xf numFmtId="190" fontId="108" fillId="0" borderId="0" xfId="0" applyFont="1" applyFill="1" applyAlignment="1" applyProtection="1">
      <alignment horizontal="right" vertical="center"/>
      <protection hidden="1"/>
    </xf>
    <xf numFmtId="190" fontId="108" fillId="0" borderId="0" xfId="0" applyFont="1" applyFill="1" applyAlignment="1" applyProtection="1">
      <alignment vertical="center"/>
      <protection hidden="1"/>
    </xf>
    <xf numFmtId="190" fontId="0" fillId="11" borderId="0" xfId="0" applyFill="1" applyAlignment="1" applyProtection="1">
      <alignment vertical="center"/>
      <protection hidden="1"/>
    </xf>
    <xf numFmtId="190" fontId="0" fillId="11" borderId="0" xfId="0" applyFill="1" applyAlignment="1" applyProtection="1">
      <alignment horizontal="left" vertical="center"/>
      <protection hidden="1"/>
    </xf>
    <xf numFmtId="190" fontId="0" fillId="11" borderId="0" xfId="0" applyFill="1" applyProtection="1">
      <protection hidden="1"/>
    </xf>
    <xf numFmtId="190" fontId="99" fillId="0" borderId="24" xfId="132" applyNumberFormat="1" applyFont="1" applyBorder="1" applyAlignment="1" applyProtection="1">
      <alignment horizontal="left"/>
      <protection locked="0"/>
    </xf>
    <xf numFmtId="43" fontId="38" fillId="0" borderId="0" xfId="132" applyFont="1" applyBorder="1" applyProtection="1">
      <protection locked="0"/>
    </xf>
    <xf numFmtId="190" fontId="38" fillId="0" borderId="39" xfId="132" applyNumberFormat="1" applyFont="1" applyBorder="1" applyAlignment="1" applyProtection="1">
      <alignment horizontal="left"/>
      <protection locked="0"/>
    </xf>
    <xf numFmtId="43" fontId="38" fillId="0" borderId="18" xfId="132" applyFont="1" applyBorder="1" applyProtection="1">
      <protection locked="0"/>
    </xf>
    <xf numFmtId="43" fontId="38" fillId="0" borderId="53" xfId="132" applyFont="1" applyBorder="1" applyProtection="1">
      <protection locked="0"/>
    </xf>
    <xf numFmtId="176" fontId="37" fillId="0" borderId="37" xfId="110" applyNumberFormat="1" applyFont="1" applyBorder="1" applyAlignment="1">
      <alignment vertical="center"/>
      <protection locked="0"/>
    </xf>
    <xf numFmtId="176" fontId="37" fillId="0" borderId="40" xfId="110" applyNumberFormat="1" applyFont="1" applyBorder="1" applyAlignment="1">
      <alignment vertical="center"/>
      <protection locked="0"/>
    </xf>
    <xf numFmtId="176" fontId="37" fillId="0" borderId="8" xfId="110" applyNumberFormat="1" applyFont="1" applyBorder="1" applyAlignment="1">
      <alignment vertical="center"/>
      <protection locked="0"/>
    </xf>
    <xf numFmtId="176" fontId="37" fillId="0" borderId="9" xfId="110" applyNumberFormat="1" applyFont="1" applyBorder="1" applyAlignment="1">
      <alignment vertical="center"/>
      <protection locked="0"/>
    </xf>
    <xf numFmtId="190" fontId="38" fillId="0" borderId="39" xfId="132" applyNumberFormat="1" applyFont="1" applyBorder="1" applyProtection="1">
      <protection locked="0"/>
    </xf>
    <xf numFmtId="176" fontId="37" fillId="0" borderId="53" xfId="110" applyNumberFormat="1" applyFont="1" applyBorder="1" applyAlignment="1">
      <alignment vertical="center"/>
      <protection locked="0"/>
    </xf>
    <xf numFmtId="190" fontId="38" fillId="0" borderId="36" xfId="132" applyNumberFormat="1" applyFont="1" applyBorder="1" applyProtection="1">
      <protection locked="0"/>
    </xf>
    <xf numFmtId="190" fontId="36" fillId="0" borderId="1" xfId="132" applyNumberFormat="1" applyFont="1" applyBorder="1" applyProtection="1">
      <protection locked="0"/>
    </xf>
    <xf numFmtId="43" fontId="36" fillId="0" borderId="1" xfId="132" applyFont="1" applyBorder="1" applyProtection="1">
      <protection locked="0"/>
    </xf>
    <xf numFmtId="176" fontId="37" fillId="0" borderId="1" xfId="110" applyNumberFormat="1" applyFont="1" applyBorder="1" applyAlignment="1">
      <alignment vertical="center"/>
      <protection locked="0"/>
    </xf>
    <xf numFmtId="190" fontId="38" fillId="0" borderId="0" xfId="132" applyNumberFormat="1" applyFont="1" applyBorder="1" applyAlignment="1" applyProtection="1">
      <alignment horizontal="center"/>
      <protection locked="0"/>
    </xf>
    <xf numFmtId="176" fontId="37" fillId="0" borderId="0" xfId="110" applyNumberFormat="1" applyFont="1" applyBorder="1" applyAlignment="1">
      <alignment vertical="center"/>
      <protection locked="0"/>
    </xf>
    <xf numFmtId="43" fontId="109" fillId="0" borderId="2" xfId="132" applyNumberFormat="1" applyFont="1" applyBorder="1" applyProtection="1">
      <protection locked="0"/>
    </xf>
    <xf numFmtId="43" fontId="36" fillId="0" borderId="2" xfId="132" applyFont="1" applyBorder="1" applyProtection="1">
      <protection locked="0"/>
    </xf>
    <xf numFmtId="176" fontId="37" fillId="0" borderId="2" xfId="110" applyNumberFormat="1" applyFont="1" applyBorder="1" applyAlignment="1">
      <alignment vertical="center"/>
      <protection locked="0"/>
    </xf>
    <xf numFmtId="190" fontId="94" fillId="10" borderId="8" xfId="0" applyFont="1" applyFill="1" applyBorder="1" applyAlignment="1">
      <alignment horizontal="center"/>
      <protection locked="0"/>
    </xf>
    <xf numFmtId="190" fontId="110" fillId="10" borderId="8" xfId="0" applyFont="1" applyFill="1" applyBorder="1" applyAlignment="1">
      <alignment horizontal="center"/>
      <protection locked="0"/>
    </xf>
    <xf numFmtId="190" fontId="111" fillId="10" borderId="8" xfId="0" applyFont="1" applyFill="1" applyBorder="1">
      <protection locked="0"/>
    </xf>
    <xf numFmtId="190" fontId="36" fillId="0" borderId="0" xfId="112" applyFont="1">
      <protection locked="0"/>
    </xf>
    <xf numFmtId="214" fontId="36" fillId="0" borderId="62" xfId="108" applyNumberFormat="1" applyFont="1" applyFill="1" applyBorder="1" applyAlignment="1" applyProtection="1">
      <alignment horizontal="center" wrapText="1"/>
      <protection locked="0"/>
    </xf>
    <xf numFmtId="10" fontId="36" fillId="0" borderId="63" xfId="108" applyNumberFormat="1" applyFont="1" applyFill="1" applyBorder="1" applyAlignment="1" applyProtection="1">
      <alignment horizontal="center" wrapText="1"/>
      <protection locked="0"/>
    </xf>
    <xf numFmtId="214" fontId="36" fillId="0" borderId="63" xfId="108" applyNumberFormat="1" applyFont="1" applyFill="1" applyBorder="1" applyAlignment="1" applyProtection="1">
      <alignment horizontal="center" wrapText="1"/>
      <protection locked="0"/>
    </xf>
    <xf numFmtId="10" fontId="36" fillId="0" borderId="64" xfId="108" applyNumberFormat="1" applyFont="1" applyFill="1" applyBorder="1" applyAlignment="1" applyProtection="1">
      <alignment horizontal="center" wrapText="1"/>
      <protection locked="0"/>
    </xf>
    <xf numFmtId="214" fontId="36" fillId="0" borderId="64" xfId="108" applyNumberFormat="1" applyFont="1" applyFill="1" applyBorder="1" applyAlignment="1" applyProtection="1">
      <alignment horizontal="center" wrapText="1"/>
      <protection locked="0"/>
    </xf>
    <xf numFmtId="214" fontId="36" fillId="0" borderId="65" xfId="108" applyNumberFormat="1" applyFont="1" applyFill="1" applyBorder="1" applyAlignment="1" applyProtection="1">
      <alignment horizontal="center" wrapText="1"/>
      <protection locked="0"/>
    </xf>
    <xf numFmtId="190" fontId="21" fillId="0" borderId="66" xfId="112" applyFont="1" applyBorder="1" applyAlignment="1">
      <alignment horizontal="center"/>
      <protection locked="0"/>
    </xf>
    <xf numFmtId="190" fontId="36" fillId="0" borderId="66" xfId="112" applyFont="1" applyBorder="1">
      <protection locked="0"/>
    </xf>
    <xf numFmtId="190" fontId="10" fillId="0" borderId="0" xfId="112" applyFont="1">
      <protection locked="0"/>
    </xf>
    <xf numFmtId="190" fontId="10" fillId="0" borderId="2" xfId="112" applyFont="1" applyBorder="1">
      <protection locked="0"/>
    </xf>
    <xf numFmtId="190" fontId="13" fillId="0" borderId="2" xfId="112" applyFont="1" applyBorder="1">
      <protection locked="0"/>
    </xf>
    <xf numFmtId="43" fontId="36" fillId="0" borderId="0" xfId="112" applyNumberFormat="1" applyFont="1">
      <protection locked="0"/>
    </xf>
    <xf numFmtId="4" fontId="36" fillId="0" borderId="0" xfId="112" applyNumberFormat="1" applyFont="1">
      <protection locked="0"/>
    </xf>
    <xf numFmtId="10" fontId="36" fillId="0" borderId="0" xfId="108" applyNumberFormat="1" applyFont="1" applyAlignment="1" applyProtection="1">
      <alignment horizontal="center"/>
      <protection locked="0"/>
    </xf>
    <xf numFmtId="214" fontId="36" fillId="0" borderId="0" xfId="112" applyNumberFormat="1" applyFont="1" applyAlignment="1">
      <alignment horizontal="center"/>
      <protection locked="0"/>
    </xf>
    <xf numFmtId="190" fontId="103" fillId="0" borderId="0" xfId="112" applyFont="1">
      <protection locked="0"/>
    </xf>
    <xf numFmtId="190" fontId="102" fillId="0" borderId="57" xfId="112" applyFont="1" applyBorder="1" applyAlignment="1" applyProtection="1">
      <alignment horizontal="center"/>
      <protection locked="0"/>
    </xf>
    <xf numFmtId="43" fontId="36" fillId="14" borderId="67" xfId="132" applyFont="1" applyFill="1" applyBorder="1" applyProtection="1">
      <protection locked="0"/>
    </xf>
    <xf numFmtId="43" fontId="36" fillId="14" borderId="0" xfId="132" applyFont="1" applyFill="1" applyBorder="1" applyProtection="1">
      <protection locked="0"/>
    </xf>
    <xf numFmtId="190" fontId="10" fillId="14" borderId="0" xfId="112" applyFont="1" applyFill="1">
      <protection locked="0"/>
    </xf>
    <xf numFmtId="43" fontId="36" fillId="14" borderId="0" xfId="112" applyNumberFormat="1" applyFont="1" applyFill="1">
      <protection locked="0"/>
    </xf>
    <xf numFmtId="190" fontId="36" fillId="14" borderId="0" xfId="112" applyFont="1" applyFill="1">
      <protection locked="0"/>
    </xf>
    <xf numFmtId="4" fontId="36" fillId="14" borderId="0" xfId="112" applyNumberFormat="1" applyFont="1" applyFill="1">
      <protection locked="0"/>
    </xf>
    <xf numFmtId="43" fontId="36" fillId="14" borderId="0" xfId="132" applyFont="1" applyFill="1" applyProtection="1">
      <protection locked="0"/>
    </xf>
    <xf numFmtId="190" fontId="36" fillId="15" borderId="0" xfId="112" applyFont="1" applyFill="1">
      <protection locked="0"/>
    </xf>
    <xf numFmtId="190" fontId="102" fillId="0" borderId="11" xfId="112" applyFont="1" applyBorder="1" applyProtection="1"/>
    <xf numFmtId="190" fontId="103" fillId="0" borderId="11" xfId="112" applyFont="1" applyBorder="1" applyProtection="1"/>
    <xf numFmtId="178" fontId="10" fillId="0" borderId="4" xfId="0" applyNumberFormat="1" applyFont="1" applyFill="1" applyBorder="1" applyAlignment="1" applyProtection="1">
      <alignment horizontal="left" vertical="center" shrinkToFit="1"/>
    </xf>
    <xf numFmtId="190" fontId="10" fillId="0" borderId="4" xfId="0" applyFont="1" applyFill="1" applyBorder="1" applyAlignment="1" applyProtection="1">
      <alignment vertical="center" shrinkToFit="1"/>
    </xf>
    <xf numFmtId="178" fontId="10" fillId="0" borderId="4" xfId="0" applyNumberFormat="1" applyFont="1" applyFill="1" applyBorder="1" applyAlignment="1" applyProtection="1">
      <alignment horizontal="left" vertical="center" shrinkToFit="1"/>
      <protection locked="0"/>
    </xf>
    <xf numFmtId="178" fontId="20" fillId="0" borderId="4" xfId="0" applyNumberFormat="1" applyFont="1" applyFill="1" applyBorder="1" applyAlignment="1" applyProtection="1">
      <alignment vertical="center" shrinkToFit="1"/>
    </xf>
    <xf numFmtId="190" fontId="2" fillId="0" borderId="4" xfId="0" applyFont="1" applyFill="1" applyBorder="1" applyAlignment="1" applyProtection="1">
      <alignment vertical="center" shrinkToFit="1"/>
    </xf>
    <xf numFmtId="190" fontId="0" fillId="0" borderId="0" xfId="0" applyFill="1" applyAlignment="1" applyProtection="1">
      <alignment vertical="center"/>
    </xf>
    <xf numFmtId="178" fontId="20" fillId="0" borderId="4" xfId="0" applyNumberFormat="1" applyFont="1" applyFill="1" applyBorder="1" applyAlignment="1" applyProtection="1">
      <alignment horizontal="left" vertical="center" shrinkToFit="1"/>
    </xf>
    <xf numFmtId="43" fontId="27" fillId="0" borderId="0" xfId="0" applyNumberFormat="1" applyFont="1" applyFill="1" applyBorder="1" applyAlignment="1" applyProtection="1">
      <alignment horizontal="center" vertical="center"/>
    </xf>
    <xf numFmtId="190" fontId="6" fillId="0" borderId="0" xfId="0" applyFont="1" applyFill="1" applyAlignment="1" applyProtection="1">
      <alignment vertical="center"/>
    </xf>
    <xf numFmtId="190" fontId="6" fillId="0" borderId="0" xfId="0" applyFont="1" applyFill="1" applyBorder="1" applyAlignment="1" applyProtection="1">
      <alignment horizontal="center" vertical="center"/>
    </xf>
    <xf numFmtId="190" fontId="6" fillId="0" borderId="0" xfId="0" applyFont="1" applyFill="1" applyAlignment="1" applyProtection="1">
      <alignment horizontal="center" vertical="center"/>
    </xf>
    <xf numFmtId="43" fontId="53" fillId="9" borderId="0" xfId="114" applyNumberFormat="1" applyFont="1" applyFill="1" applyAlignment="1">
      <alignment shrinkToFit="1"/>
      <protection locked="0"/>
    </xf>
    <xf numFmtId="43" fontId="3" fillId="0" borderId="0" xfId="114" applyNumberFormat="1" applyFont="1" applyAlignment="1" applyProtection="1">
      <alignment vertical="center" shrinkToFit="1"/>
    </xf>
    <xf numFmtId="43" fontId="37" fillId="0" borderId="0" xfId="114" applyNumberFormat="1" applyFont="1" applyAlignment="1" applyProtection="1">
      <alignment vertical="center" shrinkToFit="1"/>
    </xf>
    <xf numFmtId="43" fontId="37" fillId="0" borderId="0" xfId="114" applyNumberFormat="1" applyFont="1" applyAlignment="1" applyProtection="1">
      <alignment shrinkToFit="1"/>
    </xf>
    <xf numFmtId="43" fontId="55" fillId="0" borderId="0" xfId="114" applyNumberFormat="1" applyFont="1" applyAlignment="1" applyProtection="1">
      <alignment shrinkToFit="1"/>
    </xf>
    <xf numFmtId="43" fontId="3" fillId="0" borderId="8" xfId="114" applyNumberFormat="1" applyFont="1" applyBorder="1" applyAlignment="1" applyProtection="1">
      <alignment horizontal="center" vertical="center" shrinkToFit="1"/>
    </xf>
    <xf numFmtId="190" fontId="26" fillId="0" borderId="0" xfId="132" applyNumberFormat="1" applyFont="1" applyProtection="1">
      <protection locked="0"/>
    </xf>
    <xf numFmtId="190" fontId="10" fillId="17" borderId="0" xfId="132" applyNumberFormat="1" applyFont="1" applyFill="1" applyProtection="1">
      <protection locked="0"/>
    </xf>
    <xf numFmtId="43" fontId="36" fillId="17" borderId="0" xfId="132" applyFont="1" applyFill="1" applyProtection="1">
      <protection locked="0"/>
    </xf>
    <xf numFmtId="14" fontId="118" fillId="8" borderId="0" xfId="0" applyNumberFormat="1" applyFont="1" applyFill="1" applyAlignment="1" applyProtection="1">
      <alignment vertical="center"/>
    </xf>
    <xf numFmtId="190" fontId="119" fillId="8" borderId="0" xfId="0" applyFont="1" applyFill="1" applyAlignment="1" applyProtection="1">
      <alignment vertical="center"/>
    </xf>
    <xf numFmtId="190" fontId="119" fillId="0" borderId="0" xfId="0" applyFont="1" applyFill="1" applyAlignment="1" applyProtection="1">
      <alignment vertical="center"/>
      <protection hidden="1"/>
    </xf>
    <xf numFmtId="43" fontId="1" fillId="16" borderId="0" xfId="113" applyNumberFormat="1" applyFont="1" applyFill="1" applyBorder="1" applyAlignment="1">
      <alignment horizontal="center" vertical="center"/>
      <protection locked="0"/>
    </xf>
    <xf numFmtId="43" fontId="65" fillId="16" borderId="0" xfId="113" applyNumberFormat="1" applyFont="1" applyFill="1" applyBorder="1" applyAlignment="1">
      <alignment vertical="center"/>
      <protection locked="0"/>
    </xf>
    <xf numFmtId="43" fontId="36" fillId="17" borderId="0" xfId="132" applyFont="1" applyFill="1" applyBorder="1" applyAlignment="1">
      <alignment vertical="center"/>
    </xf>
    <xf numFmtId="43" fontId="36" fillId="17" borderId="0" xfId="132" applyFont="1" applyFill="1" applyBorder="1" applyAlignment="1">
      <alignment horizontal="center" vertical="center"/>
    </xf>
    <xf numFmtId="43" fontId="36" fillId="16" borderId="0" xfId="132" applyFont="1" applyFill="1" applyBorder="1" applyAlignment="1" applyProtection="1">
      <alignment horizontal="center" vertical="center"/>
      <protection locked="0"/>
    </xf>
    <xf numFmtId="43" fontId="36" fillId="16" borderId="0" xfId="132" applyFont="1" applyFill="1" applyBorder="1" applyAlignment="1" applyProtection="1">
      <alignment vertical="center"/>
      <protection locked="0"/>
    </xf>
    <xf numFmtId="43" fontId="36" fillId="0" borderId="0" xfId="132" applyFont="1" applyBorder="1" applyAlignment="1" applyProtection="1">
      <alignment horizontal="center" vertical="center"/>
      <protection locked="0"/>
    </xf>
    <xf numFmtId="43" fontId="36" fillId="0" borderId="0" xfId="132" applyFont="1" applyBorder="1" applyAlignment="1" applyProtection="1">
      <alignment vertical="center"/>
      <protection locked="0"/>
    </xf>
    <xf numFmtId="43" fontId="36" fillId="17" borderId="0" xfId="132" applyFont="1" applyFill="1" applyBorder="1" applyAlignment="1" applyProtection="1">
      <alignment horizontal="center" vertical="center"/>
      <protection locked="0"/>
    </xf>
    <xf numFmtId="43" fontId="36" fillId="17" borderId="0" xfId="132" applyFont="1" applyFill="1" applyBorder="1" applyAlignment="1" applyProtection="1">
      <alignment vertical="center"/>
      <protection locked="0"/>
    </xf>
    <xf numFmtId="190" fontId="120" fillId="0" borderId="0" xfId="132" applyNumberFormat="1" applyFont="1" applyProtection="1">
      <protection locked="0"/>
    </xf>
    <xf numFmtId="43" fontId="36" fillId="0" borderId="0" xfId="132" applyFont="1" applyFill="1" applyProtection="1">
      <protection locked="0"/>
    </xf>
    <xf numFmtId="43" fontId="36" fillId="0" borderId="0" xfId="132" applyFont="1" applyFill="1" applyBorder="1" applyProtection="1">
      <protection locked="0"/>
    </xf>
    <xf numFmtId="190" fontId="10" fillId="0" borderId="56" xfId="132" applyNumberFormat="1" applyFont="1" applyFill="1" applyBorder="1" applyProtection="1">
      <protection locked="0"/>
    </xf>
    <xf numFmtId="190" fontId="10" fillId="0" borderId="11" xfId="132" applyNumberFormat="1" applyFont="1" applyFill="1" applyBorder="1" applyProtection="1">
      <protection locked="0"/>
    </xf>
    <xf numFmtId="43" fontId="36" fillId="0" borderId="1" xfId="132" applyFont="1" applyFill="1" applyBorder="1" applyAlignment="1" applyProtection="1">
      <alignment vertical="center"/>
      <protection locked="0"/>
    </xf>
    <xf numFmtId="43" fontId="36" fillId="0" borderId="0" xfId="132" applyFont="1" applyFill="1" applyBorder="1" applyAlignment="1" applyProtection="1">
      <alignment vertical="center"/>
      <protection locked="0"/>
    </xf>
    <xf numFmtId="43" fontId="36" fillId="0" borderId="2" xfId="132" applyFont="1" applyFill="1" applyBorder="1" applyAlignment="1" applyProtection="1">
      <alignment vertical="center"/>
      <protection locked="0"/>
    </xf>
    <xf numFmtId="190" fontId="104" fillId="0" borderId="20" xfId="116" applyFont="1" applyBorder="1" applyAlignment="1">
      <protection locked="0"/>
    </xf>
    <xf numFmtId="190" fontId="104" fillId="0" borderId="33" xfId="116" applyFont="1" applyBorder="1" applyAlignment="1">
      <protection locked="0"/>
    </xf>
    <xf numFmtId="190" fontId="104" fillId="14" borderId="20" xfId="116" applyFont="1" applyFill="1" applyBorder="1" applyAlignment="1">
      <protection locked="0"/>
    </xf>
    <xf numFmtId="43" fontId="37" fillId="9" borderId="8" xfId="132" applyNumberFormat="1" applyFont="1" applyFill="1" applyBorder="1" applyAlignment="1" applyProtection="1">
      <alignment horizontal="right" vertical="center" shrinkToFit="1"/>
      <protection locked="0"/>
    </xf>
    <xf numFmtId="43" fontId="36" fillId="9" borderId="8" xfId="132" applyFont="1" applyFill="1" applyBorder="1" applyAlignment="1" applyProtection="1">
      <alignment vertical="center" shrinkToFit="1"/>
      <protection hidden="1"/>
    </xf>
    <xf numFmtId="190" fontId="36" fillId="16" borderId="0" xfId="0" applyFont="1" applyFill="1" applyAlignment="1" applyProtection="1">
      <alignment vertical="center"/>
      <protection hidden="1"/>
    </xf>
    <xf numFmtId="43" fontId="36" fillId="16" borderId="0" xfId="132" applyFont="1" applyFill="1" applyAlignment="1" applyProtection="1">
      <alignment vertical="center" shrinkToFit="1"/>
      <protection locked="0"/>
    </xf>
    <xf numFmtId="43" fontId="38" fillId="9" borderId="37" xfId="132" applyFont="1" applyFill="1" applyBorder="1" applyAlignment="1" applyProtection="1">
      <alignment vertical="center"/>
      <protection locked="0"/>
    </xf>
    <xf numFmtId="43" fontId="36" fillId="9" borderId="8" xfId="132" applyFont="1" applyFill="1" applyBorder="1" applyAlignment="1" applyProtection="1">
      <alignment vertical="center"/>
      <protection locked="0"/>
    </xf>
    <xf numFmtId="190" fontId="0" fillId="0" borderId="40" xfId="0" applyFill="1" applyBorder="1" applyAlignment="1" applyProtection="1">
      <alignment horizontal="left" vertical="center" shrinkToFit="1"/>
      <protection hidden="1"/>
    </xf>
    <xf numFmtId="190" fontId="0" fillId="0" borderId="10" xfId="0" applyFill="1" applyBorder="1" applyAlignment="1" applyProtection="1">
      <alignment horizontal="left" vertical="center" shrinkToFit="1"/>
      <protection hidden="1"/>
    </xf>
    <xf numFmtId="190" fontId="0" fillId="0" borderId="68" xfId="0" applyFill="1" applyBorder="1" applyAlignment="1" applyProtection="1">
      <alignment horizontal="left" vertical="center" shrinkToFit="1"/>
      <protection hidden="1"/>
    </xf>
    <xf numFmtId="190" fontId="0" fillId="0" borderId="69" xfId="0" applyFill="1" applyBorder="1" applyAlignment="1" applyProtection="1">
      <alignment horizontal="left" vertical="center" shrinkToFit="1"/>
      <protection hidden="1"/>
    </xf>
    <xf numFmtId="43" fontId="68" fillId="0" borderId="23" xfId="133" applyNumberFormat="1" applyFont="1" applyFill="1" applyBorder="1" applyAlignment="1" applyProtection="1">
      <alignment horizontal="left" vertical="center" shrinkToFit="1"/>
      <protection locked="0"/>
    </xf>
    <xf numFmtId="43" fontId="11" fillId="0" borderId="9" xfId="132" applyNumberFormat="1" applyFont="1" applyFill="1" applyBorder="1" applyAlignment="1" applyProtection="1">
      <alignment horizontal="left" vertical="center" shrinkToFit="1"/>
      <protection locked="0"/>
    </xf>
    <xf numFmtId="43" fontId="68" fillId="0" borderId="9" xfId="133" applyNumberFormat="1" applyFont="1" applyFill="1" applyBorder="1" applyAlignment="1" applyProtection="1">
      <alignment horizontal="left" vertical="center" shrinkToFit="1"/>
      <protection locked="0"/>
    </xf>
    <xf numFmtId="190" fontId="0" fillId="0" borderId="40" xfId="0" applyFill="1" applyBorder="1" applyAlignment="1" applyProtection="1">
      <alignment horizontal="left" vertical="center" shrinkToFit="1"/>
      <protection locked="0"/>
    </xf>
    <xf numFmtId="190" fontId="0" fillId="0" borderId="10" xfId="0" applyFill="1" applyBorder="1" applyAlignment="1" applyProtection="1">
      <alignment horizontal="left" vertical="center" shrinkToFit="1"/>
      <protection locked="0"/>
    </xf>
    <xf numFmtId="190" fontId="0" fillId="0" borderId="68" xfId="0" applyFill="1" applyBorder="1" applyAlignment="1" applyProtection="1">
      <alignment horizontal="left" vertical="center" shrinkToFit="1"/>
      <protection locked="0"/>
    </xf>
    <xf numFmtId="190" fontId="0" fillId="0" borderId="69" xfId="0" applyFill="1" applyBorder="1" applyAlignment="1" applyProtection="1">
      <alignment horizontal="left" vertical="center" shrinkToFit="1"/>
      <protection locked="0"/>
    </xf>
    <xf numFmtId="43" fontId="2" fillId="0" borderId="0" xfId="133" applyNumberFormat="1" applyFont="1" applyBorder="1" applyAlignment="1">
      <alignment horizontal="center" vertical="center"/>
    </xf>
    <xf numFmtId="43" fontId="2" fillId="0" borderId="0" xfId="113" applyNumberFormat="1" applyFont="1" applyBorder="1" applyAlignment="1">
      <alignment horizontal="center" vertical="center"/>
      <protection locked="0"/>
    </xf>
    <xf numFmtId="43" fontId="10" fillId="17" borderId="0" xfId="132" applyFont="1" applyFill="1" applyBorder="1" applyAlignment="1">
      <alignment horizontal="left" vertical="center"/>
    </xf>
    <xf numFmtId="190" fontId="3" fillId="0" borderId="40" xfId="0" applyFont="1" applyFill="1" applyBorder="1" applyAlignment="1" applyProtection="1">
      <alignment horizontal="left" vertical="center" shrinkToFit="1"/>
      <protection hidden="1"/>
    </xf>
    <xf numFmtId="190" fontId="3" fillId="0" borderId="10" xfId="0" applyFont="1" applyFill="1" applyBorder="1" applyAlignment="1" applyProtection="1">
      <alignment horizontal="left" vertical="center" shrinkToFit="1"/>
      <protection hidden="1"/>
    </xf>
    <xf numFmtId="190" fontId="3" fillId="0" borderId="68" xfId="0" applyFont="1" applyFill="1" applyBorder="1" applyAlignment="1" applyProtection="1">
      <alignment horizontal="left" vertical="center" shrinkToFit="1"/>
      <protection hidden="1"/>
    </xf>
    <xf numFmtId="190" fontId="3" fillId="0" borderId="69" xfId="0" applyFont="1" applyFill="1" applyBorder="1" applyAlignment="1" applyProtection="1">
      <alignment horizontal="left" vertical="center" shrinkToFit="1"/>
      <protection hidden="1"/>
    </xf>
    <xf numFmtId="43" fontId="14" fillId="0" borderId="34" xfId="132" applyNumberFormat="1" applyFont="1" applyFill="1" applyBorder="1" applyAlignment="1" applyProtection="1">
      <alignment horizontal="left" vertical="center" shrinkToFit="1"/>
      <protection locked="0"/>
    </xf>
    <xf numFmtId="190" fontId="103" fillId="9" borderId="9" xfId="0" applyFont="1" applyFill="1" applyBorder="1" applyAlignment="1" applyProtection="1">
      <alignment vertical="center" shrinkToFit="1"/>
      <protection locked="0" hidden="1"/>
    </xf>
    <xf numFmtId="190" fontId="103" fillId="9" borderId="24" xfId="0" applyFont="1" applyFill="1" applyBorder="1" applyAlignment="1" applyProtection="1">
      <alignment vertical="center" shrinkToFit="1"/>
      <protection locked="0" hidden="1"/>
    </xf>
    <xf numFmtId="43" fontId="27" fillId="18" borderId="4" xfId="0" applyNumberFormat="1" applyFont="1" applyFill="1" applyBorder="1" applyAlignment="1" applyProtection="1">
      <alignment horizontal="center" vertical="center"/>
    </xf>
    <xf numFmtId="190" fontId="13" fillId="9" borderId="4" xfId="0" applyFont="1" applyFill="1" applyBorder="1" applyAlignment="1" applyProtection="1">
      <alignment vertical="center" wrapText="1" shrinkToFit="1"/>
      <protection locked="0"/>
    </xf>
    <xf numFmtId="190" fontId="13" fillId="6" borderId="4" xfId="0" applyFont="1" applyFill="1" applyBorder="1" applyAlignment="1" applyProtection="1">
      <alignment horizontal="left" vertical="center" indent="1" shrinkToFit="1"/>
    </xf>
    <xf numFmtId="178" fontId="13" fillId="0" borderId="4" xfId="0" applyNumberFormat="1" applyFont="1" applyFill="1" applyBorder="1" applyAlignment="1" applyProtection="1">
      <alignment horizontal="left" vertical="center" shrinkToFit="1"/>
    </xf>
    <xf numFmtId="190" fontId="13" fillId="0" borderId="0" xfId="0" applyFont="1" applyFill="1" applyBorder="1" applyAlignment="1" applyProtection="1">
      <alignment vertical="center" shrinkToFit="1"/>
    </xf>
    <xf numFmtId="31" fontId="103" fillId="9" borderId="9" xfId="0" applyNumberFormat="1" applyFont="1" applyFill="1" applyBorder="1" applyAlignment="1" applyProtection="1">
      <alignment horizontal="left" vertical="center" shrinkToFit="1"/>
      <protection locked="0" hidden="1"/>
    </xf>
    <xf numFmtId="31" fontId="103" fillId="9" borderId="24" xfId="0" applyNumberFormat="1" applyFont="1" applyFill="1" applyBorder="1" applyAlignment="1" applyProtection="1">
      <alignment horizontal="left" vertical="center" shrinkToFit="1"/>
      <protection locked="0" hidden="1"/>
    </xf>
    <xf numFmtId="43" fontId="38" fillId="0" borderId="18" xfId="1" applyNumberFormat="1" applyFont="1" applyBorder="1" applyProtection="1">
      <protection locked="0"/>
    </xf>
    <xf numFmtId="43" fontId="38" fillId="16" borderId="0" xfId="132" applyFont="1" applyFill="1" applyProtection="1">
      <protection locked="0"/>
    </xf>
    <xf numFmtId="190" fontId="121" fillId="0" borderId="0" xfId="132" applyNumberFormat="1" applyFont="1" applyProtection="1">
      <protection locked="0"/>
    </xf>
    <xf numFmtId="3" fontId="6" fillId="8" borderId="22" xfId="0" applyNumberFormat="1" applyFont="1" applyFill="1" applyBorder="1" applyAlignment="1" applyProtection="1">
      <alignment horizontal="center" vertical="center" shrinkToFit="1"/>
    </xf>
    <xf numFmtId="190" fontId="36" fillId="8" borderId="22" xfId="0" applyFont="1" applyFill="1" applyBorder="1" applyAlignment="1" applyProtection="1">
      <alignment horizontal="center" vertical="center" shrinkToFit="1"/>
    </xf>
    <xf numFmtId="190" fontId="16" fillId="0" borderId="0" xfId="0" applyFont="1" applyFill="1" applyAlignment="1" applyProtection="1">
      <alignment vertical="center"/>
      <protection hidden="1"/>
    </xf>
    <xf numFmtId="43" fontId="53" fillId="8" borderId="8" xfId="132" applyNumberFormat="1" applyFont="1" applyFill="1" applyBorder="1" applyAlignment="1" applyProtection="1">
      <alignment horizontal="right" vertical="center" shrinkToFit="1"/>
      <protection locked="0"/>
    </xf>
    <xf numFmtId="43" fontId="38" fillId="8" borderId="37" xfId="132" applyFont="1" applyFill="1" applyBorder="1" applyAlignment="1" applyProtection="1">
      <alignment vertical="center"/>
    </xf>
    <xf numFmtId="43" fontId="38" fillId="8" borderId="40" xfId="132" applyFont="1" applyFill="1" applyBorder="1" applyAlignment="1" applyProtection="1">
      <alignment vertical="center" shrinkToFit="1"/>
    </xf>
    <xf numFmtId="43" fontId="38" fillId="8" borderId="9" xfId="132" applyFont="1" applyFill="1" applyBorder="1" applyAlignment="1" applyProtection="1">
      <alignment vertical="center" shrinkToFit="1"/>
    </xf>
    <xf numFmtId="43" fontId="88" fillId="0" borderId="0" xfId="133" applyNumberFormat="1" applyFont="1" applyFill="1" applyBorder="1" applyAlignment="1">
      <alignment vertical="center"/>
    </xf>
    <xf numFmtId="190" fontId="16" fillId="0" borderId="0" xfId="0" applyFont="1">
      <protection locked="0"/>
    </xf>
    <xf numFmtId="43" fontId="36" fillId="16" borderId="0" xfId="1" applyNumberFormat="1" applyFont="1" applyFill="1" applyProtection="1">
      <protection locked="0"/>
    </xf>
    <xf numFmtId="190" fontId="38" fillId="0" borderId="24" xfId="132" applyNumberFormat="1" applyFont="1" applyBorder="1" applyAlignment="1" applyProtection="1">
      <alignment horizontal="left"/>
      <protection locked="0"/>
    </xf>
    <xf numFmtId="43" fontId="36" fillId="0" borderId="0" xfId="132" applyFont="1" applyFill="1" applyBorder="1" applyAlignment="1" applyProtection="1">
      <alignment horizontal="center" vertical="center"/>
      <protection locked="0"/>
    </xf>
    <xf numFmtId="43" fontId="38" fillId="16" borderId="0" xfId="132" applyFont="1" applyFill="1" applyBorder="1" applyAlignment="1" applyProtection="1">
      <alignment horizontal="center" vertical="center"/>
      <protection locked="0"/>
    </xf>
    <xf numFmtId="176" fontId="53" fillId="0" borderId="0" xfId="110" applyNumberFormat="1" applyFont="1" applyAlignment="1">
      <alignment vertical="center"/>
      <protection locked="0"/>
    </xf>
    <xf numFmtId="176" fontId="17" fillId="0" borderId="26" xfId="110" applyNumberFormat="1" applyFont="1" applyBorder="1" applyAlignment="1" applyProtection="1">
      <alignment horizontal="center" vertical="center" shrinkToFit="1"/>
    </xf>
    <xf numFmtId="176" fontId="53" fillId="0" borderId="9" xfId="110" applyNumberFormat="1" applyFont="1" applyBorder="1" applyAlignment="1">
      <alignment vertical="center"/>
      <protection locked="0"/>
    </xf>
    <xf numFmtId="176" fontId="53" fillId="0" borderId="53" xfId="110" applyNumberFormat="1" applyFont="1" applyBorder="1" applyAlignment="1">
      <alignment vertical="center"/>
      <protection locked="0"/>
    </xf>
    <xf numFmtId="43" fontId="38" fillId="0" borderId="1" xfId="132" applyFont="1" applyBorder="1" applyProtection="1">
      <protection locked="0"/>
    </xf>
    <xf numFmtId="43" fontId="38" fillId="17" borderId="0" xfId="132" applyFont="1" applyFill="1" applyProtection="1">
      <protection locked="0"/>
    </xf>
    <xf numFmtId="190" fontId="10" fillId="0" borderId="2" xfId="132" applyNumberFormat="1" applyFont="1" applyFill="1" applyBorder="1" applyProtection="1">
      <protection locked="0"/>
    </xf>
    <xf numFmtId="43" fontId="38" fillId="0" borderId="2" xfId="132" applyFont="1" applyBorder="1" applyProtection="1">
      <protection locked="0"/>
    </xf>
    <xf numFmtId="176" fontId="123" fillId="0" borderId="0" xfId="132" applyNumberFormat="1" applyFont="1" applyBorder="1" applyAlignment="1" applyProtection="1">
      <alignment vertical="center"/>
    </xf>
    <xf numFmtId="176" fontId="124" fillId="0" borderId="0" xfId="113" applyNumberFormat="1" applyFont="1" applyBorder="1" applyAlignment="1" applyProtection="1">
      <alignment vertical="center"/>
    </xf>
    <xf numFmtId="176" fontId="125" fillId="0" borderId="0" xfId="113" applyNumberFormat="1" applyFont="1" applyBorder="1" applyAlignment="1" applyProtection="1">
      <alignment horizontal="center" vertical="center"/>
    </xf>
    <xf numFmtId="49" fontId="21" fillId="0" borderId="12" xfId="113" applyNumberFormat="1" applyFont="1" applyBorder="1" applyAlignment="1" applyProtection="1">
      <alignment horizontal="center" vertical="center"/>
    </xf>
    <xf numFmtId="43" fontId="38" fillId="0" borderId="20" xfId="132" applyFont="1" applyFill="1" applyBorder="1" applyAlignment="1" applyProtection="1">
      <alignment vertical="center"/>
    </xf>
    <xf numFmtId="43" fontId="36" fillId="0" borderId="0" xfId="113" applyNumberFormat="1" applyFont="1" applyBorder="1" applyAlignment="1">
      <alignment horizontal="center" vertical="center"/>
      <protection locked="0"/>
    </xf>
    <xf numFmtId="43" fontId="10" fillId="16" borderId="0" xfId="113" applyNumberFormat="1" applyFont="1" applyFill="1" applyBorder="1" applyAlignment="1">
      <alignment horizontal="center" vertical="center"/>
      <protection locked="0"/>
    </xf>
    <xf numFmtId="176" fontId="123" fillId="0" borderId="0" xfId="132" applyNumberFormat="1" applyFont="1" applyAlignment="1" applyProtection="1">
      <alignment horizontal="center" vertical="center"/>
    </xf>
    <xf numFmtId="176" fontId="125" fillId="0" borderId="0" xfId="113" applyNumberFormat="1" applyFont="1" applyAlignment="1" applyProtection="1">
      <alignment horizontal="center" vertical="center"/>
    </xf>
    <xf numFmtId="43" fontId="10" fillId="0" borderId="28" xfId="133" applyNumberFormat="1" applyFont="1" applyBorder="1" applyAlignment="1" applyProtection="1">
      <alignment horizontal="center" vertical="center"/>
    </xf>
    <xf numFmtId="43" fontId="36" fillId="0" borderId="27" xfId="132" applyFont="1" applyBorder="1" applyAlignment="1" applyProtection="1">
      <alignment vertical="center"/>
    </xf>
    <xf numFmtId="43" fontId="36" fillId="0" borderId="32" xfId="132" applyFont="1" applyBorder="1" applyAlignment="1" applyProtection="1">
      <alignment vertical="center"/>
    </xf>
    <xf numFmtId="43" fontId="36" fillId="0" borderId="32" xfId="133" applyNumberFormat="1" applyFont="1" applyBorder="1" applyAlignment="1" applyProtection="1">
      <alignment vertical="center"/>
    </xf>
    <xf numFmtId="43" fontId="38" fillId="0" borderId="32" xfId="133" applyNumberFormat="1" applyFont="1" applyBorder="1" applyAlignment="1" applyProtection="1">
      <alignment vertical="center"/>
    </xf>
    <xf numFmtId="43" fontId="88" fillId="0" borderId="0" xfId="133" applyNumberFormat="1" applyFont="1" applyBorder="1" applyAlignment="1">
      <alignment vertical="center"/>
    </xf>
    <xf numFmtId="43" fontId="21" fillId="0" borderId="12" xfId="133" applyNumberFormat="1" applyFont="1" applyBorder="1" applyAlignment="1" applyProtection="1">
      <alignment horizontal="center" vertical="center"/>
    </xf>
    <xf numFmtId="43" fontId="36" fillId="16" borderId="0" xfId="133" applyNumberFormat="1" applyFont="1" applyFill="1" applyBorder="1" applyAlignment="1">
      <alignment vertical="center"/>
    </xf>
    <xf numFmtId="43" fontId="68" fillId="16" borderId="0" xfId="133" applyNumberFormat="1" applyFont="1" applyFill="1" applyBorder="1" applyAlignment="1">
      <alignment vertical="center"/>
    </xf>
    <xf numFmtId="43" fontId="36" fillId="17" borderId="0" xfId="132" applyFont="1" applyFill="1" applyBorder="1" applyAlignment="1">
      <alignment horizontal="left" vertical="center"/>
    </xf>
    <xf numFmtId="43" fontId="21" fillId="0" borderId="11" xfId="125" applyNumberFormat="1" applyFont="1" applyBorder="1" applyAlignment="1">
      <alignment horizontal="left" vertical="center" indent="2"/>
    </xf>
    <xf numFmtId="43" fontId="36" fillId="0" borderId="56" xfId="132" applyFont="1" applyBorder="1" applyAlignment="1" applyProtection="1">
      <alignment vertical="center"/>
      <protection locked="0"/>
    </xf>
    <xf numFmtId="43" fontId="36" fillId="0" borderId="11" xfId="132" applyFont="1" applyBorder="1" applyAlignment="1" applyProtection="1">
      <alignment horizontal="center" vertical="center"/>
      <protection locked="0"/>
    </xf>
    <xf numFmtId="43" fontId="38" fillId="0" borderId="11" xfId="132" applyFont="1" applyBorder="1" applyAlignment="1" applyProtection="1">
      <alignment horizontal="center" vertical="center"/>
      <protection locked="0"/>
    </xf>
    <xf numFmtId="43" fontId="38" fillId="0" borderId="13" xfId="132" applyFont="1" applyFill="1" applyBorder="1" applyAlignment="1" applyProtection="1">
      <alignment vertical="center"/>
      <protection locked="0"/>
    </xf>
    <xf numFmtId="43" fontId="70" fillId="0" borderId="11" xfId="132" applyFont="1" applyBorder="1" applyAlignment="1" applyProtection="1">
      <alignment vertical="center"/>
      <protection locked="0"/>
    </xf>
    <xf numFmtId="43" fontId="38" fillId="0" borderId="11" xfId="132" applyFont="1" applyBorder="1" applyAlignment="1" applyProtection="1">
      <alignment vertical="center"/>
      <protection locked="0"/>
    </xf>
    <xf numFmtId="43" fontId="36" fillId="0" borderId="1" xfId="132" applyFont="1" applyFill="1" applyBorder="1" applyAlignment="1" applyProtection="1">
      <alignment horizontal="center" vertical="center"/>
      <protection locked="0"/>
    </xf>
    <xf numFmtId="43" fontId="36" fillId="0" borderId="2" xfId="132" applyFont="1" applyFill="1" applyBorder="1" applyAlignment="1" applyProtection="1">
      <alignment horizontal="center" vertical="center"/>
      <protection locked="0"/>
    </xf>
    <xf numFmtId="43" fontId="81" fillId="0" borderId="8" xfId="132" applyNumberFormat="1" applyFont="1" applyFill="1" applyBorder="1" applyAlignment="1" applyProtection="1">
      <alignment horizontal="center" vertical="center" shrinkToFit="1"/>
    </xf>
    <xf numFmtId="43" fontId="81" fillId="0" borderId="9" xfId="132" applyNumberFormat="1" applyFont="1" applyFill="1" applyBorder="1" applyAlignment="1" applyProtection="1">
      <alignment horizontal="left" vertical="center" shrinkToFit="1"/>
      <protection locked="0"/>
    </xf>
    <xf numFmtId="190" fontId="122" fillId="0" borderId="37" xfId="0" applyFont="1" applyFill="1" applyBorder="1" applyAlignment="1" applyProtection="1">
      <alignment vertical="center" shrinkToFit="1"/>
    </xf>
    <xf numFmtId="43" fontId="95" fillId="0" borderId="8" xfId="132" applyNumberFormat="1" applyFont="1" applyFill="1" applyBorder="1" applyAlignment="1" applyProtection="1">
      <alignment horizontal="center" vertical="center" shrinkToFit="1"/>
    </xf>
    <xf numFmtId="190" fontId="126" fillId="0" borderId="10" xfId="0" applyFont="1" applyFill="1" applyBorder="1" applyAlignment="1" applyProtection="1">
      <alignment horizontal="left" vertical="center" shrinkToFit="1"/>
      <protection hidden="1"/>
    </xf>
    <xf numFmtId="10" fontId="92" fillId="0" borderId="34" xfId="108" applyNumberFormat="1" applyFont="1" applyFill="1" applyBorder="1" applyAlignment="1" applyProtection="1">
      <alignment horizontal="center" vertical="center" shrinkToFit="1"/>
    </xf>
    <xf numFmtId="43" fontId="95" fillId="0" borderId="30" xfId="132" applyNumberFormat="1" applyFont="1" applyFill="1" applyBorder="1" applyAlignment="1" applyProtection="1">
      <alignment horizontal="center" vertical="center" shrinkToFit="1"/>
    </xf>
    <xf numFmtId="43" fontId="88" fillId="0" borderId="23" xfId="133" applyNumberFormat="1" applyFont="1" applyFill="1" applyBorder="1" applyAlignment="1" applyProtection="1">
      <alignment horizontal="left" vertical="center" shrinkToFit="1"/>
      <protection locked="0"/>
    </xf>
    <xf numFmtId="43" fontId="88" fillId="0" borderId="9" xfId="133" applyNumberFormat="1" applyFont="1" applyFill="1" applyBorder="1" applyAlignment="1" applyProtection="1">
      <alignment horizontal="left" vertical="center" shrinkToFit="1"/>
      <protection locked="0"/>
    </xf>
    <xf numFmtId="43" fontId="37" fillId="0" borderId="8" xfId="132" applyNumberFormat="1" applyFont="1" applyFill="1" applyBorder="1" applyAlignment="1" applyProtection="1">
      <alignment horizontal="center" vertical="center" shrinkToFit="1"/>
    </xf>
    <xf numFmtId="43" fontId="92" fillId="0" borderId="8" xfId="132" applyNumberFormat="1" applyFont="1" applyFill="1" applyBorder="1" applyAlignment="1" applyProtection="1">
      <alignment horizontal="center" vertical="center" shrinkToFit="1"/>
    </xf>
    <xf numFmtId="43" fontId="53" fillId="0" borderId="30" xfId="132" applyNumberFormat="1" applyFont="1" applyFill="1" applyBorder="1" applyAlignment="1" applyProtection="1">
      <alignment horizontal="center" vertical="center" shrinkToFit="1"/>
    </xf>
    <xf numFmtId="43" fontId="92" fillId="0" borderId="30" xfId="132" applyNumberFormat="1" applyFont="1" applyFill="1" applyBorder="1" applyAlignment="1" applyProtection="1">
      <alignment horizontal="center" vertical="center" shrinkToFit="1"/>
    </xf>
    <xf numFmtId="190" fontId="127" fillId="0" borderId="10" xfId="0" applyFont="1" applyFill="1" applyBorder="1" applyAlignment="1" applyProtection="1">
      <alignment horizontal="left" vertical="center" shrinkToFit="1"/>
      <protection locked="0"/>
    </xf>
    <xf numFmtId="43" fontId="93" fillId="0" borderId="22" xfId="132" applyFont="1" applyFill="1" applyBorder="1" applyAlignment="1" applyProtection="1">
      <alignment vertical="center" shrinkToFit="1"/>
    </xf>
    <xf numFmtId="43" fontId="128" fillId="0" borderId="9" xfId="133" applyNumberFormat="1" applyFont="1" applyFill="1" applyBorder="1" applyAlignment="1" applyProtection="1">
      <alignment horizontal="left" vertical="center" shrinkToFit="1"/>
      <protection locked="0"/>
    </xf>
    <xf numFmtId="190" fontId="38" fillId="0" borderId="70" xfId="111" applyFont="1" applyFill="1" applyBorder="1" applyAlignment="1">
      <alignment horizontal="center" wrapText="1"/>
      <protection locked="0"/>
    </xf>
    <xf numFmtId="190" fontId="21" fillId="0" borderId="71" xfId="111" applyFont="1" applyFill="1" applyBorder="1" applyAlignment="1">
      <alignment horizontal="center" wrapText="1"/>
      <protection locked="0"/>
    </xf>
    <xf numFmtId="190" fontId="38" fillId="0" borderId="71" xfId="111" applyFont="1" applyFill="1" applyBorder="1" applyAlignment="1">
      <alignment horizontal="center" wrapText="1"/>
      <protection locked="0"/>
    </xf>
    <xf numFmtId="190" fontId="21" fillId="0" borderId="72" xfId="111" applyFont="1" applyFill="1" applyBorder="1" applyAlignment="1">
      <alignment horizontal="center" wrapText="1"/>
      <protection locked="0"/>
    </xf>
    <xf numFmtId="190" fontId="10" fillId="0" borderId="73" xfId="111" applyFont="1" applyFill="1" applyBorder="1" applyAlignment="1">
      <alignment horizontal="center" wrapText="1"/>
      <protection locked="0"/>
    </xf>
    <xf numFmtId="190" fontId="10" fillId="0" borderId="74" xfId="111" applyFont="1" applyFill="1" applyBorder="1" applyAlignment="1">
      <alignment horizontal="center" wrapText="1"/>
      <protection locked="0"/>
    </xf>
    <xf numFmtId="190" fontId="38" fillId="0" borderId="66" xfId="112" applyFont="1" applyBorder="1" applyAlignment="1">
      <alignment horizontal="center"/>
      <protection locked="0"/>
    </xf>
    <xf numFmtId="190" fontId="10" fillId="0" borderId="0" xfId="112" applyFont="1" applyBorder="1" applyAlignment="1">
      <alignment horizontal="left"/>
      <protection locked="0"/>
    </xf>
    <xf numFmtId="43" fontId="36" fillId="0" borderId="0" xfId="132" applyFont="1" applyBorder="1" applyAlignment="1" applyProtection="1">
      <alignment horizontal="center"/>
      <protection locked="0"/>
    </xf>
    <xf numFmtId="190" fontId="38" fillId="0" borderId="0" xfId="112" applyFont="1" applyBorder="1" applyAlignment="1">
      <alignment horizontal="center"/>
      <protection locked="0"/>
    </xf>
    <xf numFmtId="190" fontId="10" fillId="0" borderId="0" xfId="112" applyFont="1" applyBorder="1" applyAlignment="1">
      <alignment horizontal="centerContinuous"/>
      <protection locked="0"/>
    </xf>
    <xf numFmtId="190" fontId="36" fillId="0" borderId="0" xfId="112" applyFont="1" applyBorder="1" applyAlignment="1">
      <alignment horizontal="centerContinuous"/>
      <protection locked="0"/>
    </xf>
    <xf numFmtId="190" fontId="36" fillId="0" borderId="0" xfId="112" applyFont="1" applyBorder="1">
      <protection locked="0"/>
    </xf>
    <xf numFmtId="190" fontId="10" fillId="0" borderId="2" xfId="112" applyFont="1" applyBorder="1" applyAlignment="1">
      <alignment horizontal="centerContinuous"/>
      <protection locked="0"/>
    </xf>
    <xf numFmtId="190" fontId="36" fillId="0" borderId="2" xfId="112" applyFont="1" applyBorder="1" applyAlignment="1">
      <alignment horizontal="centerContinuous"/>
      <protection locked="0"/>
    </xf>
    <xf numFmtId="190" fontId="10" fillId="14" borderId="67" xfId="112" applyFont="1" applyFill="1" applyBorder="1" applyAlignment="1">
      <alignment horizontal="center"/>
      <protection locked="0"/>
    </xf>
    <xf numFmtId="9" fontId="36" fillId="14" borderId="67" xfId="132" applyNumberFormat="1" applyFont="1" applyFill="1" applyBorder="1" applyAlignment="1" applyProtection="1">
      <alignment horizontal="center"/>
      <protection locked="0"/>
    </xf>
    <xf numFmtId="190" fontId="10" fillId="0" borderId="0" xfId="112" applyFont="1" applyFill="1">
      <protection locked="0"/>
    </xf>
    <xf numFmtId="190" fontId="36" fillId="0" borderId="0" xfId="112" applyFont="1" applyAlignment="1">
      <alignment horizontal="right"/>
      <protection locked="0"/>
    </xf>
    <xf numFmtId="190" fontId="36" fillId="0" borderId="0" xfId="112" applyFont="1" applyAlignment="1">
      <alignment horizontal="centerContinuous"/>
      <protection locked="0"/>
    </xf>
    <xf numFmtId="190" fontId="10" fillId="14" borderId="67" xfId="112" applyFont="1" applyFill="1" applyBorder="1">
      <protection locked="0"/>
    </xf>
    <xf numFmtId="43" fontId="36" fillId="0" borderId="67" xfId="132" applyFont="1" applyBorder="1" applyProtection="1">
      <protection locked="0"/>
    </xf>
    <xf numFmtId="43" fontId="10" fillId="14" borderId="67" xfId="132" applyFont="1" applyFill="1" applyBorder="1" applyProtection="1">
      <protection locked="0"/>
    </xf>
    <xf numFmtId="43" fontId="38" fillId="14" borderId="67" xfId="132" applyFont="1" applyFill="1" applyBorder="1" applyAlignment="1" applyProtection="1">
      <alignment horizontal="centerContinuous"/>
      <protection locked="0"/>
    </xf>
    <xf numFmtId="215" fontId="36" fillId="14" borderId="67" xfId="132" applyNumberFormat="1" applyFont="1" applyFill="1" applyBorder="1" applyProtection="1">
      <protection locked="0"/>
    </xf>
    <xf numFmtId="190" fontId="36" fillId="14" borderId="67" xfId="112" applyFont="1" applyFill="1" applyBorder="1">
      <protection locked="0"/>
    </xf>
    <xf numFmtId="215" fontId="36" fillId="14" borderId="0" xfId="132" applyNumberFormat="1" applyFont="1" applyFill="1" applyProtection="1">
      <protection locked="0"/>
    </xf>
    <xf numFmtId="190" fontId="13" fillId="0" borderId="0" xfId="112" applyFont="1" applyAlignment="1">
      <alignment horizontal="left"/>
      <protection locked="0"/>
    </xf>
    <xf numFmtId="190" fontId="13" fillId="0" borderId="0" xfId="111" applyFont="1">
      <protection locked="0"/>
    </xf>
    <xf numFmtId="43" fontId="36" fillId="0" borderId="11" xfId="132" applyFont="1" applyBorder="1" applyAlignment="1" applyProtection="1">
      <alignment vertical="center"/>
      <protection locked="0"/>
    </xf>
    <xf numFmtId="43" fontId="38" fillId="0" borderId="13" xfId="132" applyFont="1" applyBorder="1" applyAlignment="1" applyProtection="1">
      <alignment horizontal="center" vertical="center"/>
      <protection locked="0"/>
    </xf>
    <xf numFmtId="43" fontId="95" fillId="0" borderId="9" xfId="132" applyNumberFormat="1" applyFont="1" applyFill="1" applyBorder="1" applyAlignment="1" applyProtection="1">
      <alignment horizontal="right" vertical="center" shrinkToFit="1"/>
      <protection locked="0"/>
    </xf>
    <xf numFmtId="190" fontId="36" fillId="0" borderId="40" xfId="0" applyFont="1" applyFill="1" applyBorder="1" applyAlignment="1" applyProtection="1">
      <alignment horizontal="left" vertical="center" shrinkToFit="1"/>
      <protection locked="0"/>
    </xf>
    <xf numFmtId="43" fontId="37" fillId="0" borderId="9" xfId="132" applyNumberFormat="1" applyFont="1" applyFill="1" applyBorder="1" applyAlignment="1" applyProtection="1">
      <alignment horizontal="right" vertical="center" shrinkToFit="1"/>
      <protection locked="0"/>
    </xf>
    <xf numFmtId="43" fontId="92" fillId="0" borderId="9" xfId="132" applyNumberFormat="1" applyFont="1" applyFill="1" applyBorder="1" applyAlignment="1" applyProtection="1">
      <alignment horizontal="right" vertical="center" shrinkToFit="1"/>
      <protection locked="0"/>
    </xf>
    <xf numFmtId="190" fontId="5" fillId="0" borderId="20" xfId="116" applyBorder="1" applyAlignment="1">
      <protection locked="0"/>
    </xf>
    <xf numFmtId="190" fontId="130" fillId="0" borderId="0" xfId="0" applyFont="1" applyFill="1" applyAlignment="1" applyProtection="1">
      <alignment shrinkToFit="1"/>
      <protection hidden="1"/>
    </xf>
    <xf numFmtId="190" fontId="131" fillId="0" borderId="0" xfId="112" applyFont="1">
      <protection locked="0"/>
    </xf>
    <xf numFmtId="190" fontId="131" fillId="0" borderId="0" xfId="0" applyFont="1" applyFill="1" applyAlignment="1" applyProtection="1">
      <alignment horizontal="center"/>
      <protection hidden="1"/>
    </xf>
    <xf numFmtId="43" fontId="65" fillId="0" borderId="0" xfId="133" applyNumberFormat="1" applyFont="1" applyFill="1" applyBorder="1" applyAlignment="1">
      <alignment vertical="center"/>
    </xf>
    <xf numFmtId="10" fontId="53" fillId="0" borderId="8" xfId="108" applyNumberFormat="1" applyFont="1" applyFill="1" applyBorder="1" applyAlignment="1" applyProtection="1">
      <alignment horizontal="center" vertical="center" shrinkToFit="1"/>
    </xf>
    <xf numFmtId="43" fontId="38" fillId="0" borderId="8" xfId="132" applyNumberFormat="1" applyFont="1" applyFill="1" applyBorder="1" applyAlignment="1" applyProtection="1">
      <alignment horizontal="center" vertical="center" shrinkToFit="1"/>
    </xf>
    <xf numFmtId="43" fontId="36" fillId="0" borderId="8" xfId="132" applyNumberFormat="1" applyFont="1" applyFill="1" applyBorder="1" applyAlignment="1" applyProtection="1">
      <alignment horizontal="center" vertical="center" shrinkToFit="1"/>
    </xf>
    <xf numFmtId="43" fontId="93" fillId="0" borderId="8" xfId="132" applyNumberFormat="1" applyFont="1" applyFill="1" applyBorder="1" applyAlignment="1" applyProtection="1">
      <alignment horizontal="center" vertical="center" shrinkToFit="1"/>
    </xf>
    <xf numFmtId="43" fontId="53" fillId="8" borderId="9" xfId="132" applyNumberFormat="1" applyFont="1" applyFill="1" applyBorder="1" applyAlignment="1" applyProtection="1">
      <alignment horizontal="right" vertical="center" shrinkToFit="1"/>
    </xf>
    <xf numFmtId="43" fontId="53" fillId="8" borderId="18" xfId="132" applyNumberFormat="1" applyFont="1" applyFill="1" applyBorder="1" applyAlignment="1" applyProtection="1">
      <alignment horizontal="right" vertical="center" shrinkToFit="1"/>
      <protection locked="0"/>
    </xf>
    <xf numFmtId="43" fontId="53" fillId="8" borderId="18" xfId="132" applyNumberFormat="1" applyFont="1" applyFill="1" applyBorder="1" applyAlignment="1" applyProtection="1">
      <alignment horizontal="right" vertical="center" shrinkToFit="1"/>
    </xf>
    <xf numFmtId="43" fontId="53" fillId="8" borderId="53" xfId="132" applyNumberFormat="1" applyFont="1" applyFill="1" applyBorder="1" applyAlignment="1" applyProtection="1">
      <alignment horizontal="right" vertical="center" shrinkToFit="1"/>
    </xf>
    <xf numFmtId="43" fontId="53" fillId="8" borderId="30" xfId="132" applyNumberFormat="1" applyFont="1" applyFill="1" applyBorder="1" applyAlignment="1" applyProtection="1">
      <alignment horizontal="right" vertical="center" shrinkToFit="1"/>
    </xf>
    <xf numFmtId="43" fontId="53" fillId="8" borderId="34" xfId="132" applyNumberFormat="1" applyFont="1" applyFill="1" applyBorder="1" applyAlignment="1" applyProtection="1">
      <alignment horizontal="right" vertical="center" shrinkToFit="1"/>
    </xf>
    <xf numFmtId="43" fontId="94" fillId="8" borderId="8" xfId="132" applyFont="1" applyFill="1" applyBorder="1" applyAlignment="1" applyProtection="1">
      <alignment vertical="center" shrinkToFit="1"/>
    </xf>
    <xf numFmtId="43" fontId="94" fillId="8" borderId="8" xfId="132" applyFont="1" applyFill="1" applyBorder="1" applyAlignment="1" applyProtection="1">
      <alignment vertical="center"/>
    </xf>
    <xf numFmtId="43" fontId="94" fillId="8" borderId="9" xfId="132" applyFont="1" applyFill="1" applyBorder="1" applyAlignment="1" applyProtection="1">
      <alignment vertical="center" shrinkToFit="1"/>
    </xf>
    <xf numFmtId="10" fontId="53" fillId="0" borderId="8" xfId="108" applyNumberFormat="1" applyFont="1" applyFill="1" applyBorder="1" applyAlignment="1" applyProtection="1">
      <alignment horizontal="right" vertical="center" shrinkToFit="1"/>
    </xf>
    <xf numFmtId="43" fontId="53" fillId="0" borderId="23" xfId="132" applyFont="1" applyBorder="1" applyAlignment="1" applyProtection="1">
      <alignment vertical="center"/>
    </xf>
    <xf numFmtId="43" fontId="37" fillId="0" borderId="8" xfId="114" applyNumberFormat="1" applyFont="1" applyBorder="1" applyProtection="1">
      <protection locked="0"/>
    </xf>
    <xf numFmtId="43" fontId="55" fillId="11" borderId="10" xfId="114" applyNumberFormat="1" applyFont="1" applyFill="1" applyBorder="1" applyAlignment="1" applyProtection="1">
      <alignment horizontal="center"/>
    </xf>
    <xf numFmtId="43" fontId="55" fillId="11" borderId="75" xfId="114" applyNumberFormat="1" applyFont="1" applyFill="1" applyBorder="1" applyAlignment="1" applyProtection="1">
      <alignment horizontal="center"/>
    </xf>
    <xf numFmtId="190" fontId="110" fillId="0" borderId="0" xfId="112" applyFont="1">
      <protection locked="0"/>
    </xf>
    <xf numFmtId="190" fontId="26" fillId="0" borderId="0" xfId="112" applyFont="1">
      <protection locked="0"/>
    </xf>
    <xf numFmtId="190" fontId="94" fillId="0" borderId="0" xfId="112" applyFont="1">
      <protection locked="0"/>
    </xf>
    <xf numFmtId="43" fontId="36" fillId="19" borderId="0" xfId="132" applyFont="1" applyFill="1" applyProtection="1">
      <protection locked="0"/>
    </xf>
    <xf numFmtId="43" fontId="93" fillId="8" borderId="8" xfId="132" applyFont="1" applyFill="1" applyBorder="1" applyAlignment="1" applyProtection="1">
      <alignment vertical="center" shrinkToFit="1"/>
    </xf>
    <xf numFmtId="43" fontId="93" fillId="8" borderId="8" xfId="132" applyFont="1" applyFill="1" applyBorder="1" applyAlignment="1" applyProtection="1">
      <alignment vertical="center"/>
    </xf>
    <xf numFmtId="43" fontId="93" fillId="8" borderId="9" xfId="132" applyFont="1" applyFill="1" applyBorder="1" applyAlignment="1" applyProtection="1">
      <alignment vertical="center" shrinkToFit="1"/>
    </xf>
    <xf numFmtId="43" fontId="36" fillId="9" borderId="38" xfId="132" applyFont="1" applyFill="1" applyBorder="1" applyAlignment="1" applyProtection="1">
      <alignment vertical="center"/>
      <protection locked="0"/>
    </xf>
    <xf numFmtId="43" fontId="36" fillId="15" borderId="43" xfId="132" applyFont="1" applyFill="1" applyBorder="1" applyAlignment="1" applyProtection="1">
      <alignment horizontal="center"/>
      <protection locked="0"/>
    </xf>
    <xf numFmtId="190" fontId="21" fillId="20" borderId="71" xfId="111" applyFont="1" applyFill="1" applyBorder="1" applyAlignment="1">
      <alignment horizontal="center" wrapText="1"/>
      <protection locked="0"/>
    </xf>
    <xf numFmtId="10" fontId="36" fillId="20" borderId="63" xfId="108" applyNumberFormat="1" applyFont="1" applyFill="1" applyBorder="1" applyAlignment="1" applyProtection="1">
      <alignment horizontal="center" wrapText="1"/>
      <protection locked="0"/>
    </xf>
    <xf numFmtId="10" fontId="36" fillId="20" borderId="64" xfId="108" applyNumberFormat="1" applyFont="1" applyFill="1" applyBorder="1" applyAlignment="1" applyProtection="1">
      <alignment horizontal="center" wrapText="1"/>
      <protection locked="0"/>
    </xf>
    <xf numFmtId="190" fontId="10" fillId="20" borderId="0" xfId="112" applyFont="1" applyFill="1">
      <protection locked="0"/>
    </xf>
    <xf numFmtId="190" fontId="36" fillId="20" borderId="0" xfId="112" applyFont="1" applyFill="1">
      <protection locked="0"/>
    </xf>
    <xf numFmtId="43" fontId="36" fillId="0" borderId="38" xfId="132" applyFont="1" applyBorder="1" applyProtection="1">
      <protection locked="0"/>
    </xf>
    <xf numFmtId="43" fontId="36" fillId="0" borderId="41" xfId="132" applyFont="1" applyBorder="1" applyProtection="1">
      <protection locked="0"/>
    </xf>
    <xf numFmtId="43" fontId="36" fillId="8" borderId="38" xfId="132" applyFont="1" applyFill="1" applyBorder="1" applyAlignment="1" applyProtection="1">
      <alignment vertical="center" shrinkToFit="1"/>
    </xf>
    <xf numFmtId="43" fontId="36" fillId="8" borderId="38" xfId="132" applyFont="1" applyFill="1" applyBorder="1" applyAlignment="1" applyProtection="1">
      <alignment vertical="center"/>
    </xf>
    <xf numFmtId="43" fontId="36" fillId="9" borderId="18" xfId="132" applyFont="1" applyFill="1" applyBorder="1" applyAlignment="1" applyProtection="1">
      <alignment vertical="center"/>
      <protection locked="0"/>
    </xf>
    <xf numFmtId="43" fontId="93" fillId="8" borderId="18" xfId="132" applyFont="1" applyFill="1" applyBorder="1" applyAlignment="1" applyProtection="1">
      <alignment vertical="center" shrinkToFit="1"/>
    </xf>
    <xf numFmtId="43" fontId="93" fillId="8" borderId="18" xfId="132" applyFont="1" applyFill="1" applyBorder="1" applyAlignment="1" applyProtection="1">
      <alignment vertical="center"/>
    </xf>
    <xf numFmtId="43" fontId="38" fillId="8" borderId="53" xfId="132" applyFont="1" applyFill="1" applyBorder="1" applyAlignment="1" applyProtection="1">
      <alignment vertical="center" shrinkToFit="1"/>
    </xf>
    <xf numFmtId="43" fontId="94" fillId="8" borderId="18" xfId="132" applyFont="1" applyFill="1" applyBorder="1" applyAlignment="1" applyProtection="1">
      <alignment vertical="center" shrinkToFit="1"/>
    </xf>
    <xf numFmtId="43" fontId="94" fillId="8" borderId="18" xfId="132" applyFont="1" applyFill="1" applyBorder="1" applyAlignment="1" applyProtection="1">
      <alignment vertical="center"/>
    </xf>
    <xf numFmtId="43" fontId="94" fillId="8" borderId="53" xfId="132" applyFont="1" applyFill="1" applyBorder="1" applyAlignment="1" applyProtection="1">
      <alignment vertical="center" shrinkToFit="1"/>
    </xf>
    <xf numFmtId="43" fontId="56" fillId="4" borderId="0" xfId="114" applyNumberFormat="1" applyFont="1" applyFill="1" applyBorder="1" applyAlignment="1" applyProtection="1">
      <alignment horizontal="left"/>
    </xf>
    <xf numFmtId="43" fontId="89" fillId="4" borderId="0" xfId="114" applyNumberFormat="1" applyFont="1" applyFill="1" applyBorder="1" applyAlignment="1" applyProtection="1">
      <alignment horizontal="left"/>
    </xf>
    <xf numFmtId="176" fontId="10" fillId="0" borderId="21" xfId="110" applyNumberFormat="1" applyFont="1" applyBorder="1" applyAlignment="1" applyProtection="1">
      <alignment horizontal="left" vertical="center" indent="1"/>
    </xf>
    <xf numFmtId="43" fontId="36" fillId="0" borderId="77" xfId="132" applyFont="1" applyFill="1" applyBorder="1" applyAlignment="1" applyProtection="1">
      <alignment vertical="center" shrinkToFit="1"/>
    </xf>
    <xf numFmtId="43" fontId="38" fillId="0" borderId="77" xfId="132" applyFont="1" applyFill="1" applyBorder="1" applyAlignment="1" applyProtection="1">
      <alignment vertical="center" shrinkToFit="1"/>
    </xf>
    <xf numFmtId="10" fontId="38" fillId="0" borderId="77" xfId="108" applyNumberFormat="1" applyFont="1" applyFill="1" applyBorder="1" applyAlignment="1" applyProtection="1">
      <alignment horizontal="center" vertical="center" shrinkToFit="1"/>
    </xf>
    <xf numFmtId="43" fontId="38" fillId="0" borderId="77" xfId="132" applyFont="1" applyFill="1" applyBorder="1" applyAlignment="1" applyProtection="1">
      <alignment horizontal="center" vertical="center" shrinkToFit="1"/>
    </xf>
    <xf numFmtId="190" fontId="10" fillId="0" borderId="78" xfId="0" applyFont="1" applyFill="1" applyBorder="1" applyAlignment="1" applyProtection="1">
      <alignment horizontal="left" vertical="center" shrinkToFit="1"/>
      <protection locked="0"/>
    </xf>
    <xf numFmtId="10" fontId="36" fillId="0" borderId="77" xfId="108" applyNumberFormat="1" applyFont="1" applyFill="1" applyBorder="1" applyAlignment="1" applyProtection="1">
      <alignment vertical="center" shrinkToFit="1"/>
    </xf>
    <xf numFmtId="10" fontId="36" fillId="0" borderId="77" xfId="108" applyNumberFormat="1" applyFont="1" applyFill="1" applyBorder="1" applyAlignment="1" applyProtection="1">
      <alignment horizontal="center" vertical="center" shrinkToFit="1"/>
    </xf>
    <xf numFmtId="43" fontId="36" fillId="0" borderId="77" xfId="132" applyFont="1" applyFill="1" applyBorder="1" applyAlignment="1" applyProtection="1">
      <alignment horizontal="center" vertical="center" shrinkToFit="1"/>
    </xf>
    <xf numFmtId="10" fontId="37" fillId="0" borderId="77" xfId="108" applyNumberFormat="1" applyFont="1" applyFill="1" applyBorder="1" applyAlignment="1" applyProtection="1">
      <alignment horizontal="center" vertical="center" shrinkToFit="1"/>
    </xf>
    <xf numFmtId="43" fontId="36" fillId="0" borderId="77" xfId="132" applyNumberFormat="1" applyFont="1" applyFill="1" applyBorder="1" applyAlignment="1" applyProtection="1">
      <alignment horizontal="center" vertical="center" shrinkToFit="1"/>
    </xf>
    <xf numFmtId="43" fontId="68" fillId="0" borderId="78" xfId="133" applyNumberFormat="1" applyFont="1" applyFill="1" applyBorder="1" applyAlignment="1" applyProtection="1">
      <alignment horizontal="left" vertical="center" shrinkToFit="1"/>
      <protection locked="0"/>
    </xf>
    <xf numFmtId="10" fontId="37" fillId="0" borderId="77" xfId="108" applyNumberFormat="1" applyFont="1" applyFill="1" applyBorder="1" applyAlignment="1" applyProtection="1">
      <alignment horizontal="right" vertical="center" shrinkToFit="1"/>
    </xf>
    <xf numFmtId="43" fontId="37" fillId="0" borderId="77" xfId="132" applyNumberFormat="1" applyFont="1" applyFill="1" applyBorder="1" applyAlignment="1" applyProtection="1">
      <alignment horizontal="center" vertical="center" shrinkToFit="1"/>
    </xf>
    <xf numFmtId="43" fontId="38" fillId="0" borderId="9" xfId="1" applyNumberFormat="1" applyFont="1" applyBorder="1" applyProtection="1">
      <protection locked="0"/>
    </xf>
    <xf numFmtId="43" fontId="37" fillId="0" borderId="10" xfId="132" applyFont="1" applyBorder="1" applyAlignment="1" applyProtection="1">
      <alignment vertical="center"/>
    </xf>
    <xf numFmtId="176" fontId="10" fillId="0" borderId="24" xfId="110" applyNumberFormat="1" applyFont="1" applyBorder="1" applyAlignment="1" applyProtection="1">
      <alignment vertical="center"/>
    </xf>
    <xf numFmtId="176" fontId="21" fillId="0" borderId="24" xfId="110" applyNumberFormat="1" applyFont="1" applyBorder="1" applyAlignment="1" applyProtection="1">
      <alignment vertical="center"/>
    </xf>
    <xf numFmtId="176" fontId="21" fillId="0" borderId="39" xfId="110" applyNumberFormat="1" applyFont="1" applyBorder="1" applyAlignment="1" applyProtection="1">
      <alignment vertical="center"/>
    </xf>
    <xf numFmtId="43" fontId="10" fillId="0" borderId="79" xfId="133" applyNumberFormat="1" applyFont="1" applyBorder="1" applyAlignment="1" applyProtection="1">
      <alignment horizontal="center" vertical="center"/>
    </xf>
    <xf numFmtId="43" fontId="38" fillId="0" borderId="81" xfId="133" applyNumberFormat="1" applyFont="1" applyBorder="1" applyAlignment="1" applyProtection="1">
      <alignment vertical="center"/>
    </xf>
    <xf numFmtId="43" fontId="138" fillId="0" borderId="0" xfId="114" applyNumberFormat="1" applyFont="1" applyAlignment="1" applyProtection="1">
      <alignment vertical="center"/>
      <protection locked="0"/>
    </xf>
    <xf numFmtId="176" fontId="139" fillId="0" borderId="0" xfId="110" applyNumberFormat="1" applyFont="1" applyAlignment="1" applyProtection="1">
      <alignment horizontal="left" vertical="center"/>
    </xf>
    <xf numFmtId="176" fontId="140" fillId="0" borderId="0" xfId="110" applyNumberFormat="1" applyFont="1" applyBorder="1" applyAlignment="1" applyProtection="1">
      <alignment horizontal="left" vertical="center"/>
    </xf>
    <xf numFmtId="177" fontId="37" fillId="0" borderId="38" xfId="114" applyNumberFormat="1" applyFont="1" applyBorder="1" applyAlignment="1">
      <alignment horizontal="left" vertical="center" wrapText="1"/>
      <protection locked="0"/>
    </xf>
    <xf numFmtId="177" fontId="37" fillId="0" borderId="31" xfId="114" applyNumberFormat="1" applyFont="1" applyBorder="1" applyAlignment="1">
      <alignment horizontal="left" vertical="center" wrapText="1"/>
      <protection locked="0"/>
    </xf>
    <xf numFmtId="177" fontId="37" fillId="0" borderId="22" xfId="114" applyNumberFormat="1" applyFont="1" applyBorder="1" applyAlignment="1">
      <alignment horizontal="left" vertical="center" wrapText="1"/>
      <protection locked="0"/>
    </xf>
    <xf numFmtId="43" fontId="3" fillId="0" borderId="24" xfId="114" applyNumberFormat="1" applyFont="1" applyBorder="1" applyAlignment="1">
      <alignment shrinkToFit="1"/>
      <protection locked="0"/>
    </xf>
    <xf numFmtId="43" fontId="38" fillId="0" borderId="8" xfId="132" applyFont="1" applyFill="1" applyBorder="1" applyProtection="1">
      <protection locked="0"/>
    </xf>
    <xf numFmtId="43" fontId="38" fillId="0" borderId="9" xfId="132" applyFont="1" applyFill="1" applyBorder="1" applyProtection="1">
      <protection locked="0"/>
    </xf>
    <xf numFmtId="43" fontId="37" fillId="0" borderId="8" xfId="132" applyFont="1" applyFill="1" applyBorder="1" applyAlignment="1" applyProtection="1">
      <alignment vertical="center"/>
    </xf>
    <xf numFmtId="190" fontId="13" fillId="21" borderId="4" xfId="0" applyFont="1" applyFill="1" applyBorder="1" applyAlignment="1" applyProtection="1">
      <alignment vertical="center" shrinkToFit="1"/>
    </xf>
    <xf numFmtId="190" fontId="13" fillId="21" borderId="4" xfId="0" applyFont="1" applyFill="1" applyBorder="1" applyAlignment="1" applyProtection="1">
      <alignment horizontal="left" vertical="center" indent="1" shrinkToFit="1"/>
    </xf>
    <xf numFmtId="190" fontId="132" fillId="21" borderId="4" xfId="0" applyFont="1" applyFill="1" applyBorder="1" applyAlignment="1" applyProtection="1">
      <alignment vertical="center" shrinkToFit="1"/>
    </xf>
    <xf numFmtId="178" fontId="10" fillId="21" borderId="4" xfId="0" applyNumberFormat="1" applyFont="1" applyFill="1" applyBorder="1" applyAlignment="1" applyProtection="1">
      <alignment horizontal="left" vertical="center" shrinkToFit="1"/>
    </xf>
    <xf numFmtId="43" fontId="37" fillId="0" borderId="0" xfId="114" applyNumberFormat="1" applyFont="1" applyFill="1" applyAlignment="1" applyProtection="1">
      <alignment horizontal="center"/>
      <protection locked="0"/>
    </xf>
    <xf numFmtId="43" fontId="37" fillId="22" borderId="0" xfId="114" applyNumberFormat="1" applyFont="1" applyFill="1" applyAlignment="1" applyProtection="1">
      <alignment horizontal="center"/>
      <protection locked="0"/>
    </xf>
    <xf numFmtId="43" fontId="37" fillId="0" borderId="0" xfId="114" applyNumberFormat="1" applyFont="1" applyFill="1" applyProtection="1">
      <protection locked="0"/>
    </xf>
    <xf numFmtId="43" fontId="38" fillId="23" borderId="0" xfId="1" applyNumberFormat="1" applyFont="1" applyFill="1" applyProtection="1">
      <protection locked="0"/>
    </xf>
    <xf numFmtId="43" fontId="38" fillId="23" borderId="0" xfId="132" applyFont="1" applyFill="1" applyProtection="1">
      <protection locked="0"/>
    </xf>
    <xf numFmtId="43" fontId="37" fillId="0" borderId="0" xfId="114" applyNumberFormat="1" applyFont="1" applyFill="1" applyAlignment="1">
      <alignment wrapText="1"/>
      <protection locked="0"/>
    </xf>
    <xf numFmtId="43" fontId="37" fillId="0" borderId="0" xfId="114" applyNumberFormat="1" applyFont="1" applyFill="1" applyAlignment="1">
      <alignment horizontal="center"/>
      <protection locked="0"/>
    </xf>
    <xf numFmtId="43" fontId="37" fillId="0" borderId="0" xfId="114" applyNumberFormat="1" applyFont="1" applyFill="1">
      <protection locked="0"/>
    </xf>
    <xf numFmtId="43" fontId="37" fillId="0" borderId="0" xfId="114" applyNumberFormat="1" applyFont="1" applyFill="1" applyAlignment="1" applyProtection="1">
      <alignment horizontal="center"/>
    </xf>
    <xf numFmtId="43" fontId="37" fillId="0" borderId="0" xfId="114" applyNumberFormat="1" applyFont="1" applyFill="1" applyProtection="1"/>
    <xf numFmtId="43" fontId="37" fillId="0" borderId="22" xfId="132" applyFont="1" applyFill="1" applyBorder="1" applyAlignment="1" applyProtection="1">
      <alignment vertical="center"/>
    </xf>
    <xf numFmtId="43" fontId="53" fillId="0" borderId="22" xfId="132" applyFont="1" applyFill="1" applyBorder="1" applyAlignment="1" applyProtection="1">
      <alignment vertical="center"/>
    </xf>
    <xf numFmtId="43" fontId="37" fillId="0" borderId="0" xfId="132" applyFont="1" applyFill="1" applyAlignment="1" applyProtection="1">
      <alignment vertical="center"/>
    </xf>
    <xf numFmtId="176" fontId="90" fillId="24" borderId="0" xfId="110" applyNumberFormat="1" applyFont="1" applyFill="1" applyAlignment="1" applyProtection="1">
      <alignment vertical="center"/>
    </xf>
    <xf numFmtId="176" fontId="141" fillId="14" borderId="0" xfId="110" applyNumberFormat="1" applyFont="1" applyFill="1" applyAlignment="1" applyProtection="1">
      <alignment vertical="center"/>
    </xf>
    <xf numFmtId="176" fontId="141" fillId="24" borderId="0" xfId="110" applyNumberFormat="1" applyFont="1" applyFill="1" applyAlignment="1" applyProtection="1">
      <alignment vertical="center"/>
    </xf>
    <xf numFmtId="43" fontId="90" fillId="24" borderId="0" xfId="132" applyFont="1" applyFill="1" applyAlignment="1" applyProtection="1">
      <alignment vertical="center"/>
    </xf>
    <xf numFmtId="43" fontId="36" fillId="0" borderId="8" xfId="132" applyFont="1" applyFill="1" applyBorder="1" applyProtection="1">
      <protection locked="0"/>
    </xf>
    <xf numFmtId="43" fontId="53" fillId="0" borderId="8" xfId="132" applyFont="1" applyFill="1" applyBorder="1" applyAlignment="1" applyProtection="1">
      <alignment vertical="center"/>
    </xf>
    <xf numFmtId="43" fontId="53" fillId="0" borderId="23" xfId="132" applyFont="1" applyFill="1" applyBorder="1" applyAlignment="1" applyProtection="1">
      <alignment vertical="center"/>
    </xf>
    <xf numFmtId="43" fontId="37" fillId="0" borderId="23" xfId="132" applyFont="1" applyFill="1" applyBorder="1" applyAlignment="1" applyProtection="1">
      <alignment vertical="center"/>
    </xf>
    <xf numFmtId="43" fontId="37" fillId="0" borderId="8" xfId="132" applyFont="1" applyFill="1" applyBorder="1" applyAlignment="1" applyProtection="1">
      <alignment vertical="center"/>
      <protection locked="0"/>
    </xf>
    <xf numFmtId="43" fontId="37" fillId="0" borderId="9" xfId="132" applyFont="1" applyFill="1" applyBorder="1" applyAlignment="1" applyProtection="1">
      <alignment vertical="center"/>
    </xf>
    <xf numFmtId="43" fontId="53" fillId="0" borderId="9" xfId="132" applyFont="1" applyFill="1" applyBorder="1" applyAlignment="1" applyProtection="1">
      <alignment vertical="center"/>
    </xf>
    <xf numFmtId="176" fontId="37" fillId="0" borderId="0" xfId="110" applyNumberFormat="1" applyFont="1" applyFill="1" applyAlignment="1" applyProtection="1">
      <alignment vertical="center"/>
    </xf>
    <xf numFmtId="3" fontId="10" fillId="8" borderId="38" xfId="0" applyNumberFormat="1" applyFont="1" applyFill="1" applyBorder="1" applyAlignment="1" applyProtection="1">
      <alignment horizontal="center" vertical="center" shrinkToFit="1"/>
    </xf>
    <xf numFmtId="190" fontId="141" fillId="14" borderId="0" xfId="132" applyNumberFormat="1" applyFont="1" applyFill="1" applyAlignment="1" applyProtection="1">
      <alignment horizontal="left" vertical="center"/>
    </xf>
    <xf numFmtId="43" fontId="141" fillId="24" borderId="0" xfId="132" applyFont="1" applyFill="1" applyAlignment="1" applyProtection="1">
      <alignment vertical="center"/>
    </xf>
    <xf numFmtId="176" fontId="141" fillId="0" borderId="0" xfId="110" applyNumberFormat="1" applyFont="1" applyAlignment="1">
      <alignment vertical="center"/>
      <protection locked="0"/>
    </xf>
    <xf numFmtId="43" fontId="141" fillId="14" borderId="0" xfId="132" applyFont="1" applyFill="1" applyAlignment="1" applyProtection="1">
      <alignment vertical="center"/>
    </xf>
    <xf numFmtId="176" fontId="141" fillId="0" borderId="0" xfId="110" applyNumberFormat="1" applyFont="1" applyAlignment="1" applyProtection="1">
      <alignment vertical="center"/>
      <protection locked="0"/>
    </xf>
    <xf numFmtId="177" fontId="3" fillId="0" borderId="8" xfId="114" applyNumberFormat="1" applyFont="1" applyBorder="1" applyAlignment="1">
      <alignment horizontal="center" vertical="center"/>
      <protection locked="0"/>
    </xf>
    <xf numFmtId="190" fontId="10" fillId="21" borderId="4" xfId="0" applyFont="1" applyFill="1" applyBorder="1" applyAlignment="1" applyProtection="1">
      <alignment vertical="center" shrinkToFit="1"/>
    </xf>
    <xf numFmtId="178" fontId="13" fillId="0" borderId="4" xfId="0" applyNumberFormat="1" applyFont="1" applyFill="1" applyBorder="1" applyAlignment="1" applyProtection="1">
      <alignment horizontal="left" vertical="center" shrinkToFit="1"/>
      <protection locked="0"/>
    </xf>
    <xf numFmtId="43" fontId="38" fillId="23" borderId="0" xfId="132" applyFont="1" applyFill="1" applyBorder="1" applyAlignment="1" applyProtection="1">
      <alignment horizontal="center" vertical="center"/>
      <protection locked="0"/>
    </xf>
    <xf numFmtId="43" fontId="38" fillId="25" borderId="0" xfId="132" applyFont="1" applyFill="1" applyProtection="1">
      <protection locked="0"/>
    </xf>
    <xf numFmtId="43" fontId="10" fillId="0" borderId="11" xfId="125" applyNumberFormat="1" applyFont="1" applyFill="1" applyBorder="1" applyAlignment="1">
      <alignment vertical="center"/>
    </xf>
    <xf numFmtId="43" fontId="10" fillId="0" borderId="11" xfId="125" applyNumberFormat="1" applyFont="1" applyFill="1" applyBorder="1" applyAlignment="1">
      <alignment horizontal="left" vertical="center" indent="1"/>
    </xf>
    <xf numFmtId="43" fontId="36" fillId="23" borderId="0" xfId="132" applyFont="1" applyFill="1" applyBorder="1" applyAlignment="1" applyProtection="1">
      <alignment vertical="center"/>
      <protection locked="0"/>
    </xf>
    <xf numFmtId="43" fontId="36" fillId="25" borderId="0" xfId="132" applyFont="1" applyFill="1" applyBorder="1" applyAlignment="1" applyProtection="1">
      <alignment vertical="center"/>
      <protection locked="0"/>
    </xf>
    <xf numFmtId="43" fontId="56" fillId="4" borderId="0" xfId="114" applyNumberFormat="1" applyFont="1" applyFill="1" applyBorder="1" applyAlignment="1" applyProtection="1">
      <alignment horizontal="center"/>
    </xf>
    <xf numFmtId="43" fontId="36" fillId="0" borderId="24" xfId="1" applyNumberFormat="1" applyFont="1" applyBorder="1" applyProtection="1">
      <protection locked="0"/>
    </xf>
    <xf numFmtId="3" fontId="6" fillId="8" borderId="31" xfId="0" applyNumberFormat="1" applyFont="1" applyFill="1" applyBorder="1" applyAlignment="1" applyProtection="1">
      <alignment horizontal="center" vertical="center" shrinkToFit="1"/>
    </xf>
    <xf numFmtId="43" fontId="36" fillId="0" borderId="22" xfId="132" applyFont="1" applyBorder="1" applyProtection="1">
      <protection locked="0"/>
    </xf>
    <xf numFmtId="43" fontId="144" fillId="14" borderId="0" xfId="132" applyFont="1" applyFill="1" applyAlignment="1" applyProtection="1">
      <alignment vertical="center"/>
    </xf>
    <xf numFmtId="43" fontId="3" fillId="0" borderId="10" xfId="114" applyNumberFormat="1" applyFont="1" applyBorder="1" applyAlignment="1">
      <alignment horizontal="center"/>
      <protection locked="0"/>
    </xf>
    <xf numFmtId="43" fontId="21" fillId="0" borderId="28" xfId="133" applyNumberFormat="1" applyFont="1" applyBorder="1" applyAlignment="1" applyProtection="1">
      <alignment horizontal="center" vertical="center"/>
    </xf>
    <xf numFmtId="43" fontId="38" fillId="0" borderId="27" xfId="132" applyFont="1" applyBorder="1" applyAlignment="1" applyProtection="1">
      <alignment vertical="center"/>
    </xf>
    <xf numFmtId="43" fontId="38" fillId="0" borderId="32" xfId="132" applyFont="1" applyBorder="1" applyAlignment="1" applyProtection="1">
      <alignment vertical="center"/>
    </xf>
    <xf numFmtId="43" fontId="3" fillId="0" borderId="9" xfId="114" applyNumberFormat="1" applyFont="1" applyBorder="1">
      <protection locked="0"/>
    </xf>
    <xf numFmtId="190" fontId="10" fillId="0" borderId="4" xfId="0" applyNumberFormat="1" applyFont="1" applyFill="1" applyBorder="1" applyAlignment="1" applyProtection="1">
      <alignment vertical="center" shrinkToFit="1"/>
    </xf>
    <xf numFmtId="190" fontId="10" fillId="26" borderId="4" xfId="0" applyFont="1" applyFill="1" applyBorder="1" applyAlignment="1" applyProtection="1">
      <alignment vertical="center" shrinkToFit="1"/>
    </xf>
    <xf numFmtId="190" fontId="10" fillId="27" borderId="4" xfId="0" applyFont="1" applyFill="1" applyBorder="1" applyAlignment="1" applyProtection="1">
      <alignment vertical="center" shrinkToFit="1"/>
    </xf>
    <xf numFmtId="190" fontId="10" fillId="28" borderId="4" xfId="0" applyFont="1" applyFill="1" applyBorder="1" applyAlignment="1" applyProtection="1">
      <alignment vertical="center" shrinkToFit="1"/>
    </xf>
    <xf numFmtId="43" fontId="27" fillId="29" borderId="4" xfId="0" applyNumberFormat="1" applyFont="1" applyFill="1" applyBorder="1" applyAlignment="1" applyProtection="1">
      <alignment horizontal="center" vertical="center"/>
    </xf>
    <xf numFmtId="190" fontId="10" fillId="30" borderId="4" xfId="0" applyFont="1" applyFill="1" applyBorder="1" applyAlignment="1" applyProtection="1">
      <alignment vertical="center" shrinkToFit="1"/>
    </xf>
    <xf numFmtId="190" fontId="10" fillId="26" borderId="4" xfId="0" applyFont="1" applyFill="1" applyBorder="1" applyAlignment="1" applyProtection="1">
      <alignment horizontal="left" vertical="center" shrinkToFit="1"/>
    </xf>
    <xf numFmtId="190" fontId="10" fillId="27" borderId="4" xfId="0" applyNumberFormat="1" applyFont="1" applyFill="1" applyBorder="1" applyAlignment="1" applyProtection="1">
      <alignment vertical="center" shrinkToFit="1"/>
    </xf>
    <xf numFmtId="190" fontId="10" fillId="31" borderId="4" xfId="0" applyFont="1" applyFill="1" applyBorder="1" applyAlignment="1" applyProtection="1">
      <alignment vertical="center" shrinkToFit="1"/>
    </xf>
    <xf numFmtId="178" fontId="10" fillId="26" borderId="4" xfId="0" applyNumberFormat="1" applyFont="1" applyFill="1" applyBorder="1" applyAlignment="1" applyProtection="1">
      <alignment horizontal="left" vertical="center" shrinkToFit="1"/>
    </xf>
    <xf numFmtId="178" fontId="10" fillId="32" borderId="4" xfId="0" applyNumberFormat="1" applyFont="1" applyFill="1" applyBorder="1" applyAlignment="1" applyProtection="1">
      <alignment horizontal="left" vertical="center" shrinkToFit="1"/>
    </xf>
    <xf numFmtId="190" fontId="10" fillId="31" borderId="4" xfId="0" applyNumberFormat="1" applyFont="1" applyFill="1" applyBorder="1" applyAlignment="1" applyProtection="1">
      <alignment vertical="center" shrinkToFit="1"/>
    </xf>
    <xf numFmtId="190" fontId="10" fillId="30" borderId="4" xfId="0" applyNumberFormat="1" applyFont="1" applyFill="1" applyBorder="1" applyAlignment="1" applyProtection="1">
      <alignment vertical="center" shrinkToFit="1"/>
    </xf>
    <xf numFmtId="190" fontId="10" fillId="32" borderId="4" xfId="0" applyNumberFormat="1" applyFont="1" applyFill="1" applyBorder="1" applyAlignment="1" applyProtection="1">
      <alignment vertical="center" shrinkToFit="1"/>
    </xf>
    <xf numFmtId="190" fontId="10" fillId="26" borderId="4" xfId="0" applyNumberFormat="1" applyFont="1" applyFill="1" applyBorder="1" applyAlignment="1" applyProtection="1">
      <alignment vertical="center" shrinkToFit="1"/>
    </xf>
    <xf numFmtId="190" fontId="10" fillId="32" borderId="4" xfId="0" applyFont="1" applyFill="1" applyBorder="1" applyAlignment="1" applyProtection="1">
      <alignment vertical="center" shrinkToFit="1"/>
    </xf>
    <xf numFmtId="178" fontId="10" fillId="31" borderId="4" xfId="0" applyNumberFormat="1" applyFont="1" applyFill="1" applyBorder="1" applyAlignment="1" applyProtection="1">
      <alignment horizontal="left" vertical="center" shrinkToFit="1"/>
    </xf>
    <xf numFmtId="190" fontId="13" fillId="31" borderId="4" xfId="0" applyFont="1" applyFill="1" applyBorder="1" applyAlignment="1" applyProtection="1">
      <alignment horizontal="left" vertical="center" indent="1" shrinkToFit="1"/>
    </xf>
    <xf numFmtId="190" fontId="13" fillId="26" borderId="4" xfId="0" applyFont="1" applyFill="1" applyBorder="1" applyAlignment="1" applyProtection="1">
      <alignment horizontal="left" vertical="center" indent="1" shrinkToFit="1"/>
    </xf>
    <xf numFmtId="190" fontId="13" fillId="30" borderId="4" xfId="0" applyFont="1" applyFill="1" applyBorder="1" applyAlignment="1" applyProtection="1">
      <alignment horizontal="left" vertical="center" indent="1" shrinkToFit="1"/>
    </xf>
    <xf numFmtId="43" fontId="59" fillId="4" borderId="2" xfId="114" applyNumberFormat="1" applyFont="1" applyFill="1" applyBorder="1" applyAlignment="1" applyProtection="1">
      <alignment horizontal="center" shrinkToFit="1"/>
      <protection locked="0"/>
    </xf>
    <xf numFmtId="43" fontId="37" fillId="4" borderId="0" xfId="114" applyNumberFormat="1" applyFont="1" applyFill="1" applyAlignment="1" applyProtection="1">
      <alignment shrinkToFit="1"/>
      <protection locked="0"/>
    </xf>
    <xf numFmtId="43" fontId="69" fillId="4" borderId="0" xfId="114" applyNumberFormat="1" applyFont="1" applyFill="1" applyAlignment="1" applyProtection="1">
      <alignment shrinkToFit="1"/>
      <protection locked="0"/>
    </xf>
    <xf numFmtId="43" fontId="69" fillId="4" borderId="0" xfId="114" applyNumberFormat="1" applyFont="1" applyFill="1" applyAlignment="1" applyProtection="1">
      <alignment vertical="center" shrinkToFit="1"/>
      <protection locked="0"/>
    </xf>
    <xf numFmtId="43" fontId="89" fillId="4" borderId="0" xfId="114" applyNumberFormat="1" applyFont="1" applyFill="1" applyBorder="1" applyAlignment="1" applyProtection="1">
      <alignment shrinkToFit="1"/>
      <protection locked="0"/>
    </xf>
    <xf numFmtId="43" fontId="57" fillId="4" borderId="0" xfId="114" applyNumberFormat="1" applyFont="1" applyFill="1" applyBorder="1" applyAlignment="1" applyProtection="1">
      <alignment horizontal="left" shrinkToFit="1"/>
      <protection locked="0"/>
    </xf>
    <xf numFmtId="43" fontId="56" fillId="4" borderId="0" xfId="114" applyNumberFormat="1" applyFont="1" applyFill="1" applyBorder="1" applyAlignment="1" applyProtection="1">
      <alignment horizontal="center" shrinkToFit="1"/>
      <protection locked="0"/>
    </xf>
    <xf numFmtId="43" fontId="89" fillId="4" borderId="0" xfId="114" applyNumberFormat="1" applyFont="1" applyFill="1" applyBorder="1" applyAlignment="1" applyProtection="1">
      <alignment horizontal="left" shrinkToFit="1"/>
      <protection locked="0"/>
    </xf>
    <xf numFmtId="43" fontId="33" fillId="4" borderId="0" xfId="114" applyNumberFormat="1" applyFont="1" applyFill="1" applyAlignment="1" applyProtection="1">
      <alignment shrinkToFit="1"/>
      <protection locked="0"/>
    </xf>
    <xf numFmtId="43" fontId="37" fillId="0" borderId="0" xfId="114" applyNumberFormat="1" applyFont="1" applyFill="1" applyAlignment="1" applyProtection="1">
      <alignment horizontal="center" shrinkToFit="1"/>
      <protection locked="0"/>
    </xf>
    <xf numFmtId="43" fontId="37" fillId="0" borderId="0" xfId="114" applyNumberFormat="1" applyFont="1" applyFill="1" applyAlignment="1" applyProtection="1">
      <alignment shrinkToFit="1"/>
      <protection locked="0"/>
    </xf>
    <xf numFmtId="43" fontId="3" fillId="4" borderId="0" xfId="114" applyNumberFormat="1" applyFont="1" applyFill="1" applyAlignment="1" applyProtection="1">
      <alignment shrinkToFit="1"/>
      <protection locked="0"/>
    </xf>
    <xf numFmtId="190" fontId="36" fillId="0" borderId="24" xfId="132" applyNumberFormat="1" applyFont="1" applyBorder="1" applyProtection="1">
      <protection locked="0"/>
    </xf>
    <xf numFmtId="190" fontId="59" fillId="0" borderId="0" xfId="132" applyNumberFormat="1" applyFont="1" applyProtection="1">
      <protection locked="0"/>
    </xf>
    <xf numFmtId="190" fontId="36" fillId="0" borderId="0" xfId="132" applyNumberFormat="1" applyFont="1" applyProtection="1">
      <protection locked="0"/>
    </xf>
    <xf numFmtId="190" fontId="36" fillId="0" borderId="0" xfId="132" applyNumberFormat="1" applyFont="1" applyAlignment="1" applyProtection="1">
      <alignment horizontal="center"/>
      <protection locked="0"/>
    </xf>
    <xf numFmtId="190" fontId="36" fillId="0" borderId="24" xfId="132" applyNumberFormat="1" applyFont="1" applyBorder="1" applyAlignment="1" applyProtection="1">
      <alignment horizontal="left" indent="1"/>
      <protection locked="0"/>
    </xf>
    <xf numFmtId="190" fontId="38" fillId="0" borderId="25" xfId="132" applyNumberFormat="1" applyFont="1" applyBorder="1" applyAlignment="1" applyProtection="1">
      <alignment horizontal="center"/>
      <protection locked="0"/>
    </xf>
    <xf numFmtId="190" fontId="121" fillId="0" borderId="0" xfId="132" applyNumberFormat="1" applyFont="1" applyProtection="1">
      <protection locked="0"/>
    </xf>
    <xf numFmtId="190" fontId="10" fillId="16" borderId="0" xfId="132" applyNumberFormat="1" applyFont="1" applyFill="1" applyProtection="1">
      <protection locked="0"/>
    </xf>
    <xf numFmtId="190" fontId="36" fillId="16" borderId="0" xfId="132" applyNumberFormat="1" applyFont="1" applyFill="1" applyProtection="1">
      <protection locked="0"/>
    </xf>
    <xf numFmtId="190" fontId="38" fillId="0" borderId="21" xfId="132" applyNumberFormat="1" applyFont="1" applyBorder="1" applyProtection="1">
      <protection locked="0"/>
    </xf>
    <xf numFmtId="190" fontId="38" fillId="0" borderId="24" xfId="132" applyNumberFormat="1" applyFont="1" applyBorder="1" applyProtection="1">
      <protection locked="0"/>
    </xf>
    <xf numFmtId="190" fontId="38" fillId="0" borderId="39" xfId="132" applyNumberFormat="1" applyFont="1" applyBorder="1" applyProtection="1">
      <protection locked="0"/>
    </xf>
    <xf numFmtId="190" fontId="0" fillId="0" borderId="0" xfId="0" applyNumberFormat="1" applyFill="1" applyAlignment="1" applyProtection="1">
      <alignment vertical="center"/>
      <protection hidden="1"/>
    </xf>
    <xf numFmtId="190" fontId="36" fillId="0" borderId="24" xfId="132" applyNumberFormat="1" applyFont="1" applyBorder="1" applyAlignment="1" applyProtection="1">
      <alignment horizontal="left"/>
      <protection locked="0"/>
    </xf>
    <xf numFmtId="190" fontId="0" fillId="4" borderId="0" xfId="0" applyNumberFormat="1" applyFill="1" applyAlignment="1" applyProtection="1">
      <alignment vertical="center"/>
      <protection hidden="1"/>
    </xf>
    <xf numFmtId="190" fontId="0" fillId="11" borderId="0" xfId="0" applyNumberFormat="1" applyFill="1" applyAlignment="1" applyProtection="1">
      <alignment vertical="center"/>
      <protection hidden="1"/>
    </xf>
    <xf numFmtId="190" fontId="17" fillId="10" borderId="60" xfId="0" applyNumberFormat="1" applyFont="1" applyFill="1" applyBorder="1" applyAlignment="1">
      <alignment horizontal="center"/>
      <protection locked="0"/>
    </xf>
    <xf numFmtId="190" fontId="36" fillId="10" borderId="58" xfId="0" applyNumberFormat="1" applyFont="1" applyFill="1" applyBorder="1" applyAlignment="1">
      <alignment horizontal="center"/>
      <protection locked="0"/>
    </xf>
    <xf numFmtId="190" fontId="36" fillId="10" borderId="15" xfId="0" applyNumberFormat="1" applyFont="1" applyFill="1" applyBorder="1" applyAlignment="1">
      <alignment horizontal="center"/>
      <protection locked="0"/>
    </xf>
    <xf numFmtId="190" fontId="36" fillId="10" borderId="17" xfId="0" applyNumberFormat="1" applyFont="1" applyFill="1" applyBorder="1" applyAlignment="1">
      <alignment horizontal="center"/>
      <protection locked="0"/>
    </xf>
    <xf numFmtId="190" fontId="36" fillId="0" borderId="26" xfId="132" applyNumberFormat="1" applyFont="1" applyBorder="1" applyProtection="1">
      <protection locked="0"/>
    </xf>
    <xf numFmtId="190" fontId="38" fillId="0" borderId="25" xfId="132" applyNumberFormat="1" applyFont="1" applyBorder="1" applyProtection="1">
      <protection locked="0"/>
    </xf>
    <xf numFmtId="190" fontId="36" fillId="0" borderId="36" xfId="132" applyNumberFormat="1" applyFont="1" applyBorder="1" applyProtection="1">
      <protection locked="0"/>
    </xf>
    <xf numFmtId="190" fontId="36" fillId="0" borderId="0" xfId="110" applyNumberFormat="1" applyFont="1" applyAlignment="1" applyProtection="1">
      <alignment vertical="center" shrinkToFit="1"/>
    </xf>
    <xf numFmtId="190" fontId="21" fillId="0" borderId="21" xfId="110" applyNumberFormat="1" applyFont="1" applyBorder="1" applyAlignment="1" applyProtection="1">
      <alignment vertical="center" shrinkToFit="1"/>
    </xf>
    <xf numFmtId="190" fontId="13" fillId="0" borderId="24" xfId="110" applyNumberFormat="1" applyFont="1" applyBorder="1" applyAlignment="1" applyProtection="1">
      <alignment horizontal="left" vertical="center" shrinkToFit="1"/>
    </xf>
    <xf numFmtId="190" fontId="17" fillId="0" borderId="24" xfId="110" applyNumberFormat="1" applyFont="1" applyBorder="1" applyAlignment="1" applyProtection="1">
      <alignment horizontal="center" vertical="center" shrinkToFit="1"/>
    </xf>
    <xf numFmtId="190" fontId="17" fillId="0" borderId="24" xfId="110" applyNumberFormat="1" applyFont="1" applyBorder="1" applyAlignment="1" applyProtection="1">
      <alignment horizontal="left" vertical="center" shrinkToFit="1"/>
    </xf>
    <xf numFmtId="190" fontId="17" fillId="0" borderId="26" xfId="110" applyNumberFormat="1" applyFont="1" applyBorder="1" applyAlignment="1" applyProtection="1">
      <alignment horizontal="center" vertical="center" shrinkToFit="1"/>
    </xf>
    <xf numFmtId="190" fontId="17" fillId="0" borderId="25" xfId="110" applyNumberFormat="1" applyFont="1" applyBorder="1" applyAlignment="1" applyProtection="1">
      <alignment horizontal="center" vertical="center" shrinkToFit="1"/>
    </xf>
    <xf numFmtId="190" fontId="142" fillId="14" borderId="0" xfId="110" applyNumberFormat="1" applyFont="1" applyFill="1" applyAlignment="1" applyProtection="1">
      <alignment vertical="center" shrinkToFit="1"/>
    </xf>
    <xf numFmtId="190" fontId="37" fillId="0" borderId="0" xfId="110" applyNumberFormat="1" applyFont="1" applyAlignment="1" applyProtection="1">
      <alignment vertical="center" shrinkToFit="1"/>
    </xf>
    <xf numFmtId="190" fontId="37" fillId="0" borderId="0" xfId="110" applyNumberFormat="1" applyFont="1" applyAlignment="1">
      <alignment vertical="center" shrinkToFit="1"/>
      <protection locked="0"/>
    </xf>
    <xf numFmtId="190" fontId="59" fillId="0" borderId="0" xfId="110" applyNumberFormat="1" applyFont="1" applyAlignment="1" applyProtection="1">
      <alignment horizontal="centerContinuous" vertical="center" shrinkToFit="1"/>
    </xf>
    <xf numFmtId="190" fontId="26" fillId="0" borderId="0" xfId="132" applyNumberFormat="1" applyFont="1" applyProtection="1">
      <protection locked="0"/>
    </xf>
    <xf numFmtId="43" fontId="53" fillId="0" borderId="18" xfId="132" applyFont="1" applyBorder="1" applyAlignment="1" applyProtection="1">
      <alignment vertical="center"/>
    </xf>
    <xf numFmtId="43" fontId="53" fillId="0" borderId="18" xfId="132" applyFont="1" applyFill="1" applyBorder="1" applyAlignment="1" applyProtection="1">
      <alignment vertical="center"/>
    </xf>
    <xf numFmtId="43" fontId="53" fillId="0" borderId="53" xfId="132" applyFont="1" applyFill="1" applyBorder="1" applyAlignment="1" applyProtection="1">
      <alignment vertical="center"/>
    </xf>
    <xf numFmtId="43" fontId="38" fillId="0" borderId="18" xfId="132" applyFont="1" applyFill="1" applyBorder="1" applyProtection="1">
      <protection locked="0"/>
    </xf>
    <xf numFmtId="176" fontId="147" fillId="14" borderId="0" xfId="110" applyNumberFormat="1" applyFont="1" applyFill="1" applyAlignment="1" applyProtection="1">
      <alignment vertical="center"/>
    </xf>
    <xf numFmtId="176" fontId="144" fillId="0" borderId="0" xfId="110" applyNumberFormat="1" applyFont="1" applyAlignment="1">
      <alignment vertical="center"/>
      <protection locked="0"/>
    </xf>
    <xf numFmtId="176" fontId="144" fillId="0" borderId="0" xfId="110" applyNumberFormat="1" applyFont="1" applyAlignment="1" applyProtection="1">
      <alignment vertical="center"/>
      <protection locked="0"/>
    </xf>
    <xf numFmtId="43" fontId="53" fillId="0" borderId="53" xfId="132" applyFont="1" applyBorder="1" applyAlignment="1" applyProtection="1">
      <alignment vertical="center"/>
    </xf>
    <xf numFmtId="190" fontId="21" fillId="0" borderId="0" xfId="0" applyNumberFormat="1" applyFont="1" applyFill="1" applyAlignment="1" applyProtection="1">
      <alignment horizontal="left" vertical="center"/>
      <protection hidden="1"/>
    </xf>
    <xf numFmtId="190" fontId="66" fillId="0" borderId="0" xfId="113" applyNumberFormat="1" applyFont="1" applyAlignment="1" applyProtection="1">
      <alignment horizontal="center" vertical="center"/>
    </xf>
    <xf numFmtId="190" fontId="19" fillId="17" borderId="0" xfId="132" applyNumberFormat="1" applyFont="1" applyFill="1" applyProtection="1">
      <protection locked="0"/>
    </xf>
    <xf numFmtId="190" fontId="10" fillId="17" borderId="0" xfId="132" applyNumberFormat="1" applyFont="1" applyFill="1" applyAlignment="1" applyProtection="1">
      <alignment horizontal="left" indent="1"/>
      <protection locked="0"/>
    </xf>
    <xf numFmtId="190" fontId="36" fillId="17" borderId="0" xfId="132" applyNumberFormat="1" applyFont="1" applyFill="1" applyProtection="1">
      <protection locked="0"/>
    </xf>
    <xf numFmtId="190" fontId="21" fillId="0" borderId="11" xfId="133" applyNumberFormat="1" applyFont="1" applyBorder="1" applyAlignment="1" applyProtection="1">
      <alignment vertical="center"/>
    </xf>
    <xf numFmtId="190" fontId="10" fillId="0" borderId="11" xfId="133" applyNumberFormat="1" applyFont="1" applyBorder="1" applyAlignment="1" applyProtection="1">
      <alignment vertical="center"/>
    </xf>
    <xf numFmtId="190" fontId="10" fillId="0" borderId="11" xfId="133" applyNumberFormat="1" applyFont="1" applyBorder="1" applyAlignment="1" applyProtection="1">
      <alignment horizontal="left" vertical="center" indent="1"/>
    </xf>
    <xf numFmtId="190" fontId="10" fillId="0" borderId="27" xfId="133" applyNumberFormat="1" applyFont="1" applyBorder="1" applyAlignment="1" applyProtection="1">
      <alignment vertical="center"/>
    </xf>
    <xf numFmtId="190" fontId="21" fillId="0" borderId="80" xfId="133" applyNumberFormat="1" applyFont="1" applyBorder="1" applyAlignment="1" applyProtection="1">
      <alignment vertical="center"/>
    </xf>
    <xf numFmtId="190" fontId="21" fillId="0" borderId="27" xfId="133" applyNumberFormat="1" applyFont="1" applyBorder="1" applyAlignment="1" applyProtection="1">
      <alignment vertical="center"/>
    </xf>
    <xf numFmtId="190" fontId="10" fillId="0" borderId="0" xfId="133" applyNumberFormat="1" applyFont="1" applyBorder="1" applyAlignment="1">
      <alignment vertical="center"/>
    </xf>
    <xf numFmtId="190" fontId="68" fillId="0" borderId="0" xfId="133" applyNumberFormat="1" applyFont="1" applyBorder="1" applyAlignment="1">
      <alignment vertical="center"/>
    </xf>
    <xf numFmtId="190" fontId="10" fillId="0" borderId="0" xfId="132" applyNumberFormat="1" applyFont="1" applyFill="1" applyProtection="1">
      <protection locked="0"/>
    </xf>
    <xf numFmtId="190" fontId="36" fillId="0" borderId="0" xfId="132" applyNumberFormat="1" applyFont="1" applyFill="1" applyProtection="1">
      <protection locked="0"/>
    </xf>
    <xf numFmtId="190" fontId="65" fillId="0" borderId="0" xfId="133" applyNumberFormat="1" applyFont="1" applyBorder="1" applyAlignment="1">
      <alignment vertical="center"/>
    </xf>
    <xf numFmtId="190" fontId="21" fillId="0" borderId="21" xfId="133" applyNumberFormat="1" applyFont="1" applyFill="1" applyBorder="1" applyAlignment="1" applyProtection="1">
      <alignment vertical="center"/>
    </xf>
    <xf numFmtId="190" fontId="10" fillId="0" borderId="24" xfId="133" applyNumberFormat="1" applyFont="1" applyFill="1" applyBorder="1" applyAlignment="1" applyProtection="1">
      <alignment vertical="center"/>
    </xf>
    <xf numFmtId="190" fontId="21" fillId="0" borderId="24" xfId="133" applyNumberFormat="1" applyFont="1" applyFill="1" applyBorder="1" applyAlignment="1" applyProtection="1">
      <alignment vertical="center"/>
    </xf>
    <xf numFmtId="190" fontId="10" fillId="0" borderId="24" xfId="133" applyNumberFormat="1" applyFont="1" applyFill="1" applyBorder="1" applyAlignment="1" applyProtection="1">
      <alignment horizontal="left" vertical="center" indent="1"/>
    </xf>
    <xf numFmtId="190" fontId="10" fillId="0" borderId="76" xfId="133" applyNumberFormat="1" applyFont="1" applyFill="1" applyBorder="1" applyAlignment="1" applyProtection="1">
      <alignment vertical="center"/>
    </xf>
    <xf numFmtId="190" fontId="36" fillId="0" borderId="0" xfId="112" applyNumberFormat="1" applyFont="1">
      <protection locked="0"/>
    </xf>
    <xf numFmtId="190" fontId="10" fillId="0" borderId="0" xfId="110" applyNumberFormat="1" applyFont="1" applyAlignment="1" applyProtection="1">
      <alignment vertical="center"/>
    </xf>
    <xf numFmtId="190" fontId="36" fillId="0" borderId="0" xfId="110" applyNumberFormat="1" applyFont="1" applyAlignment="1" applyProtection="1">
      <alignment vertical="center"/>
    </xf>
    <xf numFmtId="190" fontId="100" fillId="0" borderId="0" xfId="112" applyNumberFormat="1" applyFont="1">
      <protection locked="0"/>
    </xf>
    <xf numFmtId="190" fontId="102" fillId="0" borderId="56" xfId="112" applyNumberFormat="1" applyFont="1" applyBorder="1" applyAlignment="1" applyProtection="1">
      <alignment horizontal="center"/>
      <protection locked="0"/>
    </xf>
    <xf numFmtId="190" fontId="103" fillId="0" borderId="11" xfId="112" applyNumberFormat="1" applyFont="1" applyBorder="1" applyAlignment="1" applyProtection="1">
      <alignment horizontal="center"/>
      <protection locked="0"/>
    </xf>
    <xf numFmtId="190" fontId="103" fillId="14" borderId="11" xfId="112" applyNumberFormat="1" applyFont="1" applyFill="1" applyBorder="1" applyAlignment="1" applyProtection="1">
      <alignment horizontal="center"/>
      <protection locked="0"/>
    </xf>
    <xf numFmtId="190" fontId="103" fillId="0" borderId="13" xfId="112" applyNumberFormat="1" applyFont="1" applyBorder="1" applyAlignment="1" applyProtection="1">
      <alignment horizontal="center"/>
      <protection locked="0"/>
    </xf>
    <xf numFmtId="190" fontId="148" fillId="33" borderId="20" xfId="145" applyFont="1" applyFill="1" applyBorder="1" applyAlignment="1">
      <alignment horizontal="left" vertical="center" shrinkToFit="1"/>
    </xf>
    <xf numFmtId="190" fontId="148" fillId="33" borderId="20" xfId="145" applyFont="1" applyFill="1" applyBorder="1" applyAlignment="1">
      <alignment vertical="center" shrinkToFit="1"/>
    </xf>
    <xf numFmtId="49" fontId="148" fillId="33" borderId="20" xfId="145" applyNumberFormat="1" applyFont="1" applyFill="1" applyBorder="1" applyAlignment="1">
      <alignment horizontal="left" vertical="center"/>
    </xf>
    <xf numFmtId="0" fontId="23" fillId="8" borderId="0" xfId="0" applyNumberFormat="1" applyFont="1" applyFill="1" applyAlignment="1" applyProtection="1">
      <alignment vertical="center"/>
    </xf>
    <xf numFmtId="0" fontId="19" fillId="8" borderId="36" xfId="0" applyNumberFormat="1" applyFont="1" applyFill="1" applyBorder="1" applyAlignment="1" applyProtection="1">
      <alignment horizontal="left" vertical="center" shrinkToFit="1"/>
    </xf>
    <xf numFmtId="0" fontId="10" fillId="8" borderId="24" xfId="0" applyNumberFormat="1" applyFont="1" applyFill="1" applyBorder="1" applyAlignment="1" applyProtection="1">
      <alignment horizontal="left" vertical="center" shrinkToFit="1"/>
    </xf>
    <xf numFmtId="0" fontId="21" fillId="8" borderId="24" xfId="0" applyNumberFormat="1" applyFont="1" applyFill="1" applyBorder="1" applyAlignment="1" applyProtection="1">
      <alignment horizontal="center" vertical="center" shrinkToFit="1"/>
    </xf>
    <xf numFmtId="0" fontId="19" fillId="8" borderId="24" xfId="0" applyNumberFormat="1" applyFont="1" applyFill="1" applyBorder="1" applyAlignment="1" applyProtection="1">
      <alignment horizontal="left" vertical="center" shrinkToFit="1"/>
    </xf>
    <xf numFmtId="0" fontId="21" fillId="8" borderId="39" xfId="0" applyNumberFormat="1" applyFont="1" applyFill="1" applyBorder="1" applyAlignment="1" applyProtection="1">
      <alignment horizontal="center" vertical="center" shrinkToFit="1"/>
    </xf>
    <xf numFmtId="0" fontId="21" fillId="8" borderId="29" xfId="0" applyNumberFormat="1" applyFont="1" applyFill="1" applyBorder="1" applyAlignment="1" applyProtection="1">
      <alignment horizontal="center" vertical="center" shrinkToFit="1"/>
    </xf>
    <xf numFmtId="0" fontId="25" fillId="8" borderId="36" xfId="0" applyNumberFormat="1" applyFont="1" applyFill="1" applyBorder="1" applyAlignment="1" applyProtection="1">
      <alignment horizontal="left" vertical="center" shrinkToFit="1"/>
    </xf>
    <xf numFmtId="0" fontId="10" fillId="0" borderId="0" xfId="0" applyNumberFormat="1" applyFont="1" applyFill="1" applyAlignment="1" applyProtection="1">
      <alignment vertical="center"/>
      <protection hidden="1"/>
    </xf>
    <xf numFmtId="0" fontId="10" fillId="16" borderId="0" xfId="0" applyNumberFormat="1" applyFont="1" applyFill="1" applyAlignment="1" applyProtection="1">
      <alignment vertical="center"/>
      <protection hidden="1"/>
    </xf>
    <xf numFmtId="0" fontId="36" fillId="0" borderId="0" xfId="0" applyNumberFormat="1" applyFont="1" applyFill="1" applyAlignment="1" applyProtection="1">
      <alignment vertical="center"/>
      <protection hidden="1"/>
    </xf>
    <xf numFmtId="0" fontId="118" fillId="8" borderId="0" xfId="0" applyNumberFormat="1" applyFont="1" applyFill="1" applyAlignment="1" applyProtection="1">
      <alignment vertical="center"/>
    </xf>
    <xf numFmtId="0" fontId="10" fillId="8" borderId="0" xfId="0" applyNumberFormat="1" applyFont="1" applyFill="1" applyAlignment="1" applyProtection="1">
      <alignment horizontal="left" vertical="center" shrinkToFit="1"/>
    </xf>
    <xf numFmtId="0" fontId="88" fillId="8" borderId="46" xfId="133" applyNumberFormat="1" applyFont="1" applyFill="1" applyBorder="1" applyAlignment="1" applyProtection="1">
      <alignment horizontal="center" vertical="center"/>
    </xf>
    <xf numFmtId="0" fontId="21" fillId="8" borderId="36" xfId="133" applyNumberFormat="1" applyFont="1" applyFill="1" applyBorder="1" applyAlignment="1" applyProtection="1">
      <alignment vertical="center"/>
    </xf>
    <xf numFmtId="0" fontId="10" fillId="8" borderId="24" xfId="133" applyNumberFormat="1" applyFont="1" applyFill="1" applyBorder="1" applyAlignment="1" applyProtection="1">
      <alignment vertical="center"/>
    </xf>
    <xf numFmtId="0" fontId="21" fillId="8" borderId="24" xfId="133" applyNumberFormat="1" applyFont="1" applyFill="1" applyBorder="1" applyAlignment="1" applyProtection="1">
      <alignment vertical="center"/>
    </xf>
    <xf numFmtId="0" fontId="10" fillId="8" borderId="24" xfId="133" applyNumberFormat="1" applyFont="1" applyFill="1" applyBorder="1" applyAlignment="1" applyProtection="1">
      <alignment horizontal="left" vertical="center"/>
    </xf>
    <xf numFmtId="0" fontId="10" fillId="8" borderId="24" xfId="133" applyNumberFormat="1" applyFont="1" applyFill="1" applyBorder="1" applyAlignment="1" applyProtection="1">
      <alignment horizontal="left" vertical="center" indent="1"/>
    </xf>
    <xf numFmtId="0" fontId="21" fillId="8" borderId="39" xfId="133" applyNumberFormat="1" applyFont="1" applyFill="1" applyBorder="1" applyAlignment="1" applyProtection="1">
      <alignment vertical="center"/>
    </xf>
    <xf numFmtId="0" fontId="0" fillId="0" borderId="0" xfId="0" applyNumberFormat="1" applyFill="1" applyAlignment="1" applyProtection="1">
      <alignment vertical="center"/>
      <protection hidden="1"/>
    </xf>
    <xf numFmtId="0" fontId="119" fillId="8" borderId="0" xfId="0" applyNumberFormat="1" applyFont="1" applyFill="1" applyAlignment="1" applyProtection="1">
      <alignment vertical="center"/>
    </xf>
    <xf numFmtId="0" fontId="68" fillId="8" borderId="44" xfId="133" applyNumberFormat="1" applyFont="1" applyFill="1" applyBorder="1" applyAlignment="1" applyProtection="1">
      <alignment horizontal="center" vertical="center"/>
    </xf>
    <xf numFmtId="0" fontId="10" fillId="8" borderId="37" xfId="133" applyNumberFormat="1" applyFont="1" applyFill="1" applyBorder="1" applyAlignment="1" applyProtection="1">
      <alignment horizontal="center" vertical="center"/>
    </xf>
    <xf numFmtId="0" fontId="10" fillId="8" borderId="22" xfId="0" applyNumberFormat="1" applyFont="1" applyFill="1" applyBorder="1" applyAlignment="1" applyProtection="1">
      <alignment horizontal="center" vertical="center" shrinkToFit="1"/>
    </xf>
    <xf numFmtId="0" fontId="10" fillId="8" borderId="18" xfId="0" applyNumberFormat="1" applyFont="1" applyFill="1" applyBorder="1" applyAlignment="1" applyProtection="1">
      <alignment horizontal="center" vertical="center" shrinkToFit="1"/>
    </xf>
    <xf numFmtId="0" fontId="59" fillId="0" borderId="0" xfId="132" applyNumberFormat="1" applyFont="1" applyProtection="1">
      <protection locked="0"/>
    </xf>
    <xf numFmtId="0" fontId="36" fillId="0" borderId="0" xfId="132" applyNumberFormat="1" applyFont="1" applyProtection="1">
      <protection locked="0"/>
    </xf>
    <xf numFmtId="0" fontId="36" fillId="0" borderId="0" xfId="132" applyNumberFormat="1" applyFont="1" applyAlignment="1" applyProtection="1">
      <alignment horizontal="center"/>
      <protection locked="0"/>
    </xf>
    <xf numFmtId="0" fontId="38" fillId="0" borderId="47" xfId="132" applyNumberFormat="1" applyFont="1" applyBorder="1" applyAlignment="1" applyProtection="1">
      <alignment horizontal="center" shrinkToFit="1"/>
      <protection locked="0"/>
    </xf>
    <xf numFmtId="0" fontId="99" fillId="0" borderId="36" xfId="132" applyNumberFormat="1" applyFont="1" applyBorder="1" applyAlignment="1" applyProtection="1">
      <alignment shrinkToFit="1"/>
      <protection locked="0"/>
    </xf>
    <xf numFmtId="0" fontId="36" fillId="0" borderId="24" xfId="132" applyNumberFormat="1" applyFont="1" applyBorder="1" applyAlignment="1" applyProtection="1">
      <alignment shrinkToFit="1"/>
      <protection locked="0"/>
    </xf>
    <xf numFmtId="0" fontId="38" fillId="0" borderId="24" xfId="132" applyNumberFormat="1" applyFont="1" applyBorder="1" applyAlignment="1" applyProtection="1">
      <alignment horizontal="center" shrinkToFit="1"/>
      <protection locked="0"/>
    </xf>
    <xf numFmtId="0" fontId="99" fillId="0" borderId="24" xfId="132" applyNumberFormat="1" applyFont="1" applyBorder="1" applyAlignment="1" applyProtection="1">
      <alignment shrinkToFit="1"/>
      <protection locked="0"/>
    </xf>
    <xf numFmtId="0" fontId="38" fillId="0" borderId="26" xfId="132" applyNumberFormat="1" applyFont="1" applyBorder="1" applyAlignment="1" applyProtection="1">
      <alignment horizontal="center" shrinkToFit="1"/>
      <protection locked="0"/>
    </xf>
    <xf numFmtId="0" fontId="38" fillId="0" borderId="4" xfId="132" applyNumberFormat="1" applyFont="1" applyBorder="1" applyAlignment="1" applyProtection="1">
      <alignment horizontal="center" shrinkToFit="1"/>
      <protection locked="0"/>
    </xf>
    <xf numFmtId="0" fontId="36" fillId="0" borderId="0" xfId="132" applyNumberFormat="1" applyFont="1" applyAlignment="1" applyProtection="1">
      <alignment shrinkToFit="1"/>
      <protection locked="0"/>
    </xf>
    <xf numFmtId="0" fontId="36" fillId="0" borderId="24" xfId="132" applyNumberFormat="1" applyFont="1" applyBorder="1" applyAlignment="1" applyProtection="1">
      <alignment horizontal="left" shrinkToFit="1"/>
      <protection locked="0"/>
    </xf>
    <xf numFmtId="0" fontId="38" fillId="0" borderId="24" xfId="132" applyNumberFormat="1" applyFont="1" applyBorder="1" applyAlignment="1" applyProtection="1">
      <alignment shrinkToFit="1"/>
      <protection locked="0"/>
    </xf>
    <xf numFmtId="0" fontId="38" fillId="0" borderId="25" xfId="132" applyNumberFormat="1" applyFont="1" applyBorder="1" applyAlignment="1" applyProtection="1">
      <alignment horizontal="center" shrinkToFit="1"/>
      <protection locked="0"/>
    </xf>
    <xf numFmtId="0" fontId="121" fillId="0" borderId="0" xfId="132" applyNumberFormat="1" applyFont="1" applyProtection="1">
      <protection locked="0"/>
    </xf>
    <xf numFmtId="0" fontId="10" fillId="16" borderId="0" xfId="132" applyNumberFormat="1" applyFont="1" applyFill="1" applyProtection="1">
      <protection locked="0"/>
    </xf>
    <xf numFmtId="0" fontId="36" fillId="16" borderId="0" xfId="132" applyNumberFormat="1" applyFont="1" applyFill="1" applyProtection="1">
      <protection locked="0"/>
    </xf>
    <xf numFmtId="0" fontId="10" fillId="0" borderId="0" xfId="132" applyNumberFormat="1" applyFont="1" applyProtection="1">
      <protection locked="0"/>
    </xf>
    <xf numFmtId="0" fontId="36" fillId="0" borderId="0" xfId="132" applyNumberFormat="1" applyFont="1" applyBorder="1" applyAlignment="1" applyProtection="1">
      <alignment horizontal="center"/>
      <protection locked="0"/>
    </xf>
    <xf numFmtId="0" fontId="0" fillId="0" borderId="0" xfId="0" applyNumberFormat="1">
      <protection locked="0"/>
    </xf>
    <xf numFmtId="0" fontId="38" fillId="0" borderId="47" xfId="132" applyNumberFormat="1" applyFont="1" applyBorder="1" applyAlignment="1" applyProtection="1">
      <alignment horizontal="center"/>
      <protection locked="0"/>
    </xf>
    <xf numFmtId="0" fontId="99" fillId="0" borderId="36" xfId="132" applyNumberFormat="1" applyFont="1" applyBorder="1" applyProtection="1">
      <protection locked="0"/>
    </xf>
    <xf numFmtId="0" fontId="36" fillId="0" borderId="24" xfId="132" applyNumberFormat="1" applyFont="1" applyBorder="1" applyProtection="1">
      <protection locked="0"/>
    </xf>
    <xf numFmtId="0" fontId="38" fillId="0" borderId="24" xfId="132" applyNumberFormat="1" applyFont="1" applyBorder="1" applyAlignment="1" applyProtection="1">
      <alignment horizontal="center"/>
      <protection locked="0"/>
    </xf>
    <xf numFmtId="0" fontId="99" fillId="0" borderId="24" xfId="132" applyNumberFormat="1" applyFont="1" applyBorder="1" applyProtection="1">
      <protection locked="0"/>
    </xf>
    <xf numFmtId="0" fontId="38" fillId="0" borderId="39" xfId="132" applyNumberFormat="1" applyFont="1" applyBorder="1" applyAlignment="1" applyProtection="1">
      <alignment horizontal="center"/>
      <protection locked="0"/>
    </xf>
    <xf numFmtId="0" fontId="38" fillId="0" borderId="50" xfId="132" applyNumberFormat="1" applyFont="1" applyBorder="1" applyAlignment="1" applyProtection="1">
      <alignment horizontal="center"/>
      <protection locked="0"/>
    </xf>
    <xf numFmtId="0" fontId="36" fillId="0" borderId="24" xfId="132" applyNumberFormat="1" applyFont="1" applyBorder="1" applyAlignment="1" applyProtection="1">
      <alignment horizontal="left" indent="1"/>
      <protection locked="0"/>
    </xf>
    <xf numFmtId="0" fontId="38" fillId="0" borderId="24" xfId="132" applyNumberFormat="1" applyFont="1" applyBorder="1" applyAlignment="1" applyProtection="1">
      <alignment horizontal="left"/>
      <protection locked="0"/>
    </xf>
    <xf numFmtId="0" fontId="38" fillId="0" borderId="25" xfId="132" applyNumberFormat="1" applyFont="1" applyBorder="1" applyAlignment="1" applyProtection="1">
      <alignment horizontal="center"/>
      <protection locked="0"/>
    </xf>
    <xf numFmtId="0" fontId="38" fillId="0" borderId="21" xfId="132" applyNumberFormat="1" applyFont="1" applyBorder="1" applyProtection="1">
      <protection locked="0"/>
    </xf>
    <xf numFmtId="0" fontId="38" fillId="0" borderId="24" xfId="132" applyNumberFormat="1" applyFont="1" applyBorder="1" applyProtection="1">
      <protection locked="0"/>
    </xf>
    <xf numFmtId="0" fontId="38" fillId="0" borderId="39" xfId="132" applyNumberFormat="1" applyFont="1" applyBorder="1" applyProtection="1">
      <protection locked="0"/>
    </xf>
    <xf numFmtId="0" fontId="143" fillId="0" borderId="36" xfId="132" applyNumberFormat="1" applyFont="1" applyBorder="1" applyProtection="1">
      <protection locked="0"/>
    </xf>
    <xf numFmtId="0" fontId="36" fillId="0" borderId="24" xfId="132" applyNumberFormat="1" applyFont="1" applyBorder="1" applyAlignment="1" applyProtection="1">
      <alignment horizontal="left"/>
      <protection locked="0"/>
    </xf>
    <xf numFmtId="0" fontId="143" fillId="0" borderId="24" xfId="132" applyNumberFormat="1" applyFont="1" applyBorder="1" applyAlignment="1" applyProtection="1">
      <alignment horizontal="left"/>
      <protection locked="0"/>
    </xf>
    <xf numFmtId="0" fontId="38" fillId="0" borderId="39" xfId="132" applyNumberFormat="1" applyFont="1" applyBorder="1" applyAlignment="1" applyProtection="1">
      <alignment horizontal="left"/>
      <protection locked="0"/>
    </xf>
    <xf numFmtId="0" fontId="36" fillId="0" borderId="1" xfId="132" applyNumberFormat="1" applyFont="1" applyBorder="1" applyAlignment="1" applyProtection="1">
      <alignment horizontal="left"/>
      <protection locked="0"/>
    </xf>
    <xf numFmtId="0" fontId="36" fillId="0" borderId="0" xfId="132" applyNumberFormat="1" applyFont="1" applyBorder="1" applyAlignment="1" applyProtection="1">
      <alignment horizontal="left"/>
      <protection locked="0"/>
    </xf>
    <xf numFmtId="0" fontId="109" fillId="0" borderId="2" xfId="132" applyNumberFormat="1" applyFont="1" applyBorder="1" applyProtection="1">
      <protection locked="0"/>
    </xf>
    <xf numFmtId="0" fontId="99" fillId="0" borderId="36" xfId="132" applyNumberFormat="1" applyFont="1" applyBorder="1" applyAlignment="1" applyProtection="1">
      <alignment horizontal="left"/>
      <protection locked="0"/>
    </xf>
    <xf numFmtId="0" fontId="99" fillId="0" borderId="24" xfId="132" applyNumberFormat="1" applyFont="1" applyBorder="1" applyAlignment="1" applyProtection="1">
      <alignment horizontal="left"/>
      <protection locked="0"/>
    </xf>
    <xf numFmtId="0" fontId="38" fillId="0" borderId="0" xfId="132" applyNumberFormat="1" applyFont="1" applyBorder="1" applyAlignment="1" applyProtection="1">
      <alignment horizontal="left"/>
      <protection locked="0"/>
    </xf>
    <xf numFmtId="0" fontId="10" fillId="16" borderId="0" xfId="132" applyNumberFormat="1" applyFont="1" applyFill="1" applyAlignment="1" applyProtection="1">
      <alignment shrinkToFit="1"/>
      <protection locked="0"/>
    </xf>
    <xf numFmtId="178" fontId="13" fillId="33" borderId="4" xfId="0" applyNumberFormat="1" applyFont="1" applyFill="1" applyBorder="1" applyAlignment="1" applyProtection="1">
      <alignment horizontal="left" vertical="center" shrinkToFit="1"/>
      <protection locked="0"/>
    </xf>
    <xf numFmtId="0" fontId="24" fillId="6" borderId="2" xfId="0" applyNumberFormat="1" applyFont="1" applyFill="1" applyBorder="1" applyAlignment="1" applyProtection="1">
      <alignment horizontal="center" vertical="center"/>
    </xf>
    <xf numFmtId="0" fontId="27" fillId="29" borderId="4" xfId="0" applyNumberFormat="1" applyFont="1" applyFill="1" applyBorder="1" applyAlignment="1" applyProtection="1">
      <alignment horizontal="center" vertical="center"/>
    </xf>
    <xf numFmtId="0" fontId="13" fillId="6" borderId="4" xfId="0" applyNumberFormat="1" applyFont="1" applyFill="1" applyBorder="1" applyAlignment="1" applyProtection="1">
      <alignment vertical="center" shrinkToFit="1"/>
    </xf>
    <xf numFmtId="0" fontId="4" fillId="0" borderId="0" xfId="0" applyNumberFormat="1" applyFont="1" applyFill="1" applyAlignment="1" applyProtection="1">
      <alignment vertical="center"/>
    </xf>
    <xf numFmtId="0" fontId="13" fillId="6" borderId="4" xfId="0" applyNumberFormat="1" applyFont="1" applyFill="1" applyBorder="1" applyAlignment="1" applyProtection="1">
      <alignment horizontal="center" vertical="center" shrinkToFit="1"/>
    </xf>
    <xf numFmtId="0" fontId="4" fillId="0" borderId="0" xfId="0" applyNumberFormat="1" applyFont="1" applyFill="1" applyBorder="1" applyAlignment="1" applyProtection="1">
      <alignment vertical="center"/>
    </xf>
    <xf numFmtId="0" fontId="0" fillId="0" borderId="0" xfId="0" applyNumberFormat="1" applyFill="1" applyAlignment="1" applyProtection="1">
      <alignment vertical="center"/>
    </xf>
    <xf numFmtId="0" fontId="4" fillId="0" borderId="0" xfId="0" applyNumberFormat="1" applyFont="1" applyFill="1" applyAlignment="1" applyProtection="1">
      <alignment horizontal="center" vertical="center"/>
    </xf>
    <xf numFmtId="0" fontId="59" fillId="0" borderId="0" xfId="110" applyNumberFormat="1" applyFont="1" applyAlignment="1">
      <alignment horizontal="centerContinuous" vertical="center" shrinkToFit="1"/>
      <protection locked="0"/>
    </xf>
    <xf numFmtId="0" fontId="10" fillId="0" borderId="0" xfId="110" applyNumberFormat="1" applyFont="1" applyAlignment="1" applyProtection="1">
      <alignment vertical="center" shrinkToFit="1"/>
    </xf>
    <xf numFmtId="0" fontId="36" fillId="0" borderId="0" xfId="110" applyNumberFormat="1" applyFont="1" applyAlignment="1" applyProtection="1">
      <alignment vertical="center" shrinkToFit="1"/>
    </xf>
    <xf numFmtId="0" fontId="21" fillId="0" borderId="21" xfId="110" applyNumberFormat="1" applyFont="1" applyBorder="1" applyAlignment="1" applyProtection="1">
      <alignment vertical="center" shrinkToFit="1"/>
    </xf>
    <xf numFmtId="0" fontId="13" fillId="0" borderId="24" xfId="110" applyNumberFormat="1" applyFont="1" applyBorder="1" applyAlignment="1" applyProtection="1">
      <alignment horizontal="left" vertical="center" shrinkToFit="1"/>
    </xf>
    <xf numFmtId="0" fontId="17" fillId="0" borderId="24" xfId="110" applyNumberFormat="1" applyFont="1" applyBorder="1" applyAlignment="1" applyProtection="1">
      <alignment horizontal="center" vertical="center" shrinkToFit="1"/>
    </xf>
    <xf numFmtId="0" fontId="17" fillId="0" borderId="24" xfId="110" applyNumberFormat="1" applyFont="1" applyBorder="1" applyAlignment="1" applyProtection="1">
      <alignment horizontal="left" vertical="center" shrinkToFit="1"/>
    </xf>
    <xf numFmtId="0" fontId="17" fillId="0" borderId="26" xfId="110" applyNumberFormat="1" applyFont="1" applyBorder="1" applyAlignment="1" applyProtection="1">
      <alignment horizontal="center" vertical="center" shrinkToFit="1"/>
    </xf>
    <xf numFmtId="0" fontId="17" fillId="0" borderId="25" xfId="110" applyNumberFormat="1" applyFont="1" applyBorder="1" applyAlignment="1" applyProtection="1">
      <alignment horizontal="center" vertical="center" shrinkToFit="1"/>
    </xf>
    <xf numFmtId="0" fontId="142" fillId="14" borderId="0" xfId="110" applyNumberFormat="1" applyFont="1" applyFill="1" applyAlignment="1" applyProtection="1">
      <alignment vertical="center" shrinkToFit="1"/>
    </xf>
    <xf numFmtId="0" fontId="37" fillId="0" borderId="0" xfId="110" applyNumberFormat="1" applyFont="1" applyAlignment="1" applyProtection="1">
      <alignment vertical="center" shrinkToFit="1"/>
    </xf>
    <xf numFmtId="0" fontId="37" fillId="0" borderId="0" xfId="110" applyNumberFormat="1" applyFont="1" applyAlignment="1">
      <alignment vertical="center" shrinkToFit="1"/>
      <protection locked="0"/>
    </xf>
    <xf numFmtId="0" fontId="36" fillId="0" borderId="24" xfId="132" applyNumberFormat="1" applyFont="1" applyFill="1" applyBorder="1" applyAlignment="1" applyProtection="1">
      <alignment horizontal="left"/>
      <protection locked="0"/>
    </xf>
    <xf numFmtId="0" fontId="36" fillId="0" borderId="24" xfId="132" applyNumberFormat="1" applyFont="1" applyFill="1" applyBorder="1" applyAlignment="1" applyProtection="1">
      <alignment horizontal="left" indent="1"/>
      <protection locked="0"/>
    </xf>
    <xf numFmtId="0" fontId="36" fillId="0" borderId="2" xfId="132" applyNumberFormat="1" applyFont="1" applyBorder="1" applyAlignment="1" applyProtection="1">
      <alignment horizontal="left"/>
      <protection locked="0"/>
    </xf>
    <xf numFmtId="0" fontId="26" fillId="0" borderId="0" xfId="132" applyNumberFormat="1" applyFont="1" applyProtection="1">
      <protection locked="0"/>
    </xf>
    <xf numFmtId="0" fontId="10" fillId="17" borderId="0" xfId="132" applyNumberFormat="1" applyFont="1" applyFill="1" applyProtection="1">
      <protection locked="0"/>
    </xf>
    <xf numFmtId="0" fontId="120" fillId="0" borderId="0" xfId="132" applyNumberFormat="1" applyFont="1" applyProtection="1">
      <protection locked="0"/>
    </xf>
    <xf numFmtId="0" fontId="10" fillId="0" borderId="56" xfId="132" applyNumberFormat="1" applyFont="1" applyFill="1" applyBorder="1" applyProtection="1">
      <protection locked="0"/>
    </xf>
    <xf numFmtId="0" fontId="10" fillId="0" borderId="11" xfId="132" applyNumberFormat="1" applyFont="1" applyFill="1" applyBorder="1" applyProtection="1">
      <protection locked="0"/>
    </xf>
    <xf numFmtId="0" fontId="10" fillId="0" borderId="2" xfId="132" applyNumberFormat="1" applyFont="1" applyFill="1" applyBorder="1" applyProtection="1">
      <protection locked="0"/>
    </xf>
    <xf numFmtId="0" fontId="0" fillId="0" borderId="0" xfId="0" applyNumberFormat="1" applyAlignment="1" applyProtection="1">
      <alignment vertical="center"/>
    </xf>
    <xf numFmtId="0" fontId="66" fillId="0" borderId="0" xfId="113" applyNumberFormat="1" applyFont="1" applyBorder="1" applyAlignment="1" applyProtection="1">
      <alignment horizontal="center" vertical="center"/>
    </xf>
    <xf numFmtId="0" fontId="10" fillId="0" borderId="11" xfId="127" applyNumberFormat="1" applyFont="1" applyBorder="1" applyAlignment="1" applyProtection="1">
      <alignment vertical="center"/>
    </xf>
    <xf numFmtId="0" fontId="21" fillId="0" borderId="11" xfId="127" applyNumberFormat="1" applyFont="1" applyBorder="1" applyAlignment="1" applyProtection="1">
      <alignment horizontal="center" vertical="center"/>
    </xf>
    <xf numFmtId="0" fontId="17" fillId="0" borderId="27" xfId="127" applyNumberFormat="1" applyFont="1" applyFill="1" applyBorder="1" applyAlignment="1" applyProtection="1">
      <alignment horizontal="center" vertical="center"/>
    </xf>
    <xf numFmtId="0" fontId="21" fillId="0" borderId="0" xfId="0" applyNumberFormat="1" applyFont="1" applyFill="1" applyAlignment="1" applyProtection="1">
      <alignment horizontal="left" vertical="center"/>
      <protection hidden="1"/>
    </xf>
    <xf numFmtId="0" fontId="66" fillId="0" borderId="0" xfId="113" applyNumberFormat="1" applyFont="1" applyAlignment="1" applyProtection="1">
      <alignment horizontal="center" vertical="center"/>
    </xf>
    <xf numFmtId="0" fontId="10" fillId="0" borderId="11" xfId="126" applyNumberFormat="1" applyFont="1" applyBorder="1" applyAlignment="1" applyProtection="1">
      <alignment vertical="center"/>
    </xf>
    <xf numFmtId="0" fontId="21" fillId="0" borderId="11" xfId="126" applyNumberFormat="1" applyFont="1" applyBorder="1" applyAlignment="1" applyProtection="1">
      <alignment horizontal="center" vertical="center"/>
    </xf>
    <xf numFmtId="0" fontId="21" fillId="0" borderId="11" xfId="126" applyNumberFormat="1" applyFont="1" applyBorder="1" applyAlignment="1" applyProtection="1">
      <alignment horizontal="center" vertical="center" shrinkToFit="1"/>
    </xf>
    <xf numFmtId="0" fontId="21" fillId="0" borderId="27" xfId="126" applyNumberFormat="1" applyFont="1" applyFill="1" applyBorder="1" applyAlignment="1" applyProtection="1">
      <alignment horizontal="center" vertical="center"/>
    </xf>
    <xf numFmtId="0" fontId="65" fillId="0" borderId="0" xfId="113" applyNumberFormat="1" applyFont="1" applyBorder="1" applyAlignment="1">
      <alignment vertical="center"/>
      <protection locked="0"/>
    </xf>
    <xf numFmtId="0" fontId="19" fillId="17" borderId="0" xfId="132" applyNumberFormat="1" applyFont="1" applyFill="1" applyProtection="1">
      <protection locked="0"/>
    </xf>
    <xf numFmtId="0" fontId="10" fillId="17" borderId="0" xfId="132" applyNumberFormat="1" applyFont="1" applyFill="1" applyAlignment="1" applyProtection="1">
      <alignment horizontal="left" indent="1"/>
      <protection locked="0"/>
    </xf>
    <xf numFmtId="0" fontId="36" fillId="17" borderId="0" xfId="132" applyNumberFormat="1" applyFont="1" applyFill="1" applyProtection="1">
      <protection locked="0"/>
    </xf>
    <xf numFmtId="0" fontId="10" fillId="0" borderId="0" xfId="110" applyNumberFormat="1" applyFont="1" applyBorder="1" applyAlignment="1" applyProtection="1">
      <alignment horizontal="left" vertical="center"/>
    </xf>
    <xf numFmtId="0" fontId="36" fillId="0" borderId="0" xfId="110" applyNumberFormat="1" applyFont="1" applyBorder="1" applyAlignment="1" applyProtection="1">
      <alignment horizontal="left" vertical="center"/>
    </xf>
    <xf numFmtId="0" fontId="10" fillId="0" borderId="22" xfId="133" applyNumberFormat="1" applyFont="1" applyFill="1" applyBorder="1" applyAlignment="1" applyProtection="1">
      <alignment horizontal="center" vertical="center"/>
    </xf>
    <xf numFmtId="0" fontId="10" fillId="0" borderId="8" xfId="133" applyNumberFormat="1" applyFont="1" applyFill="1" applyBorder="1" applyAlignment="1" applyProtection="1">
      <alignment horizontal="center" vertical="center"/>
    </xf>
    <xf numFmtId="0" fontId="10" fillId="0" borderId="38" xfId="133" applyNumberFormat="1" applyFont="1" applyFill="1" applyBorder="1" applyAlignment="1" applyProtection="1">
      <alignment horizontal="center" vertical="center"/>
    </xf>
    <xf numFmtId="0" fontId="10" fillId="0" borderId="77" xfId="133" applyNumberFormat="1" applyFont="1" applyFill="1" applyBorder="1" applyAlignment="1" applyProtection="1">
      <alignment horizontal="center" vertical="center"/>
    </xf>
    <xf numFmtId="0" fontId="10" fillId="0" borderId="0" xfId="110" applyNumberFormat="1" applyFont="1" applyBorder="1" applyAlignment="1" applyProtection="1">
      <alignment vertical="center"/>
    </xf>
    <xf numFmtId="0" fontId="36" fillId="0" borderId="0" xfId="110" applyNumberFormat="1" applyFont="1" applyBorder="1" applyAlignment="1" applyProtection="1">
      <alignment vertical="center"/>
    </xf>
    <xf numFmtId="0" fontId="21" fillId="0" borderId="21" xfId="133" applyNumberFormat="1" applyFont="1" applyFill="1" applyBorder="1" applyAlignment="1" applyProtection="1">
      <alignment vertical="center"/>
    </xf>
    <xf numFmtId="0" fontId="10" fillId="0" borderId="24" xfId="133" applyNumberFormat="1" applyFont="1" applyFill="1" applyBorder="1" applyAlignment="1" applyProtection="1">
      <alignment vertical="center"/>
    </xf>
    <xf numFmtId="0" fontId="21" fillId="0" borderId="24" xfId="133" applyNumberFormat="1" applyFont="1" applyFill="1" applyBorder="1" applyAlignment="1" applyProtection="1">
      <alignment vertical="center"/>
    </xf>
    <xf numFmtId="0" fontId="10" fillId="0" borderId="24" xfId="133" applyNumberFormat="1" applyFont="1" applyFill="1" applyBorder="1" applyAlignment="1" applyProtection="1">
      <alignment horizontal="left" vertical="center" indent="1"/>
    </xf>
    <xf numFmtId="0" fontId="10" fillId="0" borderId="26" xfId="133" applyNumberFormat="1" applyFont="1" applyFill="1" applyBorder="1" applyAlignment="1" applyProtection="1">
      <alignment vertical="center"/>
    </xf>
    <xf numFmtId="0" fontId="10" fillId="0" borderId="76" xfId="133" applyNumberFormat="1" applyFont="1" applyFill="1" applyBorder="1" applyAlignment="1" applyProtection="1">
      <alignment vertical="center"/>
    </xf>
    <xf numFmtId="0" fontId="10" fillId="0" borderId="0" xfId="110" applyNumberFormat="1" applyFont="1" applyAlignment="1" applyProtection="1">
      <alignment horizontal="left" vertical="center"/>
    </xf>
    <xf numFmtId="0" fontId="36" fillId="0" borderId="0" xfId="110" applyNumberFormat="1" applyFont="1" applyAlignment="1" applyProtection="1">
      <alignment horizontal="left" vertical="center"/>
    </xf>
    <xf numFmtId="0" fontId="10" fillId="0" borderId="0" xfId="110" applyNumberFormat="1" applyFont="1" applyAlignment="1" applyProtection="1">
      <alignment vertical="center"/>
    </xf>
    <xf numFmtId="0" fontId="36" fillId="0" borderId="0" xfId="110" applyNumberFormat="1" applyFont="1" applyAlignment="1" applyProtection="1">
      <alignment vertical="center"/>
    </xf>
    <xf numFmtId="0" fontId="10" fillId="0" borderId="77" xfId="133" applyNumberFormat="1" applyFont="1" applyFill="1" applyBorder="1" applyAlignment="1" applyProtection="1">
      <alignment horizontal="left" vertical="center"/>
    </xf>
    <xf numFmtId="0" fontId="10" fillId="0" borderId="77" xfId="0" applyNumberFormat="1" applyFont="1" applyFill="1" applyBorder="1" applyAlignment="1" applyProtection="1">
      <alignment horizontal="center" vertical="center" shrinkToFit="1"/>
    </xf>
    <xf numFmtId="190" fontId="101" fillId="6" borderId="37" xfId="0" applyFont="1" applyFill="1" applyBorder="1" applyAlignment="1" applyProtection="1">
      <alignment horizontal="center" vertical="center"/>
      <protection hidden="1"/>
    </xf>
    <xf numFmtId="190" fontId="105" fillId="6" borderId="15" xfId="0" applyFont="1" applyFill="1" applyBorder="1" applyAlignment="1" applyProtection="1">
      <alignment horizontal="center" vertical="center"/>
      <protection hidden="1"/>
    </xf>
    <xf numFmtId="190" fontId="105" fillId="6" borderId="8" xfId="0" applyFont="1" applyFill="1" applyBorder="1" applyAlignment="1" applyProtection="1">
      <alignment horizontal="center" vertical="center"/>
      <protection hidden="1"/>
    </xf>
    <xf numFmtId="190" fontId="105" fillId="6" borderId="16" xfId="0" applyFont="1" applyFill="1" applyBorder="1" applyAlignment="1" applyProtection="1">
      <alignment horizontal="center" vertical="center"/>
      <protection hidden="1"/>
    </xf>
    <xf numFmtId="190" fontId="101" fillId="6" borderId="40" xfId="0" applyFont="1" applyFill="1" applyBorder="1" applyAlignment="1" applyProtection="1">
      <alignment horizontal="center" vertical="center"/>
      <protection hidden="1"/>
    </xf>
    <xf numFmtId="190" fontId="101" fillId="6" borderId="36" xfId="0" applyFont="1" applyFill="1" applyBorder="1" applyAlignment="1" applyProtection="1">
      <alignment horizontal="center" vertical="center"/>
      <protection hidden="1"/>
    </xf>
    <xf numFmtId="190" fontId="101" fillId="6" borderId="83" xfId="0" applyFont="1" applyFill="1" applyBorder="1" applyAlignment="1" applyProtection="1">
      <alignment horizontal="center" vertical="center"/>
      <protection hidden="1"/>
    </xf>
    <xf numFmtId="190" fontId="103" fillId="6" borderId="8" xfId="0" applyFont="1" applyFill="1" applyBorder="1" applyAlignment="1" applyProtection="1">
      <alignment horizontal="left" vertical="center"/>
      <protection hidden="1"/>
    </xf>
    <xf numFmtId="190" fontId="103" fillId="6" borderId="16" xfId="0" applyFont="1" applyFill="1" applyBorder="1" applyAlignment="1" applyProtection="1">
      <alignment horizontal="left" vertical="center"/>
      <protection hidden="1"/>
    </xf>
    <xf numFmtId="190" fontId="105" fillId="6" borderId="15" xfId="0" applyFont="1" applyFill="1" applyBorder="1" applyAlignment="1" applyProtection="1">
      <alignment horizontal="center" vertical="center" wrapText="1"/>
      <protection hidden="1"/>
    </xf>
    <xf numFmtId="31" fontId="103" fillId="6" borderId="8" xfId="0" applyNumberFormat="1" applyFont="1" applyFill="1" applyBorder="1" applyAlignment="1" applyProtection="1">
      <alignment horizontal="left" vertical="center" shrinkToFit="1"/>
      <protection hidden="1"/>
    </xf>
    <xf numFmtId="31" fontId="103" fillId="6" borderId="16" xfId="0" applyNumberFormat="1" applyFont="1" applyFill="1" applyBorder="1" applyAlignment="1" applyProtection="1">
      <alignment horizontal="left" vertical="center" shrinkToFit="1"/>
      <protection hidden="1"/>
    </xf>
    <xf numFmtId="190" fontId="103" fillId="6" borderId="18" xfId="0" applyFont="1" applyFill="1" applyBorder="1" applyAlignment="1" applyProtection="1">
      <alignment vertical="center"/>
      <protection hidden="1"/>
    </xf>
    <xf numFmtId="190" fontId="103" fillId="6" borderId="19" xfId="0" applyFont="1" applyFill="1" applyBorder="1" applyAlignment="1" applyProtection="1">
      <alignment vertical="center"/>
      <protection hidden="1"/>
    </xf>
    <xf numFmtId="190" fontId="105" fillId="6" borderId="15" xfId="0" applyFont="1" applyFill="1" applyBorder="1" applyAlignment="1" applyProtection="1">
      <alignment horizontal="center" vertical="center" wrapText="1" shrinkToFit="1"/>
      <protection hidden="1"/>
    </xf>
    <xf numFmtId="190" fontId="105" fillId="6" borderId="17" xfId="0" applyFont="1" applyFill="1" applyBorder="1" applyAlignment="1" applyProtection="1">
      <alignment horizontal="center" vertical="center" wrapText="1" shrinkToFit="1"/>
      <protection hidden="1"/>
    </xf>
    <xf numFmtId="190" fontId="103" fillId="6" borderId="8" xfId="0" applyFont="1" applyFill="1" applyBorder="1" applyAlignment="1" applyProtection="1">
      <alignment horizontal="left" vertical="center" shrinkToFit="1"/>
      <protection hidden="1"/>
    </xf>
    <xf numFmtId="190" fontId="103" fillId="6" borderId="16" xfId="0" applyFont="1" applyFill="1" applyBorder="1" applyAlignment="1" applyProtection="1">
      <alignment horizontal="left" vertical="center" shrinkToFit="1"/>
      <protection hidden="1"/>
    </xf>
    <xf numFmtId="190" fontId="106" fillId="9" borderId="9" xfId="0" applyFont="1" applyFill="1" applyBorder="1" applyAlignment="1" applyProtection="1">
      <alignment vertical="center" shrinkToFit="1"/>
      <protection locked="0" hidden="1"/>
    </xf>
    <xf numFmtId="190" fontId="106" fillId="9" borderId="24" xfId="0" applyFont="1" applyFill="1" applyBorder="1" applyAlignment="1" applyProtection="1">
      <alignment vertical="center" shrinkToFit="1"/>
      <protection locked="0" hidden="1"/>
    </xf>
    <xf numFmtId="190" fontId="16" fillId="10" borderId="55" xfId="0" applyFont="1" applyFill="1" applyBorder="1" applyAlignment="1">
      <alignment horizontal="center" vertical="center"/>
      <protection locked="0"/>
    </xf>
    <xf numFmtId="190" fontId="16" fillId="10" borderId="6" xfId="0" applyFont="1" applyFill="1" applyBorder="1" applyAlignment="1">
      <alignment horizontal="center" vertical="center"/>
      <protection locked="0"/>
    </xf>
    <xf numFmtId="190" fontId="16" fillId="10" borderId="54" xfId="0" applyFont="1" applyFill="1" applyBorder="1" applyAlignment="1">
      <alignment horizontal="center" vertical="center"/>
      <protection locked="0"/>
    </xf>
    <xf numFmtId="43" fontId="18" fillId="13" borderId="4" xfId="0" applyNumberFormat="1" applyFont="1" applyFill="1" applyBorder="1" applyAlignment="1" applyProtection="1">
      <alignment horizontal="center" vertical="center"/>
    </xf>
    <xf numFmtId="43" fontId="18" fillId="12" borderId="4" xfId="0" applyNumberFormat="1" applyFont="1" applyFill="1" applyBorder="1" applyAlignment="1" applyProtection="1">
      <alignment horizontal="center" vertical="center"/>
    </xf>
    <xf numFmtId="43" fontId="97" fillId="6" borderId="0" xfId="0" applyNumberFormat="1" applyFont="1" applyFill="1" applyBorder="1" applyAlignment="1" applyProtection="1">
      <alignment horizontal="center" vertical="center"/>
    </xf>
    <xf numFmtId="43" fontId="27" fillId="18" borderId="4" xfId="0" applyNumberFormat="1" applyFont="1" applyFill="1" applyBorder="1" applyAlignment="1" applyProtection="1">
      <alignment horizontal="center" vertical="center"/>
    </xf>
    <xf numFmtId="43" fontId="27" fillId="29" borderId="4" xfId="0" applyNumberFormat="1" applyFont="1" applyFill="1" applyBorder="1" applyAlignment="1" applyProtection="1">
      <alignment horizontal="center" vertical="center"/>
    </xf>
    <xf numFmtId="43" fontId="27" fillId="18" borderId="55" xfId="0" applyNumberFormat="1" applyFont="1" applyFill="1" applyBorder="1" applyAlignment="1" applyProtection="1">
      <alignment horizontal="center" vertical="center"/>
    </xf>
    <xf numFmtId="43" fontId="27" fillId="18" borderId="6" xfId="0" applyNumberFormat="1" applyFont="1" applyFill="1" applyBorder="1" applyAlignment="1" applyProtection="1">
      <alignment horizontal="center" vertical="center"/>
    </xf>
    <xf numFmtId="43" fontId="27" fillId="18" borderId="54" xfId="0" applyNumberFormat="1" applyFont="1" applyFill="1" applyBorder="1" applyAlignment="1" applyProtection="1">
      <alignment horizontal="center" vertical="center"/>
    </xf>
    <xf numFmtId="43" fontId="18" fillId="13" borderId="3" xfId="0" applyNumberFormat="1" applyFont="1" applyFill="1" applyBorder="1" applyAlignment="1" applyProtection="1">
      <alignment horizontal="center" vertical="center"/>
    </xf>
    <xf numFmtId="43" fontId="18" fillId="13" borderId="12" xfId="0" applyNumberFormat="1" applyFont="1" applyFill="1" applyBorder="1" applyAlignment="1" applyProtection="1">
      <alignment horizontal="center" vertical="center"/>
    </xf>
    <xf numFmtId="43" fontId="18" fillId="13" borderId="14" xfId="0" applyNumberFormat="1" applyFont="1" applyFill="1" applyBorder="1" applyAlignment="1" applyProtection="1">
      <alignment horizontal="center" vertical="center"/>
    </xf>
    <xf numFmtId="4" fontId="91" fillId="8" borderId="0" xfId="0" applyNumberFormat="1" applyFont="1" applyFill="1" applyAlignment="1" applyProtection="1">
      <alignment horizontal="center" vertical="center" shrinkToFit="1"/>
    </xf>
    <xf numFmtId="3" fontId="10" fillId="8" borderId="35" xfId="0" applyNumberFormat="1" applyFont="1" applyFill="1" applyBorder="1" applyAlignment="1" applyProtection="1">
      <alignment horizontal="center" vertical="center" wrapText="1" shrinkToFit="1"/>
    </xf>
    <xf numFmtId="3" fontId="10" fillId="8" borderId="18" xfId="0" applyNumberFormat="1" applyFont="1" applyFill="1" applyBorder="1" applyAlignment="1" applyProtection="1">
      <alignment horizontal="center" vertical="center" wrapText="1" shrinkToFit="1"/>
    </xf>
    <xf numFmtId="190" fontId="21" fillId="8" borderId="35" xfId="0" applyFont="1" applyFill="1" applyBorder="1" applyAlignment="1" applyProtection="1">
      <alignment horizontal="center" vertical="center" wrapText="1" shrinkToFit="1"/>
    </xf>
    <xf numFmtId="190" fontId="21" fillId="8" borderId="85" xfId="0" applyFont="1" applyFill="1" applyBorder="1" applyAlignment="1" applyProtection="1">
      <alignment horizontal="center" vertical="center" wrapText="1" shrinkToFit="1"/>
    </xf>
    <xf numFmtId="0" fontId="10" fillId="8" borderId="84" xfId="0" applyNumberFormat="1" applyFont="1" applyFill="1" applyBorder="1" applyAlignment="1" applyProtection="1">
      <alignment horizontal="center" vertical="center" shrinkToFit="1"/>
    </xf>
    <xf numFmtId="0" fontId="10" fillId="8" borderId="39" xfId="0" applyNumberFormat="1" applyFont="1" applyFill="1" applyBorder="1" applyAlignment="1" applyProtection="1">
      <alignment horizontal="center" vertical="center" shrinkToFit="1"/>
    </xf>
    <xf numFmtId="3" fontId="10" fillId="8" borderId="86" xfId="0" applyNumberFormat="1" applyFont="1" applyFill="1" applyBorder="1" applyAlignment="1" applyProtection="1">
      <alignment horizontal="center" vertical="center" wrapText="1" shrinkToFit="1"/>
    </xf>
    <xf numFmtId="3" fontId="10" fillId="8" borderId="51" xfId="0" applyNumberFormat="1" applyFont="1" applyFill="1" applyBorder="1" applyAlignment="1" applyProtection="1">
      <alignment horizontal="center" vertical="center" wrapText="1" shrinkToFit="1"/>
    </xf>
    <xf numFmtId="190" fontId="13" fillId="8" borderId="0" xfId="0" applyFont="1" applyFill="1" applyAlignment="1" applyProtection="1">
      <alignment horizontal="left" vertical="center" shrinkToFit="1"/>
    </xf>
    <xf numFmtId="4" fontId="10" fillId="8" borderId="7" xfId="0" applyNumberFormat="1" applyFont="1" applyFill="1" applyBorder="1" applyAlignment="1" applyProtection="1">
      <alignment horizontal="right" vertical="center" shrinkToFit="1"/>
    </xf>
    <xf numFmtId="31" fontId="11" fillId="8" borderId="0" xfId="132" applyNumberFormat="1" applyFont="1" applyFill="1" applyBorder="1" applyAlignment="1" applyProtection="1">
      <alignment horizontal="center" vertical="center" shrinkToFit="1"/>
    </xf>
    <xf numFmtId="190" fontId="36" fillId="8" borderId="0" xfId="132" applyNumberFormat="1" applyFont="1" applyFill="1" applyBorder="1" applyAlignment="1" applyProtection="1">
      <alignment horizontal="right" vertical="center" shrinkToFit="1"/>
    </xf>
    <xf numFmtId="43" fontId="13" fillId="8" borderId="0" xfId="132" applyFont="1" applyFill="1" applyBorder="1" applyAlignment="1" applyProtection="1">
      <alignment horizontal="left" vertical="center" shrinkToFit="1"/>
    </xf>
    <xf numFmtId="177" fontId="37" fillId="0" borderId="38" xfId="114" applyNumberFormat="1" applyFont="1" applyBorder="1" applyAlignment="1">
      <alignment horizontal="center" vertical="center"/>
      <protection locked="0"/>
    </xf>
    <xf numFmtId="177" fontId="37" fillId="0" borderId="31" xfId="114" applyNumberFormat="1" applyFont="1" applyBorder="1" applyAlignment="1">
      <alignment horizontal="center" vertical="center"/>
      <protection locked="0"/>
    </xf>
    <xf numFmtId="177" fontId="37" fillId="0" borderId="22" xfId="114" applyNumberFormat="1" applyFont="1" applyBorder="1" applyAlignment="1">
      <alignment horizontal="center" vertical="center"/>
      <protection locked="0"/>
    </xf>
    <xf numFmtId="177" fontId="37" fillId="0" borderId="38" xfId="114" applyNumberFormat="1" applyFont="1" applyBorder="1" applyAlignment="1">
      <alignment horizontal="center" vertical="center" shrinkToFit="1"/>
      <protection locked="0"/>
    </xf>
    <xf numFmtId="177" fontId="37" fillId="0" borderId="31" xfId="114" applyNumberFormat="1" applyFont="1" applyBorder="1" applyAlignment="1">
      <alignment horizontal="center" vertical="center" shrinkToFit="1"/>
      <protection locked="0"/>
    </xf>
    <xf numFmtId="177" fontId="37" fillId="0" borderId="22" xfId="114" applyNumberFormat="1" applyFont="1" applyBorder="1" applyAlignment="1">
      <alignment horizontal="center" vertical="center" shrinkToFit="1"/>
      <protection locked="0"/>
    </xf>
    <xf numFmtId="177" fontId="37" fillId="0" borderId="38" xfId="114" applyNumberFormat="1" applyFont="1" applyBorder="1" applyAlignment="1">
      <alignment horizontal="left" vertical="center" wrapText="1"/>
      <protection locked="0"/>
    </xf>
    <xf numFmtId="177" fontId="37" fillId="0" borderId="31" xfId="114" applyNumberFormat="1" applyFont="1" applyBorder="1" applyAlignment="1">
      <alignment horizontal="left" vertical="center" wrapText="1"/>
      <protection locked="0"/>
    </xf>
    <xf numFmtId="177" fontId="37" fillId="0" borderId="22" xfId="114" applyNumberFormat="1" applyFont="1" applyBorder="1" applyAlignment="1">
      <alignment horizontal="left" vertical="center" wrapText="1"/>
      <protection locked="0"/>
    </xf>
    <xf numFmtId="177" fontId="37" fillId="0" borderId="8" xfId="114" applyNumberFormat="1" applyFont="1" applyBorder="1" applyAlignment="1">
      <alignment horizontal="center" vertical="center" shrinkToFit="1"/>
      <protection locked="0"/>
    </xf>
    <xf numFmtId="177" fontId="37" fillId="0" borderId="8" xfId="114" applyNumberFormat="1" applyFont="1" applyBorder="1" applyAlignment="1">
      <alignment horizontal="left" vertical="center" wrapText="1"/>
      <protection locked="0"/>
    </xf>
    <xf numFmtId="176" fontId="21" fillId="0" borderId="49" xfId="110" applyNumberFormat="1" applyFont="1" applyBorder="1" applyAlignment="1" applyProtection="1">
      <alignment horizontal="center" vertical="center"/>
    </xf>
    <xf numFmtId="176" fontId="21" fillId="0" borderId="52" xfId="110" applyNumberFormat="1" applyFont="1" applyBorder="1" applyAlignment="1" applyProtection="1">
      <alignment horizontal="center" vertical="center"/>
    </xf>
    <xf numFmtId="0" fontId="35" fillId="0" borderId="36" xfId="110" applyNumberFormat="1" applyFont="1" applyBorder="1" applyAlignment="1" applyProtection="1">
      <alignment horizontal="center" vertical="center" shrinkToFit="1"/>
    </xf>
    <xf numFmtId="0" fontId="35" fillId="0" borderId="39" xfId="110" applyNumberFormat="1" applyFont="1" applyBorder="1" applyAlignment="1" applyProtection="1">
      <alignment horizontal="center" vertical="center" shrinkToFit="1"/>
    </xf>
    <xf numFmtId="176" fontId="21" fillId="0" borderId="48" xfId="110" applyNumberFormat="1" applyFont="1" applyBorder="1" applyAlignment="1" applyProtection="1">
      <alignment horizontal="center" vertical="center" wrapText="1"/>
    </xf>
    <xf numFmtId="176" fontId="21" fillId="0" borderId="51" xfId="110" applyNumberFormat="1" applyFont="1" applyBorder="1" applyAlignment="1" applyProtection="1">
      <alignment horizontal="center" vertical="center" wrapText="1"/>
    </xf>
    <xf numFmtId="176" fontId="21" fillId="0" borderId="37" xfId="110" applyNumberFormat="1" applyFont="1" applyBorder="1" applyAlignment="1" applyProtection="1">
      <alignment horizontal="center" vertical="center"/>
    </xf>
    <xf numFmtId="190" fontId="35" fillId="0" borderId="36" xfId="110" applyNumberFormat="1" applyFont="1" applyBorder="1" applyAlignment="1" applyProtection="1">
      <alignment horizontal="center" vertical="center" shrinkToFit="1"/>
    </xf>
    <xf numFmtId="190" fontId="35" fillId="0" borderId="39" xfId="110" applyNumberFormat="1" applyFont="1" applyBorder="1" applyAlignment="1" applyProtection="1">
      <alignment horizontal="center" vertical="center" shrinkToFit="1"/>
    </xf>
    <xf numFmtId="176" fontId="35" fillId="0" borderId="36" xfId="110" applyNumberFormat="1" applyFont="1" applyBorder="1" applyAlignment="1" applyProtection="1">
      <alignment horizontal="center" vertical="center" wrapText="1"/>
    </xf>
    <xf numFmtId="176" fontId="35" fillId="0" borderId="39" xfId="110" applyNumberFormat="1" applyFont="1" applyBorder="1" applyAlignment="1" applyProtection="1">
      <alignment horizontal="center" vertical="center" wrapText="1"/>
    </xf>
    <xf numFmtId="176" fontId="21" fillId="0" borderId="48" xfId="110" applyNumberFormat="1" applyFont="1" applyBorder="1" applyAlignment="1" applyProtection="1">
      <alignment horizontal="center" vertical="center"/>
    </xf>
    <xf numFmtId="176" fontId="21" fillId="0" borderId="51" xfId="110" applyNumberFormat="1" applyFont="1" applyBorder="1" applyAlignment="1" applyProtection="1">
      <alignment horizontal="center" vertical="center"/>
    </xf>
    <xf numFmtId="176" fontId="35" fillId="0" borderId="36" xfId="110" applyNumberFormat="1" applyFont="1" applyBorder="1" applyAlignment="1" applyProtection="1">
      <alignment horizontal="center" vertical="center"/>
    </xf>
    <xf numFmtId="176" fontId="35" fillId="0" borderId="39" xfId="110" applyNumberFormat="1" applyFont="1" applyBorder="1" applyAlignment="1" applyProtection="1">
      <alignment horizontal="center" vertical="center"/>
    </xf>
    <xf numFmtId="4" fontId="9" fillId="8" borderId="0" xfId="0" applyNumberFormat="1" applyFont="1" applyFill="1" applyBorder="1" applyAlignment="1" applyProtection="1">
      <alignment horizontal="left"/>
      <protection locked="0"/>
    </xf>
    <xf numFmtId="43" fontId="59" fillId="0" borderId="0" xfId="113" applyNumberFormat="1" applyFont="1" applyBorder="1" applyAlignment="1" applyProtection="1">
      <alignment horizontal="center" vertical="center"/>
    </xf>
    <xf numFmtId="190" fontId="59" fillId="0" borderId="0" xfId="113" applyFont="1" applyAlignment="1" applyProtection="1">
      <alignment horizontal="center" vertical="center"/>
    </xf>
    <xf numFmtId="190" fontId="13" fillId="0" borderId="0" xfId="0" applyFont="1" applyFill="1" applyAlignment="1" applyProtection="1">
      <alignment horizontal="left" vertical="center" shrinkToFit="1"/>
    </xf>
    <xf numFmtId="0" fontId="21" fillId="0" borderId="79" xfId="113" applyNumberFormat="1" applyFont="1" applyFill="1" applyBorder="1" applyAlignment="1" applyProtection="1">
      <alignment horizontal="center" vertical="center"/>
    </xf>
    <xf numFmtId="0" fontId="21" fillId="0" borderId="14" xfId="113" applyNumberFormat="1" applyFont="1" applyFill="1" applyBorder="1" applyAlignment="1" applyProtection="1">
      <alignment horizontal="center" vertical="center"/>
    </xf>
    <xf numFmtId="43" fontId="21" fillId="0" borderId="79" xfId="113" applyNumberFormat="1" applyFont="1" applyFill="1" applyBorder="1" applyAlignment="1" applyProtection="1">
      <alignment horizontal="center" vertical="center"/>
    </xf>
    <xf numFmtId="43" fontId="21" fillId="0" borderId="14" xfId="113" applyNumberFormat="1" applyFont="1" applyFill="1" applyBorder="1" applyAlignment="1" applyProtection="1">
      <alignment horizontal="center" vertical="center"/>
    </xf>
    <xf numFmtId="31" fontId="21" fillId="0" borderId="87" xfId="113" applyNumberFormat="1" applyFont="1" applyBorder="1" applyAlignment="1" applyProtection="1">
      <alignment horizontal="center" vertical="center"/>
    </xf>
    <xf numFmtId="31" fontId="38" fillId="0" borderId="88" xfId="113" applyNumberFormat="1" applyFont="1" applyBorder="1" applyAlignment="1" applyProtection="1">
      <alignment horizontal="center" vertical="center"/>
    </xf>
    <xf numFmtId="31" fontId="38" fillId="0" borderId="89" xfId="113" applyNumberFormat="1" applyFont="1" applyBorder="1" applyAlignment="1" applyProtection="1">
      <alignment horizontal="center" vertical="center"/>
    </xf>
    <xf numFmtId="43" fontId="21" fillId="9" borderId="79" xfId="113" applyNumberFormat="1" applyFont="1" applyFill="1" applyBorder="1" applyAlignment="1" applyProtection="1">
      <alignment horizontal="center" vertical="center"/>
    </xf>
    <xf numFmtId="43" fontId="21" fillId="9" borderId="14" xfId="113" applyNumberFormat="1" applyFont="1" applyFill="1" applyBorder="1" applyAlignment="1" applyProtection="1">
      <alignment horizontal="center" vertical="center"/>
    </xf>
    <xf numFmtId="190" fontId="13" fillId="0" borderId="0" xfId="0" applyFont="1" applyFill="1" applyAlignment="1" applyProtection="1">
      <alignment horizontal="left" vertical="center" shrinkToFit="1"/>
      <protection hidden="1"/>
    </xf>
    <xf numFmtId="0" fontId="21" fillId="9" borderId="79" xfId="113" applyNumberFormat="1" applyFont="1" applyFill="1" applyBorder="1" applyAlignment="1" applyProtection="1">
      <alignment horizontal="center" vertical="center"/>
    </xf>
    <xf numFmtId="0" fontId="21" fillId="9" borderId="14" xfId="113" applyNumberFormat="1" applyFont="1" applyFill="1" applyBorder="1" applyAlignment="1" applyProtection="1">
      <alignment horizontal="center" vertical="center"/>
    </xf>
    <xf numFmtId="43" fontId="59" fillId="0" borderId="0" xfId="113" applyNumberFormat="1" applyFont="1" applyAlignment="1" applyProtection="1">
      <alignment horizontal="center" vertical="center"/>
    </xf>
    <xf numFmtId="190" fontId="21" fillId="0" borderId="79" xfId="133" applyNumberFormat="1" applyFont="1" applyBorder="1" applyAlignment="1" applyProtection="1">
      <alignment horizontal="center" vertical="center"/>
    </xf>
    <xf numFmtId="190" fontId="21" fillId="0" borderId="14" xfId="133" applyNumberFormat="1" applyFont="1" applyBorder="1" applyAlignment="1" applyProtection="1">
      <alignment horizontal="center" vertical="center"/>
    </xf>
    <xf numFmtId="43" fontId="21" fillId="0" borderId="79" xfId="133" applyNumberFormat="1" applyFont="1" applyBorder="1" applyAlignment="1" applyProtection="1">
      <alignment horizontal="center" vertical="center"/>
    </xf>
    <xf numFmtId="43" fontId="21" fillId="0" borderId="14" xfId="133" applyNumberFormat="1" applyFont="1" applyBorder="1" applyAlignment="1" applyProtection="1">
      <alignment horizontal="center" vertical="center"/>
    </xf>
    <xf numFmtId="43" fontId="21" fillId="9" borderId="79" xfId="113" applyNumberFormat="1" applyFont="1" applyFill="1" applyBorder="1" applyAlignment="1">
      <alignment horizontal="center" vertical="center"/>
      <protection locked="0"/>
    </xf>
    <xf numFmtId="43" fontId="21" fillId="9" borderId="14" xfId="113" applyNumberFormat="1" applyFont="1" applyFill="1" applyBorder="1" applyAlignment="1">
      <alignment horizontal="center" vertical="center"/>
      <protection locked="0"/>
    </xf>
    <xf numFmtId="43" fontId="59" fillId="0" borderId="0" xfId="113" applyNumberFormat="1" applyFont="1" applyBorder="1" applyAlignment="1">
      <alignment horizontal="center" vertical="center"/>
      <protection locked="0"/>
    </xf>
    <xf numFmtId="43" fontId="69" fillId="0" borderId="0" xfId="113" applyNumberFormat="1" applyFont="1" applyBorder="1" applyAlignment="1" applyProtection="1">
      <alignment horizontal="center" vertical="center"/>
    </xf>
    <xf numFmtId="43" fontId="21" fillId="9" borderId="56" xfId="113" applyNumberFormat="1" applyFont="1" applyFill="1" applyBorder="1" applyAlignment="1">
      <alignment horizontal="center" vertical="center"/>
      <protection locked="0"/>
    </xf>
    <xf numFmtId="43" fontId="21" fillId="9" borderId="13" xfId="113" applyNumberFormat="1" applyFont="1" applyFill="1" applyBorder="1" applyAlignment="1">
      <alignment horizontal="center" vertical="center"/>
      <protection locked="0"/>
    </xf>
    <xf numFmtId="43" fontId="69" fillId="0" borderId="0" xfId="113" applyNumberFormat="1" applyFont="1" applyBorder="1" applyAlignment="1">
      <alignment horizontal="center" vertical="center"/>
      <protection locked="0"/>
    </xf>
    <xf numFmtId="190" fontId="10" fillId="0" borderId="85" xfId="0" applyFont="1" applyFill="1" applyBorder="1" applyAlignment="1" applyProtection="1">
      <alignment horizontal="center" vertical="center" wrapText="1" shrinkToFit="1"/>
    </xf>
    <xf numFmtId="190" fontId="10" fillId="0" borderId="9" xfId="0" applyFont="1" applyFill="1" applyBorder="1" applyAlignment="1" applyProtection="1">
      <alignment horizontal="center" vertical="center" wrapText="1" shrinkToFit="1"/>
    </xf>
    <xf numFmtId="190" fontId="10" fillId="0" borderId="53" xfId="0" applyFont="1" applyFill="1" applyBorder="1" applyAlignment="1" applyProtection="1">
      <alignment horizontal="center" vertical="center" wrapText="1" shrinkToFit="1"/>
    </xf>
    <xf numFmtId="190" fontId="10" fillId="0" borderId="86" xfId="0" applyFont="1" applyFill="1" applyBorder="1" applyAlignment="1" applyProtection="1">
      <alignment horizontal="center" vertical="center" wrapText="1" shrinkToFit="1"/>
    </xf>
    <xf numFmtId="190" fontId="10" fillId="0" borderId="31" xfId="0" applyFont="1" applyFill="1" applyBorder="1" applyAlignment="1" applyProtection="1">
      <alignment horizontal="center" vertical="center" wrapText="1" shrinkToFit="1"/>
    </xf>
    <xf numFmtId="190" fontId="10" fillId="0" borderId="51" xfId="0" applyFont="1" applyFill="1" applyBorder="1" applyAlignment="1" applyProtection="1">
      <alignment horizontal="center" vertical="center" wrapText="1" shrinkToFit="1"/>
    </xf>
    <xf numFmtId="4" fontId="91" fillId="0" borderId="0" xfId="0" applyNumberFormat="1" applyFont="1" applyFill="1" applyAlignment="1" applyProtection="1">
      <alignment horizontal="center" vertical="center" shrinkToFit="1"/>
    </xf>
    <xf numFmtId="176" fontId="21" fillId="0" borderId="84" xfId="0" applyNumberFormat="1" applyFont="1" applyFill="1" applyBorder="1" applyAlignment="1" applyProtection="1">
      <alignment horizontal="center" vertical="center" shrinkToFit="1"/>
    </xf>
    <xf numFmtId="176" fontId="21" fillId="0" borderId="24" xfId="0" applyNumberFormat="1" applyFont="1" applyFill="1" applyBorder="1" applyAlignment="1" applyProtection="1">
      <alignment horizontal="center" vertical="center" shrinkToFit="1"/>
    </xf>
    <xf numFmtId="176" fontId="21" fillId="0" borderId="39" xfId="0" applyNumberFormat="1" applyFont="1" applyFill="1" applyBorder="1" applyAlignment="1" applyProtection="1">
      <alignment horizontal="center" vertical="center" shrinkToFit="1"/>
    </xf>
    <xf numFmtId="190" fontId="10" fillId="0" borderId="35" xfId="0" applyFont="1" applyBorder="1" applyAlignment="1" applyProtection="1">
      <alignment horizontal="center" vertical="center"/>
    </xf>
    <xf numFmtId="190" fontId="10" fillId="0" borderId="8" xfId="0" applyFont="1" applyBorder="1" applyAlignment="1" applyProtection="1">
      <alignment horizontal="center" vertical="center"/>
    </xf>
    <xf numFmtId="190" fontId="21" fillId="0" borderId="84" xfId="0" applyFont="1" applyFill="1" applyBorder="1" applyAlignment="1" applyProtection="1">
      <alignment horizontal="center" vertical="center" shrinkToFit="1"/>
    </xf>
    <xf numFmtId="190" fontId="21" fillId="0" borderId="24" xfId="0" applyFont="1" applyFill="1" applyBorder="1" applyAlignment="1" applyProtection="1">
      <alignment horizontal="center" vertical="center" shrinkToFit="1"/>
    </xf>
    <xf numFmtId="190" fontId="21" fillId="0" borderId="39" xfId="0" applyFont="1" applyFill="1" applyBorder="1" applyAlignment="1" applyProtection="1">
      <alignment horizontal="center" vertical="center" shrinkToFit="1"/>
    </xf>
    <xf numFmtId="190" fontId="10" fillId="0" borderId="35" xfId="0" applyFont="1" applyFill="1" applyBorder="1" applyAlignment="1" applyProtection="1">
      <alignment horizontal="center" vertical="center" wrapText="1" shrinkToFit="1"/>
    </xf>
    <xf numFmtId="190" fontId="10" fillId="0" borderId="8" xfId="0" applyFont="1" applyFill="1" applyBorder="1" applyAlignment="1" applyProtection="1">
      <alignment horizontal="center" vertical="center" wrapText="1" shrinkToFit="1"/>
    </xf>
    <xf numFmtId="190" fontId="10" fillId="0" borderId="18" xfId="0" applyFont="1" applyFill="1" applyBorder="1" applyAlignment="1" applyProtection="1">
      <alignment horizontal="center" vertical="center" wrapText="1" shrinkToFit="1"/>
    </xf>
    <xf numFmtId="3" fontId="10" fillId="0" borderId="86" xfId="0" applyNumberFormat="1" applyFont="1" applyFill="1" applyBorder="1" applyAlignment="1" applyProtection="1">
      <alignment horizontal="center" vertical="center" wrapText="1" shrinkToFit="1"/>
    </xf>
    <xf numFmtId="3" fontId="10" fillId="0" borderId="31" xfId="0" applyNumberFormat="1" applyFont="1" applyFill="1" applyBorder="1" applyAlignment="1" applyProtection="1">
      <alignment horizontal="center" vertical="center" wrapText="1" shrinkToFit="1"/>
    </xf>
    <xf numFmtId="3" fontId="10" fillId="0" borderId="51" xfId="0" applyNumberFormat="1" applyFont="1" applyFill="1" applyBorder="1" applyAlignment="1" applyProtection="1">
      <alignment horizontal="center" vertical="center" wrapText="1" shrinkToFit="1"/>
    </xf>
    <xf numFmtId="190" fontId="10" fillId="0" borderId="85" xfId="0" applyFont="1" applyFill="1" applyBorder="1" applyAlignment="1" applyProtection="1">
      <alignment horizontal="center" vertical="center" wrapText="1" shrinkToFit="1"/>
      <protection locked="0"/>
    </xf>
    <xf numFmtId="190" fontId="10" fillId="0" borderId="9" xfId="0" applyFont="1" applyFill="1" applyBorder="1" applyAlignment="1" applyProtection="1">
      <alignment horizontal="center" vertical="center" wrapText="1" shrinkToFit="1"/>
      <protection locked="0"/>
    </xf>
    <xf numFmtId="190" fontId="10" fillId="0" borderId="53" xfId="0" applyFont="1" applyFill="1" applyBorder="1" applyAlignment="1" applyProtection="1">
      <alignment horizontal="center" vertical="center" wrapText="1" shrinkToFit="1"/>
      <protection locked="0"/>
    </xf>
    <xf numFmtId="190" fontId="10" fillId="0" borderId="85" xfId="0" applyFont="1" applyBorder="1" applyAlignment="1" applyProtection="1">
      <alignment horizontal="center" vertical="center"/>
    </xf>
    <xf numFmtId="190" fontId="10" fillId="0" borderId="84" xfId="0" applyFont="1" applyBorder="1" applyAlignment="1" applyProtection="1">
      <alignment horizontal="center" vertical="center"/>
    </xf>
    <xf numFmtId="190" fontId="10" fillId="0" borderId="86" xfId="0" applyFont="1" applyBorder="1" applyAlignment="1" applyProtection="1">
      <alignment horizontal="center" vertical="center" wrapText="1"/>
    </xf>
    <xf numFmtId="190" fontId="10" fillId="0" borderId="22" xfId="0" applyFont="1" applyBorder="1" applyAlignment="1" applyProtection="1">
      <alignment horizontal="center" vertical="center"/>
    </xf>
    <xf numFmtId="0" fontId="88" fillId="0" borderId="84" xfId="133" applyNumberFormat="1" applyFont="1" applyFill="1" applyBorder="1" applyAlignment="1" applyProtection="1">
      <alignment horizontal="center" vertical="center"/>
    </xf>
    <xf numFmtId="0" fontId="88" fillId="0" borderId="24" xfId="133" applyNumberFormat="1" applyFont="1" applyFill="1" applyBorder="1" applyAlignment="1" applyProtection="1">
      <alignment horizontal="center" vertical="center"/>
    </xf>
    <xf numFmtId="0" fontId="88" fillId="0" borderId="39" xfId="133" applyNumberFormat="1" applyFont="1" applyFill="1" applyBorder="1" applyAlignment="1" applyProtection="1">
      <alignment horizontal="center" vertical="center"/>
    </xf>
    <xf numFmtId="0" fontId="88" fillId="0" borderId="86" xfId="133" applyNumberFormat="1" applyFont="1" applyFill="1" applyBorder="1" applyAlignment="1" applyProtection="1">
      <alignment horizontal="center" vertical="center" wrapText="1"/>
    </xf>
    <xf numFmtId="0" fontId="88" fillId="0" borderId="31" xfId="133" applyNumberFormat="1" applyFont="1" applyFill="1" applyBorder="1" applyAlignment="1" applyProtection="1">
      <alignment horizontal="center" vertical="center" wrapText="1"/>
    </xf>
    <xf numFmtId="0" fontId="88" fillId="0" borderId="51" xfId="133" applyNumberFormat="1" applyFont="1" applyFill="1" applyBorder="1" applyAlignment="1" applyProtection="1">
      <alignment horizontal="center" vertical="center" wrapText="1"/>
    </xf>
    <xf numFmtId="4" fontId="91" fillId="0" borderId="0" xfId="0" applyNumberFormat="1" applyFont="1" applyFill="1" applyBorder="1" applyAlignment="1" applyProtection="1">
      <alignment horizontal="center" vertical="center" shrinkToFit="1"/>
    </xf>
    <xf numFmtId="190" fontId="10" fillId="0" borderId="35" xfId="0" applyFont="1" applyBorder="1" applyAlignment="1" applyProtection="1">
      <alignment horizontal="center" vertical="center" wrapText="1"/>
    </xf>
    <xf numFmtId="190" fontId="91" fillId="0" borderId="0" xfId="0" applyFont="1" applyFill="1" applyAlignment="1">
      <alignment horizontal="center"/>
      <protection locked="0"/>
    </xf>
    <xf numFmtId="190" fontId="53" fillId="0" borderId="35" xfId="0" applyFont="1" applyFill="1" applyBorder="1" applyAlignment="1">
      <alignment horizontal="center" vertical="center" shrinkToFit="1"/>
      <protection locked="0"/>
    </xf>
    <xf numFmtId="190" fontId="33" fillId="0" borderId="35" xfId="0" applyFont="1" applyFill="1" applyBorder="1" applyAlignment="1">
      <alignment horizontal="center" vertical="center" shrinkToFit="1"/>
      <protection locked="0"/>
    </xf>
    <xf numFmtId="190" fontId="33" fillId="0" borderId="18" xfId="0" applyFont="1" applyFill="1" applyBorder="1" applyAlignment="1">
      <alignment horizontal="center" vertical="center" shrinkToFit="1"/>
      <protection locked="0"/>
    </xf>
    <xf numFmtId="190" fontId="33" fillId="0" borderId="85" xfId="0" applyFont="1" applyFill="1" applyBorder="1" applyAlignment="1">
      <alignment horizontal="center" vertical="center" shrinkToFit="1"/>
      <protection locked="0"/>
    </xf>
    <xf numFmtId="190" fontId="33" fillId="0" borderId="53" xfId="0" applyFont="1" applyFill="1" applyBorder="1" applyAlignment="1">
      <alignment horizontal="center" vertical="center" shrinkToFit="1"/>
      <protection locked="0"/>
    </xf>
    <xf numFmtId="190" fontId="33" fillId="0" borderId="90" xfId="0" applyFont="1" applyFill="1" applyBorder="1" applyAlignment="1">
      <alignment horizontal="center" vertical="center" shrinkToFit="1"/>
      <protection locked="0"/>
    </xf>
    <xf numFmtId="190" fontId="33" fillId="0" borderId="50" xfId="0" applyFont="1" applyFill="1" applyBorder="1" applyAlignment="1">
      <alignment horizontal="center" vertical="center" shrinkToFit="1"/>
      <protection locked="0"/>
    </xf>
    <xf numFmtId="190" fontId="33" fillId="0" borderId="86" xfId="0" applyFont="1" applyFill="1" applyBorder="1" applyAlignment="1">
      <alignment horizontal="center" vertical="center" shrinkToFit="1"/>
      <protection locked="0"/>
    </xf>
    <xf numFmtId="190" fontId="33" fillId="0" borderId="51" xfId="0" applyFont="1" applyFill="1" applyBorder="1" applyAlignment="1">
      <alignment horizontal="center" vertical="center" shrinkToFit="1"/>
      <protection locked="0"/>
    </xf>
    <xf numFmtId="190" fontId="117" fillId="0" borderId="91" xfId="111" applyFont="1" applyFill="1" applyBorder="1" applyAlignment="1">
      <alignment horizontal="center" vertical="center" wrapText="1"/>
      <protection locked="0"/>
    </xf>
    <xf numFmtId="190" fontId="38" fillId="0" borderId="92" xfId="111" applyFont="1" applyFill="1" applyBorder="1" applyAlignment="1">
      <alignment horizontal="center" vertical="center" wrapText="1"/>
      <protection locked="0"/>
    </xf>
    <xf numFmtId="190" fontId="21" fillId="0" borderId="70" xfId="111" applyFont="1" applyFill="1" applyBorder="1" applyAlignment="1">
      <alignment horizontal="center" wrapText="1"/>
      <protection locked="0"/>
    </xf>
    <xf numFmtId="190" fontId="38" fillId="0" borderId="70" xfId="111" applyFont="1" applyFill="1" applyBorder="1" applyAlignment="1">
      <alignment horizontal="center" wrapText="1"/>
      <protection locked="0"/>
    </xf>
    <xf numFmtId="190" fontId="38" fillId="0" borderId="93" xfId="111" applyFont="1" applyFill="1" applyBorder="1" applyAlignment="1">
      <alignment horizontal="center" wrapText="1"/>
      <protection locked="0"/>
    </xf>
    <xf numFmtId="190" fontId="88" fillId="0" borderId="84" xfId="133" applyNumberFormat="1" applyFont="1" applyFill="1" applyBorder="1" applyAlignment="1" applyProtection="1">
      <alignment horizontal="center" vertical="center"/>
    </xf>
    <xf numFmtId="190" fontId="88" fillId="0" borderId="24" xfId="133" applyNumberFormat="1" applyFont="1" applyFill="1" applyBorder="1" applyAlignment="1" applyProtection="1">
      <alignment horizontal="center" vertical="center"/>
    </xf>
    <xf numFmtId="190" fontId="88" fillId="0" borderId="39" xfId="133" applyNumberFormat="1" applyFont="1" applyFill="1" applyBorder="1" applyAlignment="1" applyProtection="1">
      <alignment horizontal="center" vertical="center"/>
    </xf>
  </cellXfs>
  <cellStyles count="146">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科目核对表" xfId="27"/>
    <cellStyle name="_母PL" xfId="28"/>
    <cellStyle name="_人员分工备忘录" xfId="29"/>
    <cellStyle name="_审计所需资料清单－子公司" xfId="30"/>
    <cellStyle name="_长期借款－江阴" xfId="31"/>
    <cellStyle name="{Comma [0]}" xfId="32"/>
    <cellStyle name="{Comma}" xfId="33"/>
    <cellStyle name="{Date}" xfId="34"/>
    <cellStyle name="{Month}" xfId="35"/>
    <cellStyle name="{Percent}" xfId="36"/>
    <cellStyle name="{Thousand [0]}" xfId="37"/>
    <cellStyle name="{Thousand}" xfId="38"/>
    <cellStyle name="{Z'0000(1 dec)}" xfId="39"/>
    <cellStyle name="{Z'0000(4 dec)}" xfId="40"/>
    <cellStyle name="0%" xfId="41"/>
    <cellStyle name="0.0%" xfId="42"/>
    <cellStyle name="0.00%" xfId="43"/>
    <cellStyle name="Black" xfId="44"/>
    <cellStyle name="Border" xfId="45"/>
    <cellStyle name="Calc Currency (0)" xfId="46"/>
    <cellStyle name="Col Heads" xfId="47"/>
    <cellStyle name="ColLevel_1" xfId="1" builtinId="2" iLevel="0"/>
    <cellStyle name="Column_Title" xfId="48"/>
    <cellStyle name="Comma  - Style1" xfId="49"/>
    <cellStyle name="Comma  - Style2" xfId="50"/>
    <cellStyle name="Comma  - Style3" xfId="51"/>
    <cellStyle name="Comma  - Style4" xfId="52"/>
    <cellStyle name="Comma  - Style5" xfId="53"/>
    <cellStyle name="Comma  - Style6" xfId="54"/>
    <cellStyle name="Comma  - Style7" xfId="55"/>
    <cellStyle name="Comma  - Style8" xfId="56"/>
    <cellStyle name="Comma [0]_ rislugp" xfId="57"/>
    <cellStyle name="Comma,0" xfId="58"/>
    <cellStyle name="Comma,1" xfId="59"/>
    <cellStyle name="Comma,2" xfId="60"/>
    <cellStyle name="Comma_ rislugp" xfId="61"/>
    <cellStyle name="Currency [0]_ rislugp" xfId="62"/>
    <cellStyle name="Currency,0" xfId="63"/>
    <cellStyle name="Currency,2" xfId="64"/>
    <cellStyle name="Currency_ rislugp" xfId="65"/>
    <cellStyle name="Dezimal [0]_laroux" xfId="66"/>
    <cellStyle name="Dezimal_laroux" xfId="67"/>
    <cellStyle name="entry" xfId="68"/>
    <cellStyle name="entry box" xfId="69"/>
    <cellStyle name="Euro" xfId="70"/>
    <cellStyle name="Followed Hyperlink_AheadBehind.xls Chart 23" xfId="71"/>
    <cellStyle name="Grey" xfId="72"/>
    <cellStyle name="Header1" xfId="73"/>
    <cellStyle name="Header2" xfId="74"/>
    <cellStyle name="Heading" xfId="75"/>
    <cellStyle name="Hyperlink_AheadBehind.xls Chart 23" xfId="76"/>
    <cellStyle name="Input [yellow]" xfId="77"/>
    <cellStyle name="left" xfId="78"/>
    <cellStyle name="Millares [0]_laroux" xfId="79"/>
    <cellStyle name="Millares_laroux" xfId="80"/>
    <cellStyle name="Milliers [0]_laroux" xfId="81"/>
    <cellStyle name="Milliers_laroux" xfId="82"/>
    <cellStyle name="Moneda [0]_laroux" xfId="83"/>
    <cellStyle name="Moneda_laroux" xfId="84"/>
    <cellStyle name="Mon閠aire [0]_laroux" xfId="85"/>
    <cellStyle name="Mon閠aire_laroux" xfId="86"/>
    <cellStyle name="no dec" xfId="87"/>
    <cellStyle name="Non défini" xfId="88"/>
    <cellStyle name="Normal - Style1" xfId="89"/>
    <cellStyle name="Normal_ rislugp" xfId="90"/>
    <cellStyle name="Normalny_Arkusz1" xfId="91"/>
    <cellStyle name="Percent (0)" xfId="92"/>
    <cellStyle name="Percent [2]" xfId="93"/>
    <cellStyle name="Prefilled" xfId="94"/>
    <cellStyle name="price" xfId="95"/>
    <cellStyle name="Red" xfId="96"/>
    <cellStyle name="revised" xfId="97"/>
    <cellStyle name="S4" xfId="98"/>
    <cellStyle name="S5" xfId="99"/>
    <cellStyle name="section" xfId="100"/>
    <cellStyle name="style" xfId="101"/>
    <cellStyle name="style1" xfId="102"/>
    <cellStyle name="style2" xfId="103"/>
    <cellStyle name="Tickmark" xfId="104"/>
    <cellStyle name="title" xfId="105"/>
    <cellStyle name="wrap" xfId="106"/>
    <cellStyle name="パーセント_laroux" xfId="107"/>
    <cellStyle name="百分比" xfId="108" builtinId="5"/>
    <cellStyle name="標準_１１月価格表" xfId="109"/>
    <cellStyle name="常规" xfId="0" builtinId="0"/>
    <cellStyle name="常规_2003年调整表1" xfId="110"/>
    <cellStyle name="常规_EPS-ROE计算（新）" xfId="111"/>
    <cellStyle name="常规_sheet" xfId="112"/>
    <cellStyle name="常规_附件1：决算表式（后会签稿）--1008" xfId="145"/>
    <cellStyle name="常规_审计调整试算平衡表（修改中）" xfId="113"/>
    <cellStyle name="常规_试算表(三建主业)" xfId="114"/>
    <cellStyle name="超级链接_B4-1审计项目工时预算与控制表(集团)" xfId="115"/>
    <cellStyle name="超链接" xfId="116" builtinId="8"/>
    <cellStyle name="分级显示行_1_4附件二凯旋评估表" xfId="117"/>
    <cellStyle name="桁区切り [0.00]_１１月価格表" xfId="118"/>
    <cellStyle name="桁区切り_１１月価格表" xfId="119"/>
    <cellStyle name="霓付 [0]_97MBO" xfId="120"/>
    <cellStyle name="霓付_97MBO" xfId="121"/>
    <cellStyle name="烹拳 [0]_97MBO" xfId="122"/>
    <cellStyle name="烹拳_97MBO" xfId="123"/>
    <cellStyle name="普通_ 白土" xfId="124"/>
    <cellStyle name="普通_现金流量表" xfId="125"/>
    <cellStyle name="普通_资产负债表" xfId="126"/>
    <cellStyle name="普通_资产负债表_正式合并报表" xfId="127"/>
    <cellStyle name="千分位[0]_ 白土" xfId="128"/>
    <cellStyle name="千分位_ 白土" xfId="129"/>
    <cellStyle name="千位[0]_97汇总" xfId="130"/>
    <cellStyle name="千位_97汇总" xfId="131"/>
    <cellStyle name="千位分隔" xfId="132" builtinId="3"/>
    <cellStyle name="千位分隔[0]_审计调整试算平衡表（修改中）" xfId="133"/>
    <cellStyle name="千位分隔_审计调整试算平衡表（修改中）" xfId="134"/>
    <cellStyle name="千位分隔_试算表(三建主业)" xfId="135"/>
    <cellStyle name="钎霖_laroux" xfId="136"/>
    <cellStyle name="通貨 [0.00]_１１月価格表" xfId="137"/>
    <cellStyle name="通貨_１１月価格表" xfId="138"/>
    <cellStyle name="样式 1" xfId="139"/>
    <cellStyle name="콤마 [0]_BOILER-CO1" xfId="140"/>
    <cellStyle name="콤마_BOILER-CO1" xfId="141"/>
    <cellStyle name="통화 [0]_BOILER-CO1" xfId="142"/>
    <cellStyle name="통화_BOILER-CO1" xfId="143"/>
    <cellStyle name="표준_0N-HANDLING " xfId="144"/>
  </cellStyles>
  <dxfs count="61">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E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99FF"/>
      <color rgb="FFF6A9B3"/>
      <color rgb="FFFF6699"/>
      <color rgb="FFFF99CC"/>
      <color rgb="FFFFFFCC"/>
      <color rgb="FF99CCFF"/>
      <color rgb="FFCCFFCC"/>
      <color rgb="FFCCFF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externalLink" Target="externalLinks/externalLink7.xml"/><Relationship Id="rId55" Type="http://schemas.openxmlformats.org/officeDocument/2006/relationships/externalLink" Target="externalLinks/externalLink12.xml"/><Relationship Id="rId63" Type="http://schemas.openxmlformats.org/officeDocument/2006/relationships/externalLink" Target="externalLinks/externalLink20.xml"/><Relationship Id="rId68" Type="http://schemas.openxmlformats.org/officeDocument/2006/relationships/externalLink" Target="externalLinks/externalLink2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2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externalLink" Target="externalLinks/externalLink10.xml"/><Relationship Id="rId58" Type="http://schemas.openxmlformats.org/officeDocument/2006/relationships/externalLink" Target="externalLinks/externalLink15.xml"/><Relationship Id="rId66" Type="http://schemas.openxmlformats.org/officeDocument/2006/relationships/externalLink" Target="externalLinks/externalLink23.xml"/><Relationship Id="rId7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6.xml"/><Relationship Id="rId57" Type="http://schemas.openxmlformats.org/officeDocument/2006/relationships/externalLink" Target="externalLinks/externalLink14.xml"/><Relationship Id="rId61"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externalLink" Target="externalLinks/externalLink9.xml"/><Relationship Id="rId60" Type="http://schemas.openxmlformats.org/officeDocument/2006/relationships/externalLink" Target="externalLinks/externalLink17.xml"/><Relationship Id="rId65" Type="http://schemas.openxmlformats.org/officeDocument/2006/relationships/externalLink" Target="externalLinks/externalLink22.xml"/><Relationship Id="rId73"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56" Type="http://schemas.openxmlformats.org/officeDocument/2006/relationships/externalLink" Target="externalLinks/externalLink13.xml"/><Relationship Id="rId64" Type="http://schemas.openxmlformats.org/officeDocument/2006/relationships/externalLink" Target="externalLinks/externalLink21.xml"/><Relationship Id="rId69" Type="http://schemas.openxmlformats.org/officeDocument/2006/relationships/externalLink" Target="externalLinks/externalLink26.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8.xml"/><Relationship Id="rId72"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59" Type="http://schemas.openxmlformats.org/officeDocument/2006/relationships/externalLink" Target="externalLinks/externalLink16.xml"/><Relationship Id="rId67" Type="http://schemas.openxmlformats.org/officeDocument/2006/relationships/externalLink" Target="externalLinks/externalLink2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1.xml"/><Relationship Id="rId62" Type="http://schemas.openxmlformats.org/officeDocument/2006/relationships/externalLink" Target="externalLinks/externalLink19.xml"/><Relationship Id="rId70" Type="http://schemas.openxmlformats.org/officeDocument/2006/relationships/externalLink" Target="externalLinks/externalLink27.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editAs="oneCell">
    <xdr:from>
      <xdr:col>4</xdr:col>
      <xdr:colOff>600075</xdr:colOff>
      <xdr:row>10</xdr:row>
      <xdr:rowOff>123825</xdr:rowOff>
    </xdr:from>
    <xdr:to>
      <xdr:col>4</xdr:col>
      <xdr:colOff>676275</xdr:colOff>
      <xdr:row>12</xdr:row>
      <xdr:rowOff>0</xdr:rowOff>
    </xdr:to>
    <xdr:sp macro="" textlink="">
      <xdr:nvSpPr>
        <xdr:cNvPr id="49513"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twoCellAnchor>
  <xdr:twoCellAnchor editAs="oneCell">
    <xdr:from>
      <xdr:col>0</xdr:col>
      <xdr:colOff>676275</xdr:colOff>
      <xdr:row>34</xdr:row>
      <xdr:rowOff>47625</xdr:rowOff>
    </xdr:from>
    <xdr:to>
      <xdr:col>0</xdr:col>
      <xdr:colOff>752475</xdr:colOff>
      <xdr:row>35</xdr:row>
      <xdr:rowOff>95250</xdr:rowOff>
    </xdr:to>
    <xdr:sp macro="" textlink="">
      <xdr:nvSpPr>
        <xdr:cNvPr id="49515" name="Text Box 3"/>
        <xdr:cNvSpPr txBox="1">
          <a:spLocks noChangeArrowheads="1"/>
        </xdr:cNvSpPr>
      </xdr:nvSpPr>
      <xdr:spPr bwMode="auto">
        <a:xfrm>
          <a:off x="676275" y="4667250"/>
          <a:ext cx="76200" cy="219075"/>
        </a:xfrm>
        <a:prstGeom prst="rect">
          <a:avLst/>
        </a:prstGeom>
        <a:noFill/>
        <a:ln w="9525">
          <a:noFill/>
          <a:miter lim="800000"/>
          <a:headEnd/>
          <a:tailEnd/>
        </a:ln>
      </xdr:spPr>
    </xdr:sp>
    <xdr:clientData/>
  </xdr:twoCellAnchor>
  <xdr:twoCellAnchor editAs="oneCell">
    <xdr:from>
      <xdr:col>7</xdr:col>
      <xdr:colOff>114300</xdr:colOff>
      <xdr:row>34</xdr:row>
      <xdr:rowOff>57150</xdr:rowOff>
    </xdr:from>
    <xdr:to>
      <xdr:col>7</xdr:col>
      <xdr:colOff>190500</xdr:colOff>
      <xdr:row>35</xdr:row>
      <xdr:rowOff>104775</xdr:rowOff>
    </xdr:to>
    <xdr:sp macro="" textlink="">
      <xdr:nvSpPr>
        <xdr:cNvPr id="49516" name="Text Box 4"/>
        <xdr:cNvSpPr txBox="1">
          <a:spLocks noChangeArrowheads="1"/>
        </xdr:cNvSpPr>
      </xdr:nvSpPr>
      <xdr:spPr bwMode="auto">
        <a:xfrm>
          <a:off x="6124575" y="6048375"/>
          <a:ext cx="76200" cy="219075"/>
        </a:xfrm>
        <a:prstGeom prst="rect">
          <a:avLst/>
        </a:prstGeom>
        <a:noFill/>
        <a:ln w="9525">
          <a:noFill/>
          <a:miter lim="800000"/>
          <a:headEnd/>
          <a:tailEnd/>
        </a:ln>
      </xdr:spPr>
    </xdr:sp>
    <xdr:clientData/>
  </xdr:twoCellAnchor>
  <xdr:twoCellAnchor editAs="oneCell">
    <xdr:from>
      <xdr:col>0</xdr:col>
      <xdr:colOff>676275</xdr:colOff>
      <xdr:row>12</xdr:row>
      <xdr:rowOff>47625</xdr:rowOff>
    </xdr:from>
    <xdr:to>
      <xdr:col>0</xdr:col>
      <xdr:colOff>752475</xdr:colOff>
      <xdr:row>13</xdr:row>
      <xdr:rowOff>95250</xdr:rowOff>
    </xdr:to>
    <xdr:sp macro="" textlink="">
      <xdr:nvSpPr>
        <xdr:cNvPr id="49517" name="Text Box 1"/>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twoCellAnchor editAs="oneCell">
    <xdr:from>
      <xdr:col>0</xdr:col>
      <xdr:colOff>676275</xdr:colOff>
      <xdr:row>12</xdr:row>
      <xdr:rowOff>47625</xdr:rowOff>
    </xdr:from>
    <xdr:to>
      <xdr:col>0</xdr:col>
      <xdr:colOff>752475</xdr:colOff>
      <xdr:row>13</xdr:row>
      <xdr:rowOff>95250</xdr:rowOff>
    </xdr:to>
    <xdr:sp macro="" textlink="">
      <xdr:nvSpPr>
        <xdr:cNvPr id="49518" name="Text Box 2"/>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oneCellAnchor>
    <xdr:from>
      <xdr:col>0</xdr:col>
      <xdr:colOff>676275</xdr:colOff>
      <xdr:row>36</xdr:row>
      <xdr:rowOff>47625</xdr:rowOff>
    </xdr:from>
    <xdr:ext cx="76200" cy="219075"/>
    <xdr:sp macro="" textlink="">
      <xdr:nvSpPr>
        <xdr:cNvPr id="8"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36</xdr:row>
      <xdr:rowOff>47625</xdr:rowOff>
    </xdr:from>
    <xdr:ext cx="76200" cy="219075"/>
    <xdr:sp macro="" textlink="">
      <xdr:nvSpPr>
        <xdr:cNvPr id="9"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38</xdr:row>
      <xdr:rowOff>47625</xdr:rowOff>
    </xdr:from>
    <xdr:ext cx="76200" cy="219075"/>
    <xdr:sp macro="" textlink="">
      <xdr:nvSpPr>
        <xdr:cNvPr id="10"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38</xdr:row>
      <xdr:rowOff>47625</xdr:rowOff>
    </xdr:from>
    <xdr:ext cx="76200" cy="219075"/>
    <xdr:sp macro="" textlink="">
      <xdr:nvSpPr>
        <xdr:cNvPr id="11"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39</xdr:row>
      <xdr:rowOff>47625</xdr:rowOff>
    </xdr:from>
    <xdr:ext cx="76200" cy="219075"/>
    <xdr:sp macro="" textlink="">
      <xdr:nvSpPr>
        <xdr:cNvPr id="12"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39</xdr:row>
      <xdr:rowOff>47625</xdr:rowOff>
    </xdr:from>
    <xdr:ext cx="76200" cy="219075"/>
    <xdr:sp macro="" textlink="">
      <xdr:nvSpPr>
        <xdr:cNvPr id="13"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40</xdr:row>
      <xdr:rowOff>47625</xdr:rowOff>
    </xdr:from>
    <xdr:ext cx="76200" cy="219075"/>
    <xdr:sp macro="" textlink="">
      <xdr:nvSpPr>
        <xdr:cNvPr id="14"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40</xdr:row>
      <xdr:rowOff>47625</xdr:rowOff>
    </xdr:from>
    <xdr:ext cx="76200" cy="219075"/>
    <xdr:sp macro="" textlink="">
      <xdr:nvSpPr>
        <xdr:cNvPr id="15"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41</xdr:row>
      <xdr:rowOff>47625</xdr:rowOff>
    </xdr:from>
    <xdr:ext cx="76200" cy="219075"/>
    <xdr:sp macro="" textlink="">
      <xdr:nvSpPr>
        <xdr:cNvPr id="16"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41</xdr:row>
      <xdr:rowOff>47625</xdr:rowOff>
    </xdr:from>
    <xdr:ext cx="76200" cy="219075"/>
    <xdr:sp macro="" textlink="">
      <xdr:nvSpPr>
        <xdr:cNvPr id="17"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42</xdr:row>
      <xdr:rowOff>47625</xdr:rowOff>
    </xdr:from>
    <xdr:ext cx="76200" cy="219075"/>
    <xdr:sp macro="" textlink="">
      <xdr:nvSpPr>
        <xdr:cNvPr id="18"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42</xdr:row>
      <xdr:rowOff>47625</xdr:rowOff>
    </xdr:from>
    <xdr:ext cx="76200" cy="219075"/>
    <xdr:sp macro="" textlink="">
      <xdr:nvSpPr>
        <xdr:cNvPr id="19"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43</xdr:row>
      <xdr:rowOff>47625</xdr:rowOff>
    </xdr:from>
    <xdr:ext cx="76200" cy="219075"/>
    <xdr:sp macro="" textlink="">
      <xdr:nvSpPr>
        <xdr:cNvPr id="20"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43</xdr:row>
      <xdr:rowOff>47625</xdr:rowOff>
    </xdr:from>
    <xdr:ext cx="76200" cy="219075"/>
    <xdr:sp macro="" textlink="">
      <xdr:nvSpPr>
        <xdr:cNvPr id="21"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44</xdr:row>
      <xdr:rowOff>47625</xdr:rowOff>
    </xdr:from>
    <xdr:ext cx="76200" cy="219075"/>
    <xdr:sp macro="" textlink="">
      <xdr:nvSpPr>
        <xdr:cNvPr id="22"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44</xdr:row>
      <xdr:rowOff>47625</xdr:rowOff>
    </xdr:from>
    <xdr:ext cx="76200" cy="219075"/>
    <xdr:sp macro="" textlink="">
      <xdr:nvSpPr>
        <xdr:cNvPr id="23"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45</xdr:row>
      <xdr:rowOff>47625</xdr:rowOff>
    </xdr:from>
    <xdr:ext cx="76200" cy="219075"/>
    <xdr:sp macro="" textlink="">
      <xdr:nvSpPr>
        <xdr:cNvPr id="24"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45</xdr:row>
      <xdr:rowOff>47625</xdr:rowOff>
    </xdr:from>
    <xdr:ext cx="76200" cy="219075"/>
    <xdr:sp macro="" textlink="">
      <xdr:nvSpPr>
        <xdr:cNvPr id="25"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46</xdr:row>
      <xdr:rowOff>47625</xdr:rowOff>
    </xdr:from>
    <xdr:ext cx="76200" cy="219075"/>
    <xdr:sp macro="" textlink="">
      <xdr:nvSpPr>
        <xdr:cNvPr id="26"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46</xdr:row>
      <xdr:rowOff>47625</xdr:rowOff>
    </xdr:from>
    <xdr:ext cx="76200" cy="219075"/>
    <xdr:sp macro="" textlink="">
      <xdr:nvSpPr>
        <xdr:cNvPr id="27"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47</xdr:row>
      <xdr:rowOff>47625</xdr:rowOff>
    </xdr:from>
    <xdr:ext cx="76200" cy="219075"/>
    <xdr:sp macro="" textlink="">
      <xdr:nvSpPr>
        <xdr:cNvPr id="28"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47</xdr:row>
      <xdr:rowOff>47625</xdr:rowOff>
    </xdr:from>
    <xdr:ext cx="76200" cy="219075"/>
    <xdr:sp macro="" textlink="">
      <xdr:nvSpPr>
        <xdr:cNvPr id="29"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48</xdr:row>
      <xdr:rowOff>47625</xdr:rowOff>
    </xdr:from>
    <xdr:ext cx="76200" cy="219075"/>
    <xdr:sp macro="" textlink="">
      <xdr:nvSpPr>
        <xdr:cNvPr id="30"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48</xdr:row>
      <xdr:rowOff>47625</xdr:rowOff>
    </xdr:from>
    <xdr:ext cx="76200" cy="219075"/>
    <xdr:sp macro="" textlink="">
      <xdr:nvSpPr>
        <xdr:cNvPr id="31"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49</xdr:row>
      <xdr:rowOff>47625</xdr:rowOff>
    </xdr:from>
    <xdr:ext cx="76200" cy="219075"/>
    <xdr:sp macro="" textlink="">
      <xdr:nvSpPr>
        <xdr:cNvPr id="32"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49</xdr:row>
      <xdr:rowOff>47625</xdr:rowOff>
    </xdr:from>
    <xdr:ext cx="76200" cy="219075"/>
    <xdr:sp macro="" textlink="">
      <xdr:nvSpPr>
        <xdr:cNvPr id="33"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50</xdr:row>
      <xdr:rowOff>47625</xdr:rowOff>
    </xdr:from>
    <xdr:ext cx="76200" cy="219075"/>
    <xdr:sp macro="" textlink="">
      <xdr:nvSpPr>
        <xdr:cNvPr id="34"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50</xdr:row>
      <xdr:rowOff>47625</xdr:rowOff>
    </xdr:from>
    <xdr:ext cx="76200" cy="219075"/>
    <xdr:sp macro="" textlink="">
      <xdr:nvSpPr>
        <xdr:cNvPr id="35"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51</xdr:row>
      <xdr:rowOff>47625</xdr:rowOff>
    </xdr:from>
    <xdr:ext cx="76200" cy="219075"/>
    <xdr:sp macro="" textlink="">
      <xdr:nvSpPr>
        <xdr:cNvPr id="36"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51</xdr:row>
      <xdr:rowOff>47625</xdr:rowOff>
    </xdr:from>
    <xdr:ext cx="76200" cy="219075"/>
    <xdr:sp macro="" textlink="">
      <xdr:nvSpPr>
        <xdr:cNvPr id="37"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52</xdr:row>
      <xdr:rowOff>47625</xdr:rowOff>
    </xdr:from>
    <xdr:ext cx="76200" cy="219075"/>
    <xdr:sp macro="" textlink="">
      <xdr:nvSpPr>
        <xdr:cNvPr id="38"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52</xdr:row>
      <xdr:rowOff>47625</xdr:rowOff>
    </xdr:from>
    <xdr:ext cx="76200" cy="219075"/>
    <xdr:sp macro="" textlink="">
      <xdr:nvSpPr>
        <xdr:cNvPr id="39"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53</xdr:row>
      <xdr:rowOff>47625</xdr:rowOff>
    </xdr:from>
    <xdr:ext cx="76200" cy="219075"/>
    <xdr:sp macro="" textlink="">
      <xdr:nvSpPr>
        <xdr:cNvPr id="40"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53</xdr:row>
      <xdr:rowOff>47625</xdr:rowOff>
    </xdr:from>
    <xdr:ext cx="76200" cy="219075"/>
    <xdr:sp macro="" textlink="">
      <xdr:nvSpPr>
        <xdr:cNvPr id="41"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54</xdr:row>
      <xdr:rowOff>47625</xdr:rowOff>
    </xdr:from>
    <xdr:ext cx="76200" cy="219075"/>
    <xdr:sp macro="" textlink="">
      <xdr:nvSpPr>
        <xdr:cNvPr id="42"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55</xdr:row>
      <xdr:rowOff>47625</xdr:rowOff>
    </xdr:from>
    <xdr:ext cx="76200" cy="219075"/>
    <xdr:sp macro="" textlink="">
      <xdr:nvSpPr>
        <xdr:cNvPr id="44"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55</xdr:row>
      <xdr:rowOff>47625</xdr:rowOff>
    </xdr:from>
    <xdr:ext cx="76200" cy="219075"/>
    <xdr:sp macro="" textlink="">
      <xdr:nvSpPr>
        <xdr:cNvPr id="45"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56</xdr:row>
      <xdr:rowOff>47625</xdr:rowOff>
    </xdr:from>
    <xdr:ext cx="76200" cy="219075"/>
    <xdr:sp macro="" textlink="">
      <xdr:nvSpPr>
        <xdr:cNvPr id="46"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56</xdr:row>
      <xdr:rowOff>47625</xdr:rowOff>
    </xdr:from>
    <xdr:ext cx="76200" cy="219075"/>
    <xdr:sp macro="" textlink="">
      <xdr:nvSpPr>
        <xdr:cNvPr id="47"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57</xdr:row>
      <xdr:rowOff>47625</xdr:rowOff>
    </xdr:from>
    <xdr:ext cx="76200" cy="219075"/>
    <xdr:sp macro="" textlink="">
      <xdr:nvSpPr>
        <xdr:cNvPr id="48" name="Text Box 3"/>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57</xdr:row>
      <xdr:rowOff>47625</xdr:rowOff>
    </xdr:from>
    <xdr:ext cx="76200" cy="219075"/>
    <xdr:sp macro="" textlink="">
      <xdr:nvSpPr>
        <xdr:cNvPr id="49" name="Text Box 4"/>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4</xdr:col>
      <xdr:colOff>600075</xdr:colOff>
      <xdr:row>11</xdr:row>
      <xdr:rowOff>123825</xdr:rowOff>
    </xdr:from>
    <xdr:ext cx="76200" cy="219075"/>
    <xdr:sp macro="" textlink="">
      <xdr:nvSpPr>
        <xdr:cNvPr id="50"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12</xdr:row>
      <xdr:rowOff>123825</xdr:rowOff>
    </xdr:from>
    <xdr:ext cx="76200" cy="219075"/>
    <xdr:sp macro="" textlink="">
      <xdr:nvSpPr>
        <xdr:cNvPr id="51"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13</xdr:row>
      <xdr:rowOff>123825</xdr:rowOff>
    </xdr:from>
    <xdr:ext cx="76200" cy="219075"/>
    <xdr:sp macro="" textlink="">
      <xdr:nvSpPr>
        <xdr:cNvPr id="52"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14</xdr:row>
      <xdr:rowOff>123825</xdr:rowOff>
    </xdr:from>
    <xdr:ext cx="76200" cy="219075"/>
    <xdr:sp macro="" textlink="">
      <xdr:nvSpPr>
        <xdr:cNvPr id="53"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15</xdr:row>
      <xdr:rowOff>123825</xdr:rowOff>
    </xdr:from>
    <xdr:ext cx="76200" cy="219075"/>
    <xdr:sp macro="" textlink="">
      <xdr:nvSpPr>
        <xdr:cNvPr id="54"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16</xdr:row>
      <xdr:rowOff>123825</xdr:rowOff>
    </xdr:from>
    <xdr:ext cx="76200" cy="219075"/>
    <xdr:sp macro="" textlink="">
      <xdr:nvSpPr>
        <xdr:cNvPr id="55"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20</xdr:row>
      <xdr:rowOff>123825</xdr:rowOff>
    </xdr:from>
    <xdr:ext cx="76200" cy="219075"/>
    <xdr:sp macro="" textlink="">
      <xdr:nvSpPr>
        <xdr:cNvPr id="56"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21</xdr:row>
      <xdr:rowOff>123825</xdr:rowOff>
    </xdr:from>
    <xdr:ext cx="76200" cy="219075"/>
    <xdr:sp macro="" textlink="">
      <xdr:nvSpPr>
        <xdr:cNvPr id="57"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22</xdr:row>
      <xdr:rowOff>123825</xdr:rowOff>
    </xdr:from>
    <xdr:ext cx="76200" cy="219075"/>
    <xdr:sp macro="" textlink="">
      <xdr:nvSpPr>
        <xdr:cNvPr id="58"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24</xdr:row>
      <xdr:rowOff>123825</xdr:rowOff>
    </xdr:from>
    <xdr:ext cx="76200" cy="219075"/>
    <xdr:sp macro="" textlink="">
      <xdr:nvSpPr>
        <xdr:cNvPr id="59" name="Text Box 1"/>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0</xdr:col>
      <xdr:colOff>676275</xdr:colOff>
      <xdr:row>35</xdr:row>
      <xdr:rowOff>47625</xdr:rowOff>
    </xdr:from>
    <xdr:ext cx="76200" cy="219075"/>
    <xdr:sp macro="" textlink="">
      <xdr:nvSpPr>
        <xdr:cNvPr id="60" name="Text Box 3"/>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35</xdr:row>
      <xdr:rowOff>47625</xdr:rowOff>
    </xdr:from>
    <xdr:ext cx="76200" cy="219075"/>
    <xdr:sp macro="" textlink="">
      <xdr:nvSpPr>
        <xdr:cNvPr id="61" name="Text Box 4"/>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36</xdr:row>
      <xdr:rowOff>47625</xdr:rowOff>
    </xdr:from>
    <xdr:ext cx="76200" cy="219075"/>
    <xdr:sp macro="" textlink="">
      <xdr:nvSpPr>
        <xdr:cNvPr id="62" name="Text Box 3"/>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36</xdr:row>
      <xdr:rowOff>47625</xdr:rowOff>
    </xdr:from>
    <xdr:ext cx="76200" cy="219075"/>
    <xdr:sp macro="" textlink="">
      <xdr:nvSpPr>
        <xdr:cNvPr id="63" name="Text Box 4"/>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37</xdr:row>
      <xdr:rowOff>47625</xdr:rowOff>
    </xdr:from>
    <xdr:ext cx="76200" cy="219075"/>
    <xdr:sp macro="" textlink="">
      <xdr:nvSpPr>
        <xdr:cNvPr id="64" name="Text Box 3"/>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37</xdr:row>
      <xdr:rowOff>47625</xdr:rowOff>
    </xdr:from>
    <xdr:ext cx="76200" cy="219075"/>
    <xdr:sp macro="" textlink="">
      <xdr:nvSpPr>
        <xdr:cNvPr id="65" name="Text Box 4"/>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4</xdr:col>
      <xdr:colOff>600075</xdr:colOff>
      <xdr:row>16</xdr:row>
      <xdr:rowOff>123825</xdr:rowOff>
    </xdr:from>
    <xdr:ext cx="76200" cy="219075"/>
    <xdr:sp macro="" textlink="">
      <xdr:nvSpPr>
        <xdr:cNvPr id="66" name="Text Box 1"/>
        <xdr:cNvSpPr txBox="1">
          <a:spLocks noChangeArrowheads="1"/>
        </xdr:cNvSpPr>
      </xdr:nvSpPr>
      <xdr:spPr bwMode="auto">
        <a:xfrm>
          <a:off x="4562475" y="2857500"/>
          <a:ext cx="76200" cy="219075"/>
        </a:xfrm>
        <a:prstGeom prst="rect">
          <a:avLst/>
        </a:prstGeom>
        <a:noFill/>
        <a:ln w="9525">
          <a:noFill/>
          <a:miter lim="800000"/>
          <a:headEnd/>
          <a:tailEnd/>
        </a:ln>
      </xdr:spPr>
    </xdr:sp>
    <xdr:clientData/>
  </xdr:oneCellAnchor>
  <xdr:oneCellAnchor>
    <xdr:from>
      <xdr:col>4</xdr:col>
      <xdr:colOff>600075</xdr:colOff>
      <xdr:row>17</xdr:row>
      <xdr:rowOff>123825</xdr:rowOff>
    </xdr:from>
    <xdr:ext cx="76200" cy="219075"/>
    <xdr:sp macro="" textlink="">
      <xdr:nvSpPr>
        <xdr:cNvPr id="67" name="Text Box 1"/>
        <xdr:cNvSpPr txBox="1">
          <a:spLocks noChangeArrowheads="1"/>
        </xdr:cNvSpPr>
      </xdr:nvSpPr>
      <xdr:spPr bwMode="auto">
        <a:xfrm>
          <a:off x="4562475" y="3028950"/>
          <a:ext cx="76200" cy="219075"/>
        </a:xfrm>
        <a:prstGeom prst="rect">
          <a:avLst/>
        </a:prstGeom>
        <a:noFill/>
        <a:ln w="9525">
          <a:noFill/>
          <a:miter lim="800000"/>
          <a:headEnd/>
          <a:tailEnd/>
        </a:ln>
      </xdr:spPr>
    </xdr:sp>
    <xdr:clientData/>
  </xdr:oneCellAnchor>
  <xdr:oneCellAnchor>
    <xdr:from>
      <xdr:col>4</xdr:col>
      <xdr:colOff>600075</xdr:colOff>
      <xdr:row>17</xdr:row>
      <xdr:rowOff>123825</xdr:rowOff>
    </xdr:from>
    <xdr:ext cx="76200" cy="219075"/>
    <xdr:sp macro="" textlink="">
      <xdr:nvSpPr>
        <xdr:cNvPr id="68" name="Text Box 1"/>
        <xdr:cNvSpPr txBox="1">
          <a:spLocks noChangeArrowheads="1"/>
        </xdr:cNvSpPr>
      </xdr:nvSpPr>
      <xdr:spPr bwMode="auto">
        <a:xfrm>
          <a:off x="4562475" y="2857500"/>
          <a:ext cx="76200" cy="219075"/>
        </a:xfrm>
        <a:prstGeom prst="rect">
          <a:avLst/>
        </a:prstGeom>
        <a:noFill/>
        <a:ln w="9525">
          <a:noFill/>
          <a:miter lim="800000"/>
          <a:headEnd/>
          <a:tailEnd/>
        </a:ln>
      </xdr:spPr>
    </xdr:sp>
    <xdr:clientData/>
  </xdr:oneCellAnchor>
  <xdr:oneCellAnchor>
    <xdr:from>
      <xdr:col>4</xdr:col>
      <xdr:colOff>600075</xdr:colOff>
      <xdr:row>18</xdr:row>
      <xdr:rowOff>123825</xdr:rowOff>
    </xdr:from>
    <xdr:ext cx="76200" cy="219075"/>
    <xdr:sp macro="" textlink="">
      <xdr:nvSpPr>
        <xdr:cNvPr id="69" name="Text Box 1"/>
        <xdr:cNvSpPr txBox="1">
          <a:spLocks noChangeArrowheads="1"/>
        </xdr:cNvSpPr>
      </xdr:nvSpPr>
      <xdr:spPr bwMode="auto">
        <a:xfrm>
          <a:off x="4562475" y="3028950"/>
          <a:ext cx="76200" cy="219075"/>
        </a:xfrm>
        <a:prstGeom prst="rect">
          <a:avLst/>
        </a:prstGeom>
        <a:noFill/>
        <a:ln w="9525">
          <a:noFill/>
          <a:miter lim="800000"/>
          <a:headEnd/>
          <a:tailEnd/>
        </a:ln>
      </xdr:spPr>
    </xdr:sp>
    <xdr:clientData/>
  </xdr:oneCellAnchor>
  <xdr:oneCellAnchor>
    <xdr:from>
      <xdr:col>4</xdr:col>
      <xdr:colOff>600075</xdr:colOff>
      <xdr:row>18</xdr:row>
      <xdr:rowOff>123825</xdr:rowOff>
    </xdr:from>
    <xdr:ext cx="76200" cy="219075"/>
    <xdr:sp macro="" textlink="">
      <xdr:nvSpPr>
        <xdr:cNvPr id="70" name="Text Box 1"/>
        <xdr:cNvSpPr txBox="1">
          <a:spLocks noChangeArrowheads="1"/>
        </xdr:cNvSpPr>
      </xdr:nvSpPr>
      <xdr:spPr bwMode="auto">
        <a:xfrm>
          <a:off x="4562475" y="3028950"/>
          <a:ext cx="76200" cy="219075"/>
        </a:xfrm>
        <a:prstGeom prst="rect">
          <a:avLst/>
        </a:prstGeom>
        <a:noFill/>
        <a:ln w="9525">
          <a:noFill/>
          <a:miter lim="800000"/>
          <a:headEnd/>
          <a:tailEnd/>
        </a:ln>
      </xdr:spPr>
    </xdr:sp>
    <xdr:clientData/>
  </xdr:oneCellAnchor>
  <xdr:oneCellAnchor>
    <xdr:from>
      <xdr:col>4</xdr:col>
      <xdr:colOff>600075</xdr:colOff>
      <xdr:row>18</xdr:row>
      <xdr:rowOff>123825</xdr:rowOff>
    </xdr:from>
    <xdr:ext cx="76200" cy="219075"/>
    <xdr:sp macro="" textlink="">
      <xdr:nvSpPr>
        <xdr:cNvPr id="71" name="Text Box 1"/>
        <xdr:cNvSpPr txBox="1">
          <a:spLocks noChangeArrowheads="1"/>
        </xdr:cNvSpPr>
      </xdr:nvSpPr>
      <xdr:spPr bwMode="auto">
        <a:xfrm>
          <a:off x="4562475" y="2857500"/>
          <a:ext cx="76200" cy="219075"/>
        </a:xfrm>
        <a:prstGeom prst="rect">
          <a:avLst/>
        </a:prstGeom>
        <a:noFill/>
        <a:ln w="9525">
          <a:noFill/>
          <a:miter lim="800000"/>
          <a:headEnd/>
          <a:tailEnd/>
        </a:ln>
      </xdr:spPr>
    </xdr:sp>
    <xdr:clientData/>
  </xdr:oneCellAnchor>
  <xdr:oneCellAnchor>
    <xdr:from>
      <xdr:col>4</xdr:col>
      <xdr:colOff>600075</xdr:colOff>
      <xdr:row>19</xdr:row>
      <xdr:rowOff>123825</xdr:rowOff>
    </xdr:from>
    <xdr:ext cx="76200" cy="219075"/>
    <xdr:sp macro="" textlink="">
      <xdr:nvSpPr>
        <xdr:cNvPr id="72" name="Text Box 1"/>
        <xdr:cNvSpPr txBox="1">
          <a:spLocks noChangeArrowheads="1"/>
        </xdr:cNvSpPr>
      </xdr:nvSpPr>
      <xdr:spPr bwMode="auto">
        <a:xfrm>
          <a:off x="4562475" y="3028950"/>
          <a:ext cx="76200" cy="219075"/>
        </a:xfrm>
        <a:prstGeom prst="rect">
          <a:avLst/>
        </a:prstGeom>
        <a:noFill/>
        <a:ln w="9525">
          <a:noFill/>
          <a:miter lim="800000"/>
          <a:headEnd/>
          <a:tailEnd/>
        </a:ln>
      </xdr:spPr>
    </xdr:sp>
    <xdr:clientData/>
  </xdr:oneCellAnchor>
  <xdr:oneCellAnchor>
    <xdr:from>
      <xdr:col>4</xdr:col>
      <xdr:colOff>600075</xdr:colOff>
      <xdr:row>19</xdr:row>
      <xdr:rowOff>123825</xdr:rowOff>
    </xdr:from>
    <xdr:ext cx="76200" cy="219075"/>
    <xdr:sp macro="" textlink="">
      <xdr:nvSpPr>
        <xdr:cNvPr id="73" name="Text Box 1"/>
        <xdr:cNvSpPr txBox="1">
          <a:spLocks noChangeArrowheads="1"/>
        </xdr:cNvSpPr>
      </xdr:nvSpPr>
      <xdr:spPr bwMode="auto">
        <a:xfrm>
          <a:off x="4562475" y="3028950"/>
          <a:ext cx="76200" cy="219075"/>
        </a:xfrm>
        <a:prstGeom prst="rect">
          <a:avLst/>
        </a:prstGeom>
        <a:noFill/>
        <a:ln w="9525">
          <a:noFill/>
          <a:miter lim="800000"/>
          <a:headEnd/>
          <a:tailEnd/>
        </a:ln>
      </xdr:spPr>
    </xdr:sp>
    <xdr:clientData/>
  </xdr:oneCellAnchor>
  <xdr:oneCellAnchor>
    <xdr:from>
      <xdr:col>4</xdr:col>
      <xdr:colOff>600075</xdr:colOff>
      <xdr:row>19</xdr:row>
      <xdr:rowOff>123825</xdr:rowOff>
    </xdr:from>
    <xdr:ext cx="76200" cy="219075"/>
    <xdr:sp macro="" textlink="">
      <xdr:nvSpPr>
        <xdr:cNvPr id="74" name="Text Box 1"/>
        <xdr:cNvSpPr txBox="1">
          <a:spLocks noChangeArrowheads="1"/>
        </xdr:cNvSpPr>
      </xdr:nvSpPr>
      <xdr:spPr bwMode="auto">
        <a:xfrm>
          <a:off x="4562475" y="2857500"/>
          <a:ext cx="76200" cy="219075"/>
        </a:xfrm>
        <a:prstGeom prst="rect">
          <a:avLst/>
        </a:prstGeom>
        <a:noFill/>
        <a:ln w="9525">
          <a:noFill/>
          <a:miter lim="800000"/>
          <a:headEnd/>
          <a:tailEnd/>
        </a:ln>
      </xdr:spPr>
    </xdr:sp>
    <xdr:clientData/>
  </xdr:oneCellAnchor>
  <xdr:oneCellAnchor>
    <xdr:from>
      <xdr:col>4</xdr:col>
      <xdr:colOff>600075</xdr:colOff>
      <xdr:row>20</xdr:row>
      <xdr:rowOff>123825</xdr:rowOff>
    </xdr:from>
    <xdr:ext cx="76200" cy="219075"/>
    <xdr:sp macro="" textlink="">
      <xdr:nvSpPr>
        <xdr:cNvPr id="75" name="Text Box 1"/>
        <xdr:cNvSpPr txBox="1">
          <a:spLocks noChangeArrowheads="1"/>
        </xdr:cNvSpPr>
      </xdr:nvSpPr>
      <xdr:spPr bwMode="auto">
        <a:xfrm>
          <a:off x="4562475" y="3028950"/>
          <a:ext cx="76200" cy="219075"/>
        </a:xfrm>
        <a:prstGeom prst="rect">
          <a:avLst/>
        </a:prstGeom>
        <a:noFill/>
        <a:ln w="9525">
          <a:noFill/>
          <a:miter lim="800000"/>
          <a:headEnd/>
          <a:tailEnd/>
        </a:ln>
      </xdr:spPr>
    </xdr:sp>
    <xdr:clientData/>
  </xdr:oneCellAnchor>
  <xdr:oneCellAnchor>
    <xdr:from>
      <xdr:col>4</xdr:col>
      <xdr:colOff>600075</xdr:colOff>
      <xdr:row>20</xdr:row>
      <xdr:rowOff>123825</xdr:rowOff>
    </xdr:from>
    <xdr:ext cx="76200" cy="219075"/>
    <xdr:sp macro="" textlink="">
      <xdr:nvSpPr>
        <xdr:cNvPr id="76" name="Text Box 1"/>
        <xdr:cNvSpPr txBox="1">
          <a:spLocks noChangeArrowheads="1"/>
        </xdr:cNvSpPr>
      </xdr:nvSpPr>
      <xdr:spPr bwMode="auto">
        <a:xfrm>
          <a:off x="4562475" y="3028950"/>
          <a:ext cx="76200" cy="219075"/>
        </a:xfrm>
        <a:prstGeom prst="rect">
          <a:avLst/>
        </a:prstGeom>
        <a:noFill/>
        <a:ln w="9525">
          <a:noFill/>
          <a:miter lim="800000"/>
          <a:headEnd/>
          <a:tailEnd/>
        </a:ln>
      </xdr:spPr>
    </xdr:sp>
    <xdr:clientData/>
  </xdr:oneCellAnchor>
  <xdr:oneCellAnchor>
    <xdr:from>
      <xdr:col>4</xdr:col>
      <xdr:colOff>600075</xdr:colOff>
      <xdr:row>23</xdr:row>
      <xdr:rowOff>123825</xdr:rowOff>
    </xdr:from>
    <xdr:ext cx="76200" cy="219075"/>
    <xdr:sp macro="" textlink="">
      <xdr:nvSpPr>
        <xdr:cNvPr id="77" name="Text Box 1"/>
        <xdr:cNvSpPr txBox="1">
          <a:spLocks noChangeArrowheads="1"/>
        </xdr:cNvSpPr>
      </xdr:nvSpPr>
      <xdr:spPr bwMode="auto">
        <a:xfrm>
          <a:off x="4562475" y="4400550"/>
          <a:ext cx="76200" cy="219075"/>
        </a:xfrm>
        <a:prstGeom prst="rect">
          <a:avLst/>
        </a:prstGeom>
        <a:noFill/>
        <a:ln w="9525">
          <a:noFill/>
          <a:miter lim="800000"/>
          <a:headEnd/>
          <a:tailEnd/>
        </a:ln>
      </xdr:spPr>
    </xdr:sp>
    <xdr:clientData/>
  </xdr:oneCellAnchor>
  <xdr:oneCellAnchor>
    <xdr:from>
      <xdr:col>0</xdr:col>
      <xdr:colOff>676275</xdr:colOff>
      <xdr:row>33</xdr:row>
      <xdr:rowOff>47625</xdr:rowOff>
    </xdr:from>
    <xdr:ext cx="76200" cy="219075"/>
    <xdr:sp macro="" textlink="">
      <xdr:nvSpPr>
        <xdr:cNvPr id="78" name="Text Box 3"/>
        <xdr:cNvSpPr txBox="1">
          <a:spLocks noChangeArrowheads="1"/>
        </xdr:cNvSpPr>
      </xdr:nvSpPr>
      <xdr:spPr bwMode="auto">
        <a:xfrm>
          <a:off x="676275" y="6038850"/>
          <a:ext cx="76200" cy="219075"/>
        </a:xfrm>
        <a:prstGeom prst="rect">
          <a:avLst/>
        </a:prstGeom>
        <a:noFill/>
        <a:ln w="9525">
          <a:noFill/>
          <a:miter lim="800000"/>
          <a:headEnd/>
          <a:tailEnd/>
        </a:ln>
      </xdr:spPr>
    </xdr:sp>
    <xdr:clientData/>
  </xdr:oneCellAnchor>
  <xdr:oneCellAnchor>
    <xdr:from>
      <xdr:col>7</xdr:col>
      <xdr:colOff>114300</xdr:colOff>
      <xdr:row>33</xdr:row>
      <xdr:rowOff>57150</xdr:rowOff>
    </xdr:from>
    <xdr:ext cx="76200" cy="219075"/>
    <xdr:sp macro="" textlink="">
      <xdr:nvSpPr>
        <xdr:cNvPr id="79" name="Text Box 4"/>
        <xdr:cNvSpPr txBox="1">
          <a:spLocks noChangeArrowheads="1"/>
        </xdr:cNvSpPr>
      </xdr:nvSpPr>
      <xdr:spPr bwMode="auto">
        <a:xfrm>
          <a:off x="6124575" y="6048375"/>
          <a:ext cx="76200" cy="219075"/>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10</xdr:row>
      <xdr:rowOff>47625</xdr:rowOff>
    </xdr:from>
    <xdr:to>
      <xdr:col>0</xdr:col>
      <xdr:colOff>762000</xdr:colOff>
      <xdr:row>11</xdr:row>
      <xdr:rowOff>95250</xdr:rowOff>
    </xdr:to>
    <xdr:sp macro="" textlink="">
      <xdr:nvSpPr>
        <xdr:cNvPr id="50393" name="Text Box 1"/>
        <xdr:cNvSpPr txBox="1">
          <a:spLocks noChangeArrowheads="1"/>
        </xdr:cNvSpPr>
      </xdr:nvSpPr>
      <xdr:spPr bwMode="auto">
        <a:xfrm>
          <a:off x="685800" y="1581150"/>
          <a:ext cx="76200" cy="219075"/>
        </a:xfrm>
        <a:prstGeom prst="rect">
          <a:avLst/>
        </a:prstGeom>
        <a:noFill/>
        <a:ln w="9525">
          <a:noFill/>
          <a:miter lim="800000"/>
          <a:headEnd/>
          <a:tailEnd/>
        </a:ln>
      </xdr:spPr>
    </xdr:sp>
    <xdr:clientData/>
  </xdr:twoCellAnchor>
  <xdr:twoCellAnchor editAs="oneCell">
    <xdr:from>
      <xdr:col>0</xdr:col>
      <xdr:colOff>685800</xdr:colOff>
      <xdr:row>10</xdr:row>
      <xdr:rowOff>47625</xdr:rowOff>
    </xdr:from>
    <xdr:to>
      <xdr:col>0</xdr:col>
      <xdr:colOff>762000</xdr:colOff>
      <xdr:row>11</xdr:row>
      <xdr:rowOff>95250</xdr:rowOff>
    </xdr:to>
    <xdr:sp macro="" textlink="">
      <xdr:nvSpPr>
        <xdr:cNvPr id="50394" name="Text Box 2"/>
        <xdr:cNvSpPr txBox="1">
          <a:spLocks noChangeArrowheads="1"/>
        </xdr:cNvSpPr>
      </xdr:nvSpPr>
      <xdr:spPr bwMode="auto">
        <a:xfrm>
          <a:off x="685800" y="1581150"/>
          <a:ext cx="76200" cy="219075"/>
        </a:xfrm>
        <a:prstGeom prst="rect">
          <a:avLst/>
        </a:prstGeom>
        <a:noFill/>
        <a:ln w="9525">
          <a:noFill/>
          <a:miter lim="800000"/>
          <a:headEnd/>
          <a:tailEnd/>
        </a:ln>
      </xdr:spPr>
    </xdr:sp>
    <xdr:clientData/>
  </xdr:twoCellAnchor>
  <xdr:twoCellAnchor editAs="oneCell">
    <xdr:from>
      <xdr:col>0</xdr:col>
      <xdr:colOff>685800</xdr:colOff>
      <xdr:row>12</xdr:row>
      <xdr:rowOff>47625</xdr:rowOff>
    </xdr:from>
    <xdr:to>
      <xdr:col>0</xdr:col>
      <xdr:colOff>762000</xdr:colOff>
      <xdr:row>13</xdr:row>
      <xdr:rowOff>95250</xdr:rowOff>
    </xdr:to>
    <xdr:sp macro="" textlink="">
      <xdr:nvSpPr>
        <xdr:cNvPr id="50395" name="Text Box 1"/>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twoCellAnchor editAs="oneCell">
    <xdr:from>
      <xdr:col>0</xdr:col>
      <xdr:colOff>685800</xdr:colOff>
      <xdr:row>12</xdr:row>
      <xdr:rowOff>47625</xdr:rowOff>
    </xdr:from>
    <xdr:to>
      <xdr:col>0</xdr:col>
      <xdr:colOff>762000</xdr:colOff>
      <xdr:row>13</xdr:row>
      <xdr:rowOff>95250</xdr:rowOff>
    </xdr:to>
    <xdr:sp macro="" textlink="">
      <xdr:nvSpPr>
        <xdr:cNvPr id="50396" name="Text Box 2"/>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676275</xdr:colOff>
      <xdr:row>10</xdr:row>
      <xdr:rowOff>47625</xdr:rowOff>
    </xdr:from>
    <xdr:to>
      <xdr:col>0</xdr:col>
      <xdr:colOff>752475</xdr:colOff>
      <xdr:row>11</xdr:row>
      <xdr:rowOff>95250</xdr:rowOff>
    </xdr:to>
    <xdr:sp macro="" textlink="">
      <xdr:nvSpPr>
        <xdr:cNvPr id="56535"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twoCellAnchor>
  <xdr:twoCellAnchor editAs="oneCell">
    <xdr:from>
      <xdr:col>0</xdr:col>
      <xdr:colOff>676275</xdr:colOff>
      <xdr:row>10</xdr:row>
      <xdr:rowOff>47625</xdr:rowOff>
    </xdr:from>
    <xdr:to>
      <xdr:col>0</xdr:col>
      <xdr:colOff>752475</xdr:colOff>
      <xdr:row>11</xdr:row>
      <xdr:rowOff>95250</xdr:rowOff>
    </xdr:to>
    <xdr:sp macro="" textlink="">
      <xdr:nvSpPr>
        <xdr:cNvPr id="56536"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twoCellAnchor>
  <xdr:twoCellAnchor editAs="oneCell">
    <xdr:from>
      <xdr:col>0</xdr:col>
      <xdr:colOff>676275</xdr:colOff>
      <xdr:row>12</xdr:row>
      <xdr:rowOff>47625</xdr:rowOff>
    </xdr:from>
    <xdr:to>
      <xdr:col>0</xdr:col>
      <xdr:colOff>752475</xdr:colOff>
      <xdr:row>13</xdr:row>
      <xdr:rowOff>95250</xdr:rowOff>
    </xdr:to>
    <xdr:sp macro="" textlink="">
      <xdr:nvSpPr>
        <xdr:cNvPr id="56537" name="Text Box 1"/>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twoCellAnchor editAs="oneCell">
    <xdr:from>
      <xdr:col>0</xdr:col>
      <xdr:colOff>676275</xdr:colOff>
      <xdr:row>12</xdr:row>
      <xdr:rowOff>47625</xdr:rowOff>
    </xdr:from>
    <xdr:to>
      <xdr:col>0</xdr:col>
      <xdr:colOff>752475</xdr:colOff>
      <xdr:row>13</xdr:row>
      <xdr:rowOff>95250</xdr:rowOff>
    </xdr:to>
    <xdr:sp macro="" textlink="">
      <xdr:nvSpPr>
        <xdr:cNvPr id="56538" name="Text Box 2"/>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oneCellAnchor>
    <xdr:from>
      <xdr:col>0</xdr:col>
      <xdr:colOff>676275</xdr:colOff>
      <xdr:row>11</xdr:row>
      <xdr:rowOff>47625</xdr:rowOff>
    </xdr:from>
    <xdr:ext cx="76200" cy="219075"/>
    <xdr:sp macro="" textlink="">
      <xdr:nvSpPr>
        <xdr:cNvPr id="6"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11</xdr:row>
      <xdr:rowOff>47625</xdr:rowOff>
    </xdr:from>
    <xdr:ext cx="76200" cy="219075"/>
    <xdr:sp macro="" textlink="">
      <xdr:nvSpPr>
        <xdr:cNvPr id="7"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12</xdr:row>
      <xdr:rowOff>47625</xdr:rowOff>
    </xdr:from>
    <xdr:ext cx="76200" cy="219075"/>
    <xdr:sp macro="" textlink="">
      <xdr:nvSpPr>
        <xdr:cNvPr id="8"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12</xdr:row>
      <xdr:rowOff>47625</xdr:rowOff>
    </xdr:from>
    <xdr:ext cx="76200" cy="219075"/>
    <xdr:sp macro="" textlink="">
      <xdr:nvSpPr>
        <xdr:cNvPr id="9"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13</xdr:row>
      <xdr:rowOff>47625</xdr:rowOff>
    </xdr:from>
    <xdr:ext cx="76200" cy="219075"/>
    <xdr:sp macro="" textlink="">
      <xdr:nvSpPr>
        <xdr:cNvPr id="10"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13</xdr:row>
      <xdr:rowOff>47625</xdr:rowOff>
    </xdr:from>
    <xdr:ext cx="76200" cy="219075"/>
    <xdr:sp macro="" textlink="">
      <xdr:nvSpPr>
        <xdr:cNvPr id="11"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14</xdr:row>
      <xdr:rowOff>47625</xdr:rowOff>
    </xdr:from>
    <xdr:ext cx="76200" cy="219075"/>
    <xdr:sp macro="" textlink="">
      <xdr:nvSpPr>
        <xdr:cNvPr id="12"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14</xdr:row>
      <xdr:rowOff>47625</xdr:rowOff>
    </xdr:from>
    <xdr:ext cx="76200" cy="219075"/>
    <xdr:sp macro="" textlink="">
      <xdr:nvSpPr>
        <xdr:cNvPr id="13"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15</xdr:row>
      <xdr:rowOff>47625</xdr:rowOff>
    </xdr:from>
    <xdr:ext cx="76200" cy="219075"/>
    <xdr:sp macro="" textlink="">
      <xdr:nvSpPr>
        <xdr:cNvPr id="14"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15</xdr:row>
      <xdr:rowOff>47625</xdr:rowOff>
    </xdr:from>
    <xdr:ext cx="76200" cy="219075"/>
    <xdr:sp macro="" textlink="">
      <xdr:nvSpPr>
        <xdr:cNvPr id="15"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16</xdr:row>
      <xdr:rowOff>47625</xdr:rowOff>
    </xdr:from>
    <xdr:ext cx="76200" cy="219075"/>
    <xdr:sp macro="" textlink="">
      <xdr:nvSpPr>
        <xdr:cNvPr id="16"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6</xdr:col>
      <xdr:colOff>28575</xdr:colOff>
      <xdr:row>16</xdr:row>
      <xdr:rowOff>95250</xdr:rowOff>
    </xdr:from>
    <xdr:ext cx="76200" cy="219075"/>
    <xdr:sp macro="" textlink="">
      <xdr:nvSpPr>
        <xdr:cNvPr id="17" name="Text Box 2"/>
        <xdr:cNvSpPr txBox="1">
          <a:spLocks noChangeArrowheads="1"/>
        </xdr:cNvSpPr>
      </xdr:nvSpPr>
      <xdr:spPr bwMode="auto">
        <a:xfrm>
          <a:off x="5381625" y="3000375"/>
          <a:ext cx="76200" cy="219075"/>
        </a:xfrm>
        <a:prstGeom prst="rect">
          <a:avLst/>
        </a:prstGeom>
        <a:noFill/>
        <a:ln w="9525">
          <a:noFill/>
          <a:miter lim="800000"/>
          <a:headEnd/>
          <a:tailEnd/>
        </a:ln>
      </xdr:spPr>
    </xdr:sp>
    <xdr:clientData/>
  </xdr:oneCellAnchor>
  <xdr:oneCellAnchor>
    <xdr:from>
      <xdr:col>0</xdr:col>
      <xdr:colOff>676275</xdr:colOff>
      <xdr:row>20</xdr:row>
      <xdr:rowOff>47625</xdr:rowOff>
    </xdr:from>
    <xdr:ext cx="76200" cy="219075"/>
    <xdr:sp macro="" textlink="">
      <xdr:nvSpPr>
        <xdr:cNvPr id="18"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20</xdr:row>
      <xdr:rowOff>47625</xdr:rowOff>
    </xdr:from>
    <xdr:ext cx="76200" cy="219075"/>
    <xdr:sp macro="" textlink="">
      <xdr:nvSpPr>
        <xdr:cNvPr id="19"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21</xdr:row>
      <xdr:rowOff>47625</xdr:rowOff>
    </xdr:from>
    <xdr:ext cx="76200" cy="219075"/>
    <xdr:sp macro="" textlink="">
      <xdr:nvSpPr>
        <xdr:cNvPr id="20"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21</xdr:row>
      <xdr:rowOff>47625</xdr:rowOff>
    </xdr:from>
    <xdr:ext cx="76200" cy="219075"/>
    <xdr:sp macro="" textlink="">
      <xdr:nvSpPr>
        <xdr:cNvPr id="21"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22</xdr:row>
      <xdr:rowOff>47625</xdr:rowOff>
    </xdr:from>
    <xdr:ext cx="76200" cy="219075"/>
    <xdr:sp macro="" textlink="">
      <xdr:nvSpPr>
        <xdr:cNvPr id="22"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22</xdr:row>
      <xdr:rowOff>47625</xdr:rowOff>
    </xdr:from>
    <xdr:ext cx="76200" cy="219075"/>
    <xdr:sp macro="" textlink="">
      <xdr:nvSpPr>
        <xdr:cNvPr id="23" name="Text Box 2"/>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24</xdr:row>
      <xdr:rowOff>47625</xdr:rowOff>
    </xdr:from>
    <xdr:ext cx="76200" cy="219075"/>
    <xdr:sp macro="" textlink="">
      <xdr:nvSpPr>
        <xdr:cNvPr id="24" name="Text Box 1"/>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5</xdr:col>
      <xdr:colOff>409575</xdr:colOff>
      <xdr:row>23</xdr:row>
      <xdr:rowOff>114300</xdr:rowOff>
    </xdr:from>
    <xdr:ext cx="76200" cy="219075"/>
    <xdr:sp macro="" textlink="">
      <xdr:nvSpPr>
        <xdr:cNvPr id="25" name="Text Box 2"/>
        <xdr:cNvSpPr txBox="1">
          <a:spLocks noChangeArrowheads="1"/>
        </xdr:cNvSpPr>
      </xdr:nvSpPr>
      <xdr:spPr bwMode="auto">
        <a:xfrm>
          <a:off x="5191125" y="4219575"/>
          <a:ext cx="76200" cy="219075"/>
        </a:xfrm>
        <a:prstGeom prst="rect">
          <a:avLst/>
        </a:prstGeom>
        <a:noFill/>
        <a:ln w="9525">
          <a:noFill/>
          <a:miter lim="800000"/>
          <a:headEnd/>
          <a:tailEnd/>
        </a:ln>
      </xdr:spPr>
    </xdr:sp>
    <xdr:clientData/>
  </xdr:oneCellAnchor>
  <xdr:oneCellAnchor>
    <xdr:from>
      <xdr:col>0</xdr:col>
      <xdr:colOff>676275</xdr:colOff>
      <xdr:row>16</xdr:row>
      <xdr:rowOff>47625</xdr:rowOff>
    </xdr:from>
    <xdr:ext cx="76200" cy="219075"/>
    <xdr:sp macro="" textlink="">
      <xdr:nvSpPr>
        <xdr:cNvPr id="26" name="Text Box 1"/>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16</xdr:row>
      <xdr:rowOff>47625</xdr:rowOff>
    </xdr:from>
    <xdr:ext cx="76200" cy="219075"/>
    <xdr:sp macro="" textlink="">
      <xdr:nvSpPr>
        <xdr:cNvPr id="27" name="Text Box 2"/>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17</xdr:row>
      <xdr:rowOff>47625</xdr:rowOff>
    </xdr:from>
    <xdr:ext cx="76200" cy="219075"/>
    <xdr:sp macro="" textlink="">
      <xdr:nvSpPr>
        <xdr:cNvPr id="28" name="Text Box 1"/>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6</xdr:col>
      <xdr:colOff>28575</xdr:colOff>
      <xdr:row>17</xdr:row>
      <xdr:rowOff>95250</xdr:rowOff>
    </xdr:from>
    <xdr:ext cx="76200" cy="219075"/>
    <xdr:sp macro="" textlink="">
      <xdr:nvSpPr>
        <xdr:cNvPr id="29" name="Text Box 2"/>
        <xdr:cNvSpPr txBox="1">
          <a:spLocks noChangeArrowheads="1"/>
        </xdr:cNvSpPr>
      </xdr:nvSpPr>
      <xdr:spPr bwMode="auto">
        <a:xfrm>
          <a:off x="5381625" y="3000375"/>
          <a:ext cx="76200" cy="219075"/>
        </a:xfrm>
        <a:prstGeom prst="rect">
          <a:avLst/>
        </a:prstGeom>
        <a:noFill/>
        <a:ln w="9525">
          <a:noFill/>
          <a:miter lim="800000"/>
          <a:headEnd/>
          <a:tailEnd/>
        </a:ln>
      </xdr:spPr>
    </xdr:sp>
    <xdr:clientData/>
  </xdr:oneCellAnchor>
  <xdr:oneCellAnchor>
    <xdr:from>
      <xdr:col>0</xdr:col>
      <xdr:colOff>676275</xdr:colOff>
      <xdr:row>17</xdr:row>
      <xdr:rowOff>47625</xdr:rowOff>
    </xdr:from>
    <xdr:ext cx="76200" cy="219075"/>
    <xdr:sp macro="" textlink="">
      <xdr:nvSpPr>
        <xdr:cNvPr id="30" name="Text Box 1"/>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17</xdr:row>
      <xdr:rowOff>47625</xdr:rowOff>
    </xdr:from>
    <xdr:ext cx="76200" cy="219075"/>
    <xdr:sp macro="" textlink="">
      <xdr:nvSpPr>
        <xdr:cNvPr id="31" name="Text Box 2"/>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18</xdr:row>
      <xdr:rowOff>47625</xdr:rowOff>
    </xdr:from>
    <xdr:ext cx="76200" cy="219075"/>
    <xdr:sp macro="" textlink="">
      <xdr:nvSpPr>
        <xdr:cNvPr id="32" name="Text Box 1"/>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6</xdr:col>
      <xdr:colOff>28575</xdr:colOff>
      <xdr:row>18</xdr:row>
      <xdr:rowOff>95250</xdr:rowOff>
    </xdr:from>
    <xdr:ext cx="76200" cy="219075"/>
    <xdr:sp macro="" textlink="">
      <xdr:nvSpPr>
        <xdr:cNvPr id="33" name="Text Box 2"/>
        <xdr:cNvSpPr txBox="1">
          <a:spLocks noChangeArrowheads="1"/>
        </xdr:cNvSpPr>
      </xdr:nvSpPr>
      <xdr:spPr bwMode="auto">
        <a:xfrm>
          <a:off x="5381625" y="3000375"/>
          <a:ext cx="76200" cy="219075"/>
        </a:xfrm>
        <a:prstGeom prst="rect">
          <a:avLst/>
        </a:prstGeom>
        <a:noFill/>
        <a:ln w="9525">
          <a:noFill/>
          <a:miter lim="800000"/>
          <a:headEnd/>
          <a:tailEnd/>
        </a:ln>
      </xdr:spPr>
    </xdr:sp>
    <xdr:clientData/>
  </xdr:oneCellAnchor>
  <xdr:oneCellAnchor>
    <xdr:from>
      <xdr:col>0</xdr:col>
      <xdr:colOff>676275</xdr:colOff>
      <xdr:row>18</xdr:row>
      <xdr:rowOff>47625</xdr:rowOff>
    </xdr:from>
    <xdr:ext cx="76200" cy="219075"/>
    <xdr:sp macro="" textlink="">
      <xdr:nvSpPr>
        <xdr:cNvPr id="34" name="Text Box 1"/>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0</xdr:col>
      <xdr:colOff>676275</xdr:colOff>
      <xdr:row>18</xdr:row>
      <xdr:rowOff>47625</xdr:rowOff>
    </xdr:from>
    <xdr:ext cx="76200" cy="219075"/>
    <xdr:sp macro="" textlink="">
      <xdr:nvSpPr>
        <xdr:cNvPr id="35" name="Text Box 2"/>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0</xdr:col>
      <xdr:colOff>676275</xdr:colOff>
      <xdr:row>18</xdr:row>
      <xdr:rowOff>47625</xdr:rowOff>
    </xdr:from>
    <xdr:ext cx="76200" cy="219075"/>
    <xdr:sp macro="" textlink="">
      <xdr:nvSpPr>
        <xdr:cNvPr id="36" name="Text Box 1"/>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18</xdr:row>
      <xdr:rowOff>47625</xdr:rowOff>
    </xdr:from>
    <xdr:ext cx="76200" cy="219075"/>
    <xdr:sp macro="" textlink="">
      <xdr:nvSpPr>
        <xdr:cNvPr id="37" name="Text Box 2"/>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19</xdr:row>
      <xdr:rowOff>47625</xdr:rowOff>
    </xdr:from>
    <xdr:ext cx="76200" cy="219075"/>
    <xdr:sp macro="" textlink="">
      <xdr:nvSpPr>
        <xdr:cNvPr id="38" name="Text Box 1"/>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6</xdr:col>
      <xdr:colOff>28575</xdr:colOff>
      <xdr:row>19</xdr:row>
      <xdr:rowOff>95250</xdr:rowOff>
    </xdr:from>
    <xdr:ext cx="76200" cy="219075"/>
    <xdr:sp macro="" textlink="">
      <xdr:nvSpPr>
        <xdr:cNvPr id="39" name="Text Box 2"/>
        <xdr:cNvSpPr txBox="1">
          <a:spLocks noChangeArrowheads="1"/>
        </xdr:cNvSpPr>
      </xdr:nvSpPr>
      <xdr:spPr bwMode="auto">
        <a:xfrm>
          <a:off x="5381625" y="3000375"/>
          <a:ext cx="76200" cy="219075"/>
        </a:xfrm>
        <a:prstGeom prst="rect">
          <a:avLst/>
        </a:prstGeom>
        <a:noFill/>
        <a:ln w="9525">
          <a:noFill/>
          <a:miter lim="800000"/>
          <a:headEnd/>
          <a:tailEnd/>
        </a:ln>
      </xdr:spPr>
    </xdr:sp>
    <xdr:clientData/>
  </xdr:oneCellAnchor>
  <xdr:oneCellAnchor>
    <xdr:from>
      <xdr:col>0</xdr:col>
      <xdr:colOff>676275</xdr:colOff>
      <xdr:row>19</xdr:row>
      <xdr:rowOff>47625</xdr:rowOff>
    </xdr:from>
    <xdr:ext cx="76200" cy="219075"/>
    <xdr:sp macro="" textlink="">
      <xdr:nvSpPr>
        <xdr:cNvPr id="40" name="Text Box 1"/>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0</xdr:col>
      <xdr:colOff>676275</xdr:colOff>
      <xdr:row>19</xdr:row>
      <xdr:rowOff>47625</xdr:rowOff>
    </xdr:from>
    <xdr:ext cx="76200" cy="219075"/>
    <xdr:sp macro="" textlink="">
      <xdr:nvSpPr>
        <xdr:cNvPr id="41" name="Text Box 2"/>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0</xdr:col>
      <xdr:colOff>676275</xdr:colOff>
      <xdr:row>19</xdr:row>
      <xdr:rowOff>47625</xdr:rowOff>
    </xdr:from>
    <xdr:ext cx="76200" cy="219075"/>
    <xdr:sp macro="" textlink="">
      <xdr:nvSpPr>
        <xdr:cNvPr id="42" name="Text Box 1"/>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19</xdr:row>
      <xdr:rowOff>47625</xdr:rowOff>
    </xdr:from>
    <xdr:ext cx="76200" cy="219075"/>
    <xdr:sp macro="" textlink="">
      <xdr:nvSpPr>
        <xdr:cNvPr id="43" name="Text Box 2"/>
        <xdr:cNvSpPr txBox="1">
          <a:spLocks noChangeArrowheads="1"/>
        </xdr:cNvSpPr>
      </xdr:nvSpPr>
      <xdr:spPr bwMode="auto">
        <a:xfrm>
          <a:off x="676275" y="2781300"/>
          <a:ext cx="76200" cy="219075"/>
        </a:xfrm>
        <a:prstGeom prst="rect">
          <a:avLst/>
        </a:prstGeom>
        <a:noFill/>
        <a:ln w="9525">
          <a:noFill/>
          <a:miter lim="800000"/>
          <a:headEnd/>
          <a:tailEnd/>
        </a:ln>
      </xdr:spPr>
    </xdr:sp>
    <xdr:clientData/>
  </xdr:oneCellAnchor>
  <xdr:oneCellAnchor>
    <xdr:from>
      <xdr:col>0</xdr:col>
      <xdr:colOff>676275</xdr:colOff>
      <xdr:row>20</xdr:row>
      <xdr:rowOff>47625</xdr:rowOff>
    </xdr:from>
    <xdr:ext cx="76200" cy="219075"/>
    <xdr:sp macro="" textlink="">
      <xdr:nvSpPr>
        <xdr:cNvPr id="44" name="Text Box 1"/>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6</xdr:col>
      <xdr:colOff>28575</xdr:colOff>
      <xdr:row>20</xdr:row>
      <xdr:rowOff>95250</xdr:rowOff>
    </xdr:from>
    <xdr:ext cx="76200" cy="219075"/>
    <xdr:sp macro="" textlink="">
      <xdr:nvSpPr>
        <xdr:cNvPr id="45" name="Text Box 2"/>
        <xdr:cNvSpPr txBox="1">
          <a:spLocks noChangeArrowheads="1"/>
        </xdr:cNvSpPr>
      </xdr:nvSpPr>
      <xdr:spPr bwMode="auto">
        <a:xfrm>
          <a:off x="5381625" y="3000375"/>
          <a:ext cx="76200" cy="219075"/>
        </a:xfrm>
        <a:prstGeom prst="rect">
          <a:avLst/>
        </a:prstGeom>
        <a:noFill/>
        <a:ln w="9525">
          <a:noFill/>
          <a:miter lim="800000"/>
          <a:headEnd/>
          <a:tailEnd/>
        </a:ln>
      </xdr:spPr>
    </xdr:sp>
    <xdr:clientData/>
  </xdr:oneCellAnchor>
  <xdr:oneCellAnchor>
    <xdr:from>
      <xdr:col>0</xdr:col>
      <xdr:colOff>676275</xdr:colOff>
      <xdr:row>20</xdr:row>
      <xdr:rowOff>47625</xdr:rowOff>
    </xdr:from>
    <xdr:ext cx="76200" cy="219075"/>
    <xdr:sp macro="" textlink="">
      <xdr:nvSpPr>
        <xdr:cNvPr id="46" name="Text Box 1"/>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0</xdr:col>
      <xdr:colOff>676275</xdr:colOff>
      <xdr:row>20</xdr:row>
      <xdr:rowOff>47625</xdr:rowOff>
    </xdr:from>
    <xdr:ext cx="76200" cy="219075"/>
    <xdr:sp macro="" textlink="">
      <xdr:nvSpPr>
        <xdr:cNvPr id="47" name="Text Box 2"/>
        <xdr:cNvSpPr txBox="1">
          <a:spLocks noChangeArrowheads="1"/>
        </xdr:cNvSpPr>
      </xdr:nvSpPr>
      <xdr:spPr bwMode="auto">
        <a:xfrm>
          <a:off x="676275" y="2952750"/>
          <a:ext cx="76200" cy="219075"/>
        </a:xfrm>
        <a:prstGeom prst="rect">
          <a:avLst/>
        </a:prstGeom>
        <a:noFill/>
        <a:ln w="9525">
          <a:noFill/>
          <a:miter lim="800000"/>
          <a:headEnd/>
          <a:tailEnd/>
        </a:ln>
      </xdr:spPr>
    </xdr:sp>
    <xdr:clientData/>
  </xdr:oneCellAnchor>
  <xdr:oneCellAnchor>
    <xdr:from>
      <xdr:col>0</xdr:col>
      <xdr:colOff>676275</xdr:colOff>
      <xdr:row>23</xdr:row>
      <xdr:rowOff>47625</xdr:rowOff>
    </xdr:from>
    <xdr:ext cx="76200" cy="219075"/>
    <xdr:sp macro="" textlink="">
      <xdr:nvSpPr>
        <xdr:cNvPr id="48" name="Text Box 1"/>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5</xdr:col>
      <xdr:colOff>409575</xdr:colOff>
      <xdr:row>22</xdr:row>
      <xdr:rowOff>114300</xdr:rowOff>
    </xdr:from>
    <xdr:ext cx="76200" cy="219075"/>
    <xdr:sp macro="" textlink="">
      <xdr:nvSpPr>
        <xdr:cNvPr id="49" name="Text Box 2"/>
        <xdr:cNvSpPr txBox="1">
          <a:spLocks noChangeArrowheads="1"/>
        </xdr:cNvSpPr>
      </xdr:nvSpPr>
      <xdr:spPr bwMode="auto">
        <a:xfrm>
          <a:off x="5191125" y="4219575"/>
          <a:ext cx="76200" cy="219075"/>
        </a:xfrm>
        <a:prstGeom prst="rect">
          <a:avLst/>
        </a:prstGeom>
        <a:noFill/>
        <a:ln w="9525">
          <a:noFill/>
          <a:miter lim="800000"/>
          <a:headEnd/>
          <a:tailEnd/>
        </a:ln>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476250</xdr:colOff>
      <xdr:row>7</xdr:row>
      <xdr:rowOff>142875</xdr:rowOff>
    </xdr:from>
    <xdr:to>
      <xdr:col>7</xdr:col>
      <xdr:colOff>552450</xdr:colOff>
      <xdr:row>9</xdr:row>
      <xdr:rowOff>19050</xdr:rowOff>
    </xdr:to>
    <xdr:sp macro="" textlink="">
      <xdr:nvSpPr>
        <xdr:cNvPr id="57555"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twoCellAnchor>
  <xdr:twoCellAnchor editAs="oneCell">
    <xdr:from>
      <xdr:col>7</xdr:col>
      <xdr:colOff>581025</xdr:colOff>
      <xdr:row>10</xdr:row>
      <xdr:rowOff>152400</xdr:rowOff>
    </xdr:from>
    <xdr:to>
      <xdr:col>7</xdr:col>
      <xdr:colOff>657225</xdr:colOff>
      <xdr:row>12</xdr:row>
      <xdr:rowOff>28575</xdr:rowOff>
    </xdr:to>
    <xdr:sp macro="" textlink="">
      <xdr:nvSpPr>
        <xdr:cNvPr id="57556" name="Text Box 2"/>
        <xdr:cNvSpPr txBox="1">
          <a:spLocks noChangeArrowheads="1"/>
        </xdr:cNvSpPr>
      </xdr:nvSpPr>
      <xdr:spPr bwMode="auto">
        <a:xfrm>
          <a:off x="6181725" y="1685925"/>
          <a:ext cx="76200" cy="219075"/>
        </a:xfrm>
        <a:prstGeom prst="rect">
          <a:avLst/>
        </a:prstGeom>
        <a:noFill/>
        <a:ln w="9525">
          <a:noFill/>
          <a:miter lim="800000"/>
          <a:headEnd/>
          <a:tailEnd/>
        </a:ln>
      </xdr:spPr>
    </xdr:sp>
    <xdr:clientData/>
  </xdr:twoCellAnchor>
  <xdr:twoCellAnchor editAs="oneCell">
    <xdr:from>
      <xdr:col>0</xdr:col>
      <xdr:colOff>685800</xdr:colOff>
      <xdr:row>12</xdr:row>
      <xdr:rowOff>47625</xdr:rowOff>
    </xdr:from>
    <xdr:to>
      <xdr:col>0</xdr:col>
      <xdr:colOff>762000</xdr:colOff>
      <xdr:row>13</xdr:row>
      <xdr:rowOff>95250</xdr:rowOff>
    </xdr:to>
    <xdr:sp macro="" textlink="">
      <xdr:nvSpPr>
        <xdr:cNvPr id="57557" name="Text Box 1"/>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twoCellAnchor editAs="oneCell">
    <xdr:from>
      <xdr:col>0</xdr:col>
      <xdr:colOff>685800</xdr:colOff>
      <xdr:row>12</xdr:row>
      <xdr:rowOff>47625</xdr:rowOff>
    </xdr:from>
    <xdr:to>
      <xdr:col>0</xdr:col>
      <xdr:colOff>762000</xdr:colOff>
      <xdr:row>13</xdr:row>
      <xdr:rowOff>95250</xdr:rowOff>
    </xdr:to>
    <xdr:sp macro="" textlink="">
      <xdr:nvSpPr>
        <xdr:cNvPr id="57558" name="Text Box 2"/>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oneCellAnchor>
    <xdr:from>
      <xdr:col>7</xdr:col>
      <xdr:colOff>476250</xdr:colOff>
      <xdr:row>10</xdr:row>
      <xdr:rowOff>142875</xdr:rowOff>
    </xdr:from>
    <xdr:ext cx="76200" cy="219075"/>
    <xdr:sp macro="" textlink="">
      <xdr:nvSpPr>
        <xdr:cNvPr id="6"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11</xdr:row>
      <xdr:rowOff>142875</xdr:rowOff>
    </xdr:from>
    <xdr:ext cx="76200" cy="219075"/>
    <xdr:sp macro="" textlink="">
      <xdr:nvSpPr>
        <xdr:cNvPr id="7"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12</xdr:row>
      <xdr:rowOff>142875</xdr:rowOff>
    </xdr:from>
    <xdr:ext cx="76200" cy="219075"/>
    <xdr:sp macro="" textlink="">
      <xdr:nvSpPr>
        <xdr:cNvPr id="8"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13</xdr:row>
      <xdr:rowOff>142875</xdr:rowOff>
    </xdr:from>
    <xdr:ext cx="76200" cy="219075"/>
    <xdr:sp macro="" textlink="">
      <xdr:nvSpPr>
        <xdr:cNvPr id="9"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14</xdr:row>
      <xdr:rowOff>142875</xdr:rowOff>
    </xdr:from>
    <xdr:ext cx="76200" cy="219075"/>
    <xdr:sp macro="" textlink="">
      <xdr:nvSpPr>
        <xdr:cNvPr id="10"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15</xdr:row>
      <xdr:rowOff>142875</xdr:rowOff>
    </xdr:from>
    <xdr:ext cx="76200" cy="219075"/>
    <xdr:sp macro="" textlink="">
      <xdr:nvSpPr>
        <xdr:cNvPr id="11"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16</xdr:row>
      <xdr:rowOff>142875</xdr:rowOff>
    </xdr:from>
    <xdr:ext cx="76200" cy="219075"/>
    <xdr:sp macro="" textlink="">
      <xdr:nvSpPr>
        <xdr:cNvPr id="12"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20</xdr:row>
      <xdr:rowOff>142875</xdr:rowOff>
    </xdr:from>
    <xdr:ext cx="76200" cy="219075"/>
    <xdr:sp macro="" textlink="">
      <xdr:nvSpPr>
        <xdr:cNvPr id="13"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21</xdr:row>
      <xdr:rowOff>142875</xdr:rowOff>
    </xdr:from>
    <xdr:ext cx="76200" cy="219075"/>
    <xdr:sp macro="" textlink="">
      <xdr:nvSpPr>
        <xdr:cNvPr id="14"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22</xdr:row>
      <xdr:rowOff>142875</xdr:rowOff>
    </xdr:from>
    <xdr:ext cx="76200" cy="219075"/>
    <xdr:sp macro="" textlink="">
      <xdr:nvSpPr>
        <xdr:cNvPr id="15" name="Text Box 1"/>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16</xdr:row>
      <xdr:rowOff>142875</xdr:rowOff>
    </xdr:from>
    <xdr:ext cx="76200" cy="219075"/>
    <xdr:sp macro="" textlink="">
      <xdr:nvSpPr>
        <xdr:cNvPr id="16" name="Text Box 1"/>
        <xdr:cNvSpPr txBox="1">
          <a:spLocks noChangeArrowheads="1"/>
        </xdr:cNvSpPr>
      </xdr:nvSpPr>
      <xdr:spPr bwMode="auto">
        <a:xfrm>
          <a:off x="6076950" y="2876550"/>
          <a:ext cx="76200" cy="219075"/>
        </a:xfrm>
        <a:prstGeom prst="rect">
          <a:avLst/>
        </a:prstGeom>
        <a:noFill/>
        <a:ln w="9525">
          <a:noFill/>
          <a:miter lim="800000"/>
          <a:headEnd/>
          <a:tailEnd/>
        </a:ln>
      </xdr:spPr>
    </xdr:sp>
    <xdr:clientData/>
  </xdr:oneCellAnchor>
  <xdr:oneCellAnchor>
    <xdr:from>
      <xdr:col>7</xdr:col>
      <xdr:colOff>476250</xdr:colOff>
      <xdr:row>17</xdr:row>
      <xdr:rowOff>142875</xdr:rowOff>
    </xdr:from>
    <xdr:ext cx="76200" cy="219075"/>
    <xdr:sp macro="" textlink="">
      <xdr:nvSpPr>
        <xdr:cNvPr id="17" name="Text Box 1"/>
        <xdr:cNvSpPr txBox="1">
          <a:spLocks noChangeArrowheads="1"/>
        </xdr:cNvSpPr>
      </xdr:nvSpPr>
      <xdr:spPr bwMode="auto">
        <a:xfrm>
          <a:off x="6076950" y="2876550"/>
          <a:ext cx="76200" cy="219075"/>
        </a:xfrm>
        <a:prstGeom prst="rect">
          <a:avLst/>
        </a:prstGeom>
        <a:noFill/>
        <a:ln w="9525">
          <a:noFill/>
          <a:miter lim="800000"/>
          <a:headEnd/>
          <a:tailEnd/>
        </a:ln>
      </xdr:spPr>
    </xdr:sp>
    <xdr:clientData/>
  </xdr:oneCellAnchor>
  <xdr:oneCellAnchor>
    <xdr:from>
      <xdr:col>7</xdr:col>
      <xdr:colOff>476250</xdr:colOff>
      <xdr:row>18</xdr:row>
      <xdr:rowOff>142875</xdr:rowOff>
    </xdr:from>
    <xdr:ext cx="76200" cy="219075"/>
    <xdr:sp macro="" textlink="">
      <xdr:nvSpPr>
        <xdr:cNvPr id="18" name="Text Box 1"/>
        <xdr:cNvSpPr txBox="1">
          <a:spLocks noChangeArrowheads="1"/>
        </xdr:cNvSpPr>
      </xdr:nvSpPr>
      <xdr:spPr bwMode="auto">
        <a:xfrm>
          <a:off x="6076950" y="2876550"/>
          <a:ext cx="76200" cy="219075"/>
        </a:xfrm>
        <a:prstGeom prst="rect">
          <a:avLst/>
        </a:prstGeom>
        <a:noFill/>
        <a:ln w="9525">
          <a:noFill/>
          <a:miter lim="800000"/>
          <a:headEnd/>
          <a:tailEnd/>
        </a:ln>
      </xdr:spPr>
    </xdr:sp>
    <xdr:clientData/>
  </xdr:oneCellAnchor>
  <xdr:oneCellAnchor>
    <xdr:from>
      <xdr:col>7</xdr:col>
      <xdr:colOff>476250</xdr:colOff>
      <xdr:row>19</xdr:row>
      <xdr:rowOff>142875</xdr:rowOff>
    </xdr:from>
    <xdr:ext cx="76200" cy="219075"/>
    <xdr:sp macro="" textlink="">
      <xdr:nvSpPr>
        <xdr:cNvPr id="19" name="Text Box 1"/>
        <xdr:cNvSpPr txBox="1">
          <a:spLocks noChangeArrowheads="1"/>
        </xdr:cNvSpPr>
      </xdr:nvSpPr>
      <xdr:spPr bwMode="auto">
        <a:xfrm>
          <a:off x="6076950" y="2876550"/>
          <a:ext cx="76200" cy="2190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4180;&#23457;\&#38468;&#27880;2003&#21326;&#3285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1\a\LOCALS~1\Temp\Rar$DI00.858\Control%20Matrix%20Template%20v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40%20Prepaid%20Exp.%20Breakdow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37073;&#24030;&#20013;&#23386;\&#37073;&#24030;%20&#25253;&#34920;&#20998;&#265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22871;&#3918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94;&#21153;/2003&#24180;&#24402;&#26723;/2003&#24180;&#30005;&#23376;&#24402;&#26723;&#26446;&#20339;/&#21513;&#27888;&#23433;/&#25253;&#21578;&#25991;&#2021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My%20Documents\&#24037;&#20316;&#24213;&#31295;12.11\&#22303;&#22320;&#24213;&#3129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3.15&#39318;&#26053;&#38598;&#22242;&#26412;&#37096;&#22871;&#3918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y%20Documents/&#21326;&#32852;&#32929;&#20221;/04/&#27827;&#21335;/&#27827;&#21335;&#21326;&#32852;%20(version%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5105;&#30340;&#24037;&#20316;/&#25480;&#26435;&#29256;/&#26032;&#20140;&#37117;&#23457;&#35745;&#31243;&#24207;(&#24449;&#27714;&#24847;&#35265;&#31295;&#65289;061107/&#35745;&#21010;&#23457;&#35745;&#38454;&#27573;B&#31867;/&#23457;&#35745;&#25351;&#24341;&#65293;&#35745;&#21010;&#23457;&#35745;&#24037;&#20316;&#38454;&#27573;B&#31867;/&#23457;&#35745;&#25552;&#31034;&#65293;&#23458;&#25143;&#38656;&#25552;&#20379;&#30340;&#36164;&#26009;&#28165;&#21333;&#21450;&#34920;&#26684;&#65288;&#21442;&#32771;&#65289;b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3457;&#35745;/4&#26376;/2270%20For%20MORGAN-Consolidation%202002-2005.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uhaiou\&#21326;&#32852;2004\My%20Documents\&#20020;&#26102;&#25991;&#26723;\&#21253;&#22836;&#20998;&#20844;&#21496;\&#21253;&#22836;&#20998;&#26512;&#24615;&#22797;&#2668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1335;&#20140;%20&#25253;&#34920;&#20998;&#2651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My%20Documents\600277&#20159;&#21033;&#31185;&#25216;\2003&#24180;&#23457;\c-&#20013;&#33647;&#26448;\&#20013;&#33647;&#26448;&#26126;&#32454;&#24080;\&#24211;&#23384;&#25968;&#37327;&#37329;&#39069;&#2408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21326;&#32852;2004&#20013;&#26399;\&#23458;&#25143;&#36164;&#26009;\&#32852;&#37319;&#34920;&#2668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40548;&#22721;&#29028;&#30719;/06&#20013;&#26399;/&#32508;&#21512;/&#27719;&#24635;&#36807;&#31243;/&#40548;&#22721;&#29028;&#30005;06&#20013;&#26399;&#27719;&#34920;&#36807;&#31243;-y.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35780;&#20272;&#26126;&#32454;&#34920;&#27169;&#26495;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DOCUME~1\yjr\LOCALS~1\Temp\My%20Documents\2003\&#21326;&#32852;\&#24180;&#23457;\&#20854;&#20182;\&#21512;&#24182;&#25253;&#34920;&#20998;&#2651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25104;&#21697;&#20179;\&#20848;&#33457;&#31185;&#21019;\&#22823;&#38451;&#20998;&#20844;&#21496;\&#22823;&#38451;&#24180;&#23457;04\&#25104;&#21697;&#20179;\&#20848;&#33457;&#31185;&#21019;\&#22823;&#38451;&#20998;&#20844;&#21496;\04&#22823;&#38451;&#20013;&#26399;\&#22823;&#38451;04&#24180;1-6&#26376;&#23384;&#3613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31243;&#24207;\&#31243;&#24207;\11&#35780;&#20272;&#26126;&#32454;&#34920;\v4.6\01%20&#21333;&#20307;&#35780;&#20272;&#31995;&#32479;&#65288;V4.5&#65289;.xlt"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uhaiou\&#21326;&#32852;2004\&#25105;&#30340;&#25991;&#26723;\&#21326;&#32852;&#32508;&#36229;\&#21326;&#32852;03\&#22797;&#26680;\&#21628;&#21644;&#28009;&#2930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3665;&#35199;&#20146;&#36132;\&#22826;&#21407;%20&#25253;&#34920;&#20998;&#2651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5105;&#30340;&#24037;&#20316;/&#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 val="10月"/>
      <sheetName val="11月"/>
      <sheetName val="12月"/>
      <sheetName val="1月"/>
      <sheetName val="2月"/>
      <sheetName val="3月"/>
      <sheetName val="4月"/>
      <sheetName val="5月"/>
      <sheetName val="6月"/>
      <sheetName val="7月"/>
      <sheetName val="8月"/>
      <sheetName val="9月"/>
      <sheetName val="本期报表"/>
    </sheetNames>
    <sheetDataSet>
      <sheetData sheetId="0" refreshError="1"/>
      <sheetData sheetId="1" refreshError="1">
        <row r="5">
          <cell r="C5" t="str">
            <v>华联合并</v>
          </cell>
          <cell r="D5" t="str">
            <v>抵消</v>
          </cell>
          <cell r="E5" t="str">
            <v>合并审定</v>
          </cell>
          <cell r="F5" t="str">
            <v>南京大厂</v>
          </cell>
          <cell r="G5" t="str">
            <v>兰州红星</v>
          </cell>
          <cell r="H5" t="str">
            <v>青海</v>
          </cell>
          <cell r="I5" t="str">
            <v>大连金三角</v>
          </cell>
          <cell r="J5" t="str">
            <v>呼金宇</v>
          </cell>
          <cell r="K5" t="str">
            <v>广西江南</v>
          </cell>
          <cell r="L5" t="str">
            <v>华联母公司</v>
          </cell>
          <cell r="M5" t="str">
            <v>抵消</v>
          </cell>
          <cell r="N5" t="str">
            <v>母公司审定</v>
          </cell>
          <cell r="O5" t="str">
            <v>阜成门分</v>
          </cell>
          <cell r="P5" t="str">
            <v>联采</v>
          </cell>
          <cell r="Q5" t="str">
            <v>广安门分</v>
          </cell>
          <cell r="R5" t="str">
            <v>石景山分</v>
          </cell>
          <cell r="S5" t="str">
            <v>青塔分</v>
          </cell>
          <cell r="T5" t="str">
            <v>保定分</v>
          </cell>
          <cell r="U5" t="str">
            <v>济南分</v>
          </cell>
          <cell r="V5" t="str">
            <v>西固分</v>
          </cell>
          <cell r="W5" t="str">
            <v>安宁分</v>
          </cell>
          <cell r="X5" t="str">
            <v>银川分</v>
          </cell>
          <cell r="Y5" t="str">
            <v>长春分</v>
          </cell>
          <cell r="Z5" t="str">
            <v>大连五一分</v>
          </cell>
          <cell r="AA5" t="str">
            <v>长春二分</v>
          </cell>
          <cell r="AB5" t="str">
            <v>呼金太分</v>
          </cell>
          <cell r="AC5" t="str">
            <v>沈阳分</v>
          </cell>
          <cell r="AD5" t="str">
            <v>广州分</v>
          </cell>
          <cell r="AE5" t="str">
            <v>南宁分</v>
          </cell>
          <cell r="AF5" t="str">
            <v>梧州分</v>
          </cell>
          <cell r="AG5" t="str">
            <v>贵阳分</v>
          </cell>
          <cell r="AH5" t="str">
            <v>无锡分</v>
          </cell>
          <cell r="AI5" t="str">
            <v>安徽分</v>
          </cell>
          <cell r="AJ5" t="str">
            <v>安徽四分</v>
          </cell>
          <cell r="AK5" t="str">
            <v>江西分</v>
          </cell>
          <cell r="AL5" t="str">
            <v>苏州分</v>
          </cell>
          <cell r="AM5" t="str">
            <v>昆山分</v>
          </cell>
          <cell r="AN5" t="str">
            <v>镇江分</v>
          </cell>
          <cell r="AO5" t="str">
            <v>杭州分</v>
          </cell>
          <cell r="AP5" t="str">
            <v>南京一分</v>
          </cell>
          <cell r="AQ5" t="str">
            <v>汉中华路分</v>
          </cell>
          <cell r="AR5" t="str">
            <v>汉青山分</v>
          </cell>
          <cell r="AS5" t="str">
            <v>汉太平洋分</v>
          </cell>
          <cell r="AT5" t="str">
            <v>成都分</v>
          </cell>
          <cell r="AU5" t="str">
            <v>太原分</v>
          </cell>
          <cell r="AV5" t="str">
            <v>郑州二分</v>
          </cell>
          <cell r="AW5" t="str">
            <v>包头分</v>
          </cell>
          <cell r="AX5" t="str">
            <v>学院路分</v>
          </cell>
          <cell r="AY5" t="str">
            <v>遂宁分</v>
          </cell>
        </row>
        <row r="6">
          <cell r="Q6" t="str">
            <v>本年数</v>
          </cell>
        </row>
        <row r="8">
          <cell r="C8">
            <v>11121988.800000001</v>
          </cell>
          <cell r="E8">
            <v>11121988.800000001</v>
          </cell>
          <cell r="F8">
            <v>164811.48000000001</v>
          </cell>
          <cell r="G8">
            <v>163580.45000000001</v>
          </cell>
          <cell r="H8">
            <v>211766.85</v>
          </cell>
          <cell r="I8">
            <v>846.54</v>
          </cell>
          <cell r="J8">
            <v>262650.89</v>
          </cell>
          <cell r="K8">
            <v>394152.09</v>
          </cell>
          <cell r="L8">
            <v>9924180.5</v>
          </cell>
          <cell r="N8">
            <v>9924180.5</v>
          </cell>
          <cell r="O8">
            <v>734664.78</v>
          </cell>
          <cell r="Q8">
            <v>443758.99</v>
          </cell>
          <cell r="R8">
            <v>277718.86</v>
          </cell>
          <cell r="S8">
            <v>7263.63</v>
          </cell>
          <cell r="T8">
            <v>202949.55</v>
          </cell>
          <cell r="U8">
            <v>41706.86</v>
          </cell>
          <cell r="V8">
            <v>121696.17</v>
          </cell>
          <cell r="W8">
            <v>58434.7</v>
          </cell>
          <cell r="X8">
            <v>155411.07999999999</v>
          </cell>
          <cell r="Y8">
            <v>403175.48</v>
          </cell>
          <cell r="Z8">
            <v>458.94</v>
          </cell>
          <cell r="AA8">
            <v>337490.92</v>
          </cell>
          <cell r="AB8">
            <v>284560.28000000003</v>
          </cell>
          <cell r="AC8">
            <v>561291.85</v>
          </cell>
          <cell r="AD8">
            <v>1443749.28</v>
          </cell>
          <cell r="AE8">
            <v>495210.37</v>
          </cell>
          <cell r="AF8">
            <v>174644.9</v>
          </cell>
          <cell r="AG8">
            <v>254338.69</v>
          </cell>
          <cell r="AH8">
            <v>44189.26</v>
          </cell>
          <cell r="AI8">
            <v>365836.28</v>
          </cell>
          <cell r="AJ8">
            <v>80778.740000000005</v>
          </cell>
          <cell r="AK8">
            <v>1205206.82</v>
          </cell>
          <cell r="AL8">
            <v>417728.52</v>
          </cell>
          <cell r="AM8">
            <v>140819.68</v>
          </cell>
          <cell r="AN8">
            <v>217241.26</v>
          </cell>
          <cell r="AO8">
            <v>287662.2</v>
          </cell>
          <cell r="AP8">
            <v>285884.84000000003</v>
          </cell>
          <cell r="AQ8">
            <v>3624.45</v>
          </cell>
          <cell r="AR8">
            <v>7427.57</v>
          </cell>
          <cell r="AS8">
            <v>4639.84</v>
          </cell>
          <cell r="AT8">
            <v>28436.799999999999</v>
          </cell>
          <cell r="AU8">
            <v>115033.23</v>
          </cell>
          <cell r="AV8">
            <v>18906.34</v>
          </cell>
          <cell r="AW8">
            <v>200023.27</v>
          </cell>
          <cell r="AX8">
            <v>333893</v>
          </cell>
          <cell r="AY8">
            <v>168323.07</v>
          </cell>
        </row>
        <row r="9">
          <cell r="C9">
            <v>373345307.52999997</v>
          </cell>
          <cell r="E9">
            <v>373345307.52999997</v>
          </cell>
          <cell r="F9">
            <v>16035586.060000001</v>
          </cell>
          <cell r="G9">
            <v>35851750.810000002</v>
          </cell>
          <cell r="H9">
            <v>4442403.97</v>
          </cell>
          <cell r="I9">
            <v>50716.33</v>
          </cell>
          <cell r="J9">
            <v>37585377.060000002</v>
          </cell>
          <cell r="K9">
            <v>60723796.93</v>
          </cell>
          <cell r="L9">
            <v>218655676.37</v>
          </cell>
          <cell r="N9">
            <v>218655676.37</v>
          </cell>
          <cell r="O9">
            <v>87946436.5</v>
          </cell>
          <cell r="P9">
            <v>4453304.55</v>
          </cell>
          <cell r="Q9">
            <v>784875.81</v>
          </cell>
          <cell r="R9">
            <v>16180204.58</v>
          </cell>
          <cell r="S9">
            <v>2640074.17</v>
          </cell>
          <cell r="T9">
            <v>4693347.3099999996</v>
          </cell>
          <cell r="U9">
            <v>1452480.96</v>
          </cell>
          <cell r="V9">
            <v>3502430.63</v>
          </cell>
          <cell r="W9">
            <v>4909928.6500000004</v>
          </cell>
          <cell r="X9">
            <v>1875439.53</v>
          </cell>
          <cell r="Y9">
            <v>2937901.5</v>
          </cell>
          <cell r="Z9">
            <v>241511.67</v>
          </cell>
          <cell r="AA9">
            <v>1753029.94</v>
          </cell>
          <cell r="AB9">
            <v>3612918.39</v>
          </cell>
          <cell r="AC9">
            <v>4639739.2300000004</v>
          </cell>
          <cell r="AD9">
            <v>220051.84</v>
          </cell>
          <cell r="AE9">
            <v>7240178.6900000004</v>
          </cell>
          <cell r="AF9">
            <v>2846826.3</v>
          </cell>
          <cell r="AG9">
            <v>2295286.71</v>
          </cell>
          <cell r="AH9">
            <v>289734.17</v>
          </cell>
          <cell r="AI9">
            <v>4384194.87</v>
          </cell>
          <cell r="AJ9">
            <v>881990.55</v>
          </cell>
          <cell r="AK9">
            <v>5072273.2300000004</v>
          </cell>
          <cell r="AL9">
            <v>4437182.17</v>
          </cell>
          <cell r="AM9">
            <v>386515.83</v>
          </cell>
          <cell r="AN9">
            <v>3847395.63</v>
          </cell>
          <cell r="AO9">
            <v>49310.65</v>
          </cell>
          <cell r="AP9">
            <v>4742472.84</v>
          </cell>
          <cell r="AQ9">
            <v>8984706.4700000007</v>
          </cell>
          <cell r="AR9">
            <v>5397824.8899999997</v>
          </cell>
          <cell r="AS9">
            <v>5992927.71</v>
          </cell>
          <cell r="AT9">
            <v>1372097.36</v>
          </cell>
          <cell r="AU9">
            <v>4902502.79</v>
          </cell>
          <cell r="AV9">
            <v>3352012.66</v>
          </cell>
          <cell r="AW9">
            <v>2721837.64</v>
          </cell>
          <cell r="AX9">
            <v>4560189.51</v>
          </cell>
          <cell r="AY9">
            <v>3054540.44</v>
          </cell>
        </row>
        <row r="10">
          <cell r="C10">
            <v>17179438.050000001</v>
          </cell>
          <cell r="E10">
            <v>17179438.050000001</v>
          </cell>
          <cell r="F10">
            <v>2702385</v>
          </cell>
          <cell r="H10">
            <v>3750000</v>
          </cell>
          <cell r="L10">
            <v>10727053.050000001</v>
          </cell>
          <cell r="N10">
            <v>10727053.050000001</v>
          </cell>
          <cell r="O10">
            <v>10477553</v>
          </cell>
          <cell r="T10">
            <v>51698.75</v>
          </cell>
          <cell r="U10">
            <v>39.89</v>
          </cell>
          <cell r="Y10">
            <v>0</v>
          </cell>
          <cell r="Z10">
            <v>2153.33</v>
          </cell>
          <cell r="AJ10">
            <v>88.63</v>
          </cell>
          <cell r="AK10">
            <v>275.52</v>
          </cell>
          <cell r="AN10">
            <v>194046.29</v>
          </cell>
          <cell r="AO10">
            <v>1197.6400000000001</v>
          </cell>
          <cell r="AP10">
            <v>0</v>
          </cell>
        </row>
        <row r="11">
          <cell r="C11">
            <v>401646734.38</v>
          </cell>
          <cell r="E11">
            <v>401646734.38</v>
          </cell>
          <cell r="F11">
            <v>18902782.539999999</v>
          </cell>
          <cell r="G11">
            <v>36015331.259999998</v>
          </cell>
          <cell r="H11">
            <v>8404170.8200000003</v>
          </cell>
          <cell r="I11">
            <v>51562.87</v>
          </cell>
          <cell r="J11">
            <v>37848027.950000003</v>
          </cell>
          <cell r="K11">
            <v>61117949.020000003</v>
          </cell>
          <cell r="L11">
            <v>239306909.91999999</v>
          </cell>
          <cell r="N11">
            <v>239306909.91999999</v>
          </cell>
          <cell r="O11">
            <v>99158654.280000001</v>
          </cell>
          <cell r="P11">
            <v>4453304.55</v>
          </cell>
          <cell r="Q11">
            <v>1228634.8</v>
          </cell>
          <cell r="R11">
            <v>16457923.439999999</v>
          </cell>
          <cell r="S11">
            <v>2647337.7999999998</v>
          </cell>
          <cell r="T11">
            <v>4947995.6100000003</v>
          </cell>
          <cell r="U11">
            <v>1494227.71</v>
          </cell>
          <cell r="V11">
            <v>3624126.8</v>
          </cell>
          <cell r="W11">
            <v>4968363.3499999996</v>
          </cell>
          <cell r="X11">
            <v>2030850.61</v>
          </cell>
          <cell r="Y11">
            <v>3341076.98</v>
          </cell>
          <cell r="Z11">
            <v>244123.94</v>
          </cell>
          <cell r="AA11">
            <v>2090520.86</v>
          </cell>
          <cell r="AB11">
            <v>3897478.67</v>
          </cell>
          <cell r="AC11">
            <v>5201031.08</v>
          </cell>
          <cell r="AD11">
            <v>1663801.12</v>
          </cell>
          <cell r="AE11">
            <v>7735389.0599999996</v>
          </cell>
          <cell r="AF11">
            <v>3021471.2</v>
          </cell>
          <cell r="AG11">
            <v>2549625.4</v>
          </cell>
          <cell r="AH11">
            <v>333923.43</v>
          </cell>
          <cell r="AI11">
            <v>4750031.1500000004</v>
          </cell>
          <cell r="AJ11">
            <v>962857.92</v>
          </cell>
          <cell r="AK11">
            <v>6277755.5700000003</v>
          </cell>
          <cell r="AL11">
            <v>4854910.6900000004</v>
          </cell>
          <cell r="AM11">
            <v>527335.51</v>
          </cell>
          <cell r="AN11">
            <v>4258683.18</v>
          </cell>
          <cell r="AO11">
            <v>338170.49</v>
          </cell>
          <cell r="AP11">
            <v>5028357.68</v>
          </cell>
          <cell r="AQ11">
            <v>8988330.9199999999</v>
          </cell>
          <cell r="AR11">
            <v>5405252.46</v>
          </cell>
          <cell r="AS11">
            <v>5997567.5499999998</v>
          </cell>
          <cell r="AT11">
            <v>1400534.16</v>
          </cell>
          <cell r="AU11">
            <v>5017536.0199999996</v>
          </cell>
          <cell r="AV11">
            <v>3370919</v>
          </cell>
          <cell r="AW11">
            <v>2921860.91</v>
          </cell>
          <cell r="AX11">
            <v>4894082.51</v>
          </cell>
          <cell r="AY11">
            <v>3222863.51</v>
          </cell>
        </row>
        <row r="12">
          <cell r="C12">
            <v>0</v>
          </cell>
          <cell r="E12">
            <v>0</v>
          </cell>
          <cell r="L12">
            <v>0</v>
          </cell>
          <cell r="N12">
            <v>0</v>
          </cell>
        </row>
        <row r="13">
          <cell r="C13">
            <v>0</v>
          </cell>
          <cell r="E13">
            <v>0</v>
          </cell>
          <cell r="L13">
            <v>0</v>
          </cell>
          <cell r="N13">
            <v>0</v>
          </cell>
        </row>
        <row r="14">
          <cell r="C14">
            <v>0</v>
          </cell>
          <cell r="E14">
            <v>0</v>
          </cell>
          <cell r="L14">
            <v>0</v>
          </cell>
          <cell r="N14">
            <v>0</v>
          </cell>
        </row>
        <row r="15">
          <cell r="C15">
            <v>0</v>
          </cell>
          <cell r="E15">
            <v>0</v>
          </cell>
          <cell r="L15">
            <v>0</v>
          </cell>
          <cell r="N15">
            <v>0</v>
          </cell>
          <cell r="AP15">
            <v>0</v>
          </cell>
        </row>
        <row r="16">
          <cell r="C16">
            <v>0</v>
          </cell>
          <cell r="E16">
            <v>0</v>
          </cell>
          <cell r="L16">
            <v>0</v>
          </cell>
          <cell r="N16">
            <v>0</v>
          </cell>
          <cell r="U16">
            <v>0</v>
          </cell>
          <cell r="AP16">
            <v>0</v>
          </cell>
        </row>
        <row r="17">
          <cell r="C17">
            <v>0</v>
          </cell>
          <cell r="E17">
            <v>0</v>
          </cell>
          <cell r="L17">
            <v>0</v>
          </cell>
          <cell r="N17">
            <v>0</v>
          </cell>
          <cell r="U17">
            <v>0</v>
          </cell>
          <cell r="AP17">
            <v>0</v>
          </cell>
        </row>
        <row r="18">
          <cell r="C18">
            <v>0</v>
          </cell>
          <cell r="E18">
            <v>0</v>
          </cell>
          <cell r="L18">
            <v>0</v>
          </cell>
          <cell r="N18">
            <v>0</v>
          </cell>
          <cell r="U18">
            <v>0</v>
          </cell>
          <cell r="AP18">
            <v>0</v>
          </cell>
        </row>
        <row r="19">
          <cell r="C19">
            <v>0</v>
          </cell>
          <cell r="E19">
            <v>0</v>
          </cell>
          <cell r="L19">
            <v>0</v>
          </cell>
          <cell r="N19">
            <v>0</v>
          </cell>
          <cell r="U19">
            <v>0</v>
          </cell>
          <cell r="AP19">
            <v>0</v>
          </cell>
        </row>
        <row r="20">
          <cell r="C20">
            <v>0</v>
          </cell>
          <cell r="E20">
            <v>0</v>
          </cell>
          <cell r="L20">
            <v>0</v>
          </cell>
          <cell r="N20">
            <v>0</v>
          </cell>
          <cell r="U20">
            <v>0</v>
          </cell>
          <cell r="AP20">
            <v>0</v>
          </cell>
        </row>
        <row r="21">
          <cell r="C21">
            <v>0</v>
          </cell>
          <cell r="E21">
            <v>0</v>
          </cell>
          <cell r="F21">
            <v>0</v>
          </cell>
          <cell r="G21">
            <v>0</v>
          </cell>
          <cell r="H21">
            <v>0</v>
          </cell>
          <cell r="I21">
            <v>0</v>
          </cell>
          <cell r="J21">
            <v>0</v>
          </cell>
          <cell r="K21">
            <v>0</v>
          </cell>
          <cell r="L21">
            <v>0</v>
          </cell>
          <cell r="N21">
            <v>0</v>
          </cell>
          <cell r="O21">
            <v>0</v>
          </cell>
          <cell r="P21">
            <v>0</v>
          </cell>
          <cell r="Q21">
            <v>0</v>
          </cell>
          <cell r="R21">
            <v>0</v>
          </cell>
          <cell r="S21">
            <v>0</v>
          </cell>
          <cell r="T21">
            <v>0</v>
          </cell>
          <cell r="U21">
            <v>0</v>
          </cell>
          <cell r="V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row>
        <row r="22">
          <cell r="C22">
            <v>0</v>
          </cell>
          <cell r="E22">
            <v>0</v>
          </cell>
          <cell r="L22">
            <v>0</v>
          </cell>
          <cell r="N22">
            <v>0</v>
          </cell>
        </row>
        <row r="23">
          <cell r="C23">
            <v>0</v>
          </cell>
          <cell r="E23">
            <v>0</v>
          </cell>
          <cell r="L23">
            <v>0</v>
          </cell>
          <cell r="N23">
            <v>0</v>
          </cell>
          <cell r="U23">
            <v>0</v>
          </cell>
          <cell r="AP23">
            <v>0</v>
          </cell>
        </row>
        <row r="24">
          <cell r="C24">
            <v>0</v>
          </cell>
          <cell r="E24">
            <v>0</v>
          </cell>
          <cell r="L24">
            <v>0</v>
          </cell>
          <cell r="N24">
            <v>0</v>
          </cell>
          <cell r="U24">
            <v>0</v>
          </cell>
          <cell r="AP24">
            <v>0</v>
          </cell>
        </row>
        <row r="25">
          <cell r="C25">
            <v>0</v>
          </cell>
          <cell r="E25">
            <v>0</v>
          </cell>
          <cell r="L25">
            <v>0</v>
          </cell>
          <cell r="N25">
            <v>0</v>
          </cell>
          <cell r="U25">
            <v>0</v>
          </cell>
          <cell r="AP25">
            <v>0</v>
          </cell>
        </row>
        <row r="26">
          <cell r="C26">
            <v>0</v>
          </cell>
          <cell r="E26">
            <v>0</v>
          </cell>
          <cell r="F26">
            <v>0</v>
          </cell>
          <cell r="G26">
            <v>0</v>
          </cell>
          <cell r="H26">
            <v>0</v>
          </cell>
          <cell r="I26">
            <v>0</v>
          </cell>
          <cell r="J26">
            <v>0</v>
          </cell>
          <cell r="K26">
            <v>0</v>
          </cell>
          <cell r="L26">
            <v>0</v>
          </cell>
          <cell r="N26">
            <v>0</v>
          </cell>
          <cell r="O26">
            <v>0</v>
          </cell>
          <cell r="P26">
            <v>0</v>
          </cell>
          <cell r="Q26">
            <v>0</v>
          </cell>
          <cell r="R26">
            <v>0</v>
          </cell>
          <cell r="S26">
            <v>0</v>
          </cell>
          <cell r="T26">
            <v>0</v>
          </cell>
          <cell r="U26">
            <v>0</v>
          </cell>
          <cell r="V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row>
        <row r="27">
          <cell r="C27">
            <v>0</v>
          </cell>
          <cell r="E27">
            <v>0</v>
          </cell>
          <cell r="L27">
            <v>0</v>
          </cell>
          <cell r="N27">
            <v>0</v>
          </cell>
          <cell r="U27">
            <v>0</v>
          </cell>
          <cell r="AP27">
            <v>0</v>
          </cell>
        </row>
        <row r="28">
          <cell r="C28">
            <v>0</v>
          </cell>
          <cell r="E28">
            <v>0</v>
          </cell>
          <cell r="L28">
            <v>0</v>
          </cell>
          <cell r="N28">
            <v>0</v>
          </cell>
          <cell r="U28">
            <v>0</v>
          </cell>
          <cell r="AP28">
            <v>0</v>
          </cell>
        </row>
        <row r="29">
          <cell r="C29">
            <v>0</v>
          </cell>
          <cell r="E29">
            <v>0</v>
          </cell>
          <cell r="L29">
            <v>0</v>
          </cell>
          <cell r="N29">
            <v>0</v>
          </cell>
          <cell r="U29">
            <v>0</v>
          </cell>
          <cell r="AP29">
            <v>0</v>
          </cell>
        </row>
        <row r="30">
          <cell r="C30">
            <v>0</v>
          </cell>
          <cell r="E30">
            <v>0</v>
          </cell>
          <cell r="F30">
            <v>0</v>
          </cell>
          <cell r="G30">
            <v>0</v>
          </cell>
          <cell r="H30">
            <v>0</v>
          </cell>
          <cell r="I30">
            <v>0</v>
          </cell>
          <cell r="J30">
            <v>0</v>
          </cell>
          <cell r="K30">
            <v>0</v>
          </cell>
          <cell r="L30">
            <v>0</v>
          </cell>
          <cell r="N30">
            <v>0</v>
          </cell>
          <cell r="O30">
            <v>0</v>
          </cell>
          <cell r="P30">
            <v>0</v>
          </cell>
          <cell r="Q30">
            <v>0</v>
          </cell>
          <cell r="R30">
            <v>0</v>
          </cell>
          <cell r="S30">
            <v>0</v>
          </cell>
          <cell r="T30">
            <v>0</v>
          </cell>
          <cell r="U30">
            <v>0</v>
          </cell>
          <cell r="V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row>
        <row r="31">
          <cell r="C31">
            <v>0</v>
          </cell>
          <cell r="E31">
            <v>0</v>
          </cell>
          <cell r="L31">
            <v>0</v>
          </cell>
          <cell r="N31">
            <v>0</v>
          </cell>
          <cell r="U31">
            <v>0</v>
          </cell>
          <cell r="AP31">
            <v>0</v>
          </cell>
        </row>
        <row r="32">
          <cell r="C32">
            <v>0</v>
          </cell>
          <cell r="E32">
            <v>0</v>
          </cell>
          <cell r="L32">
            <v>0</v>
          </cell>
          <cell r="N32">
            <v>0</v>
          </cell>
          <cell r="U32">
            <v>0</v>
          </cell>
          <cell r="AP32">
            <v>0</v>
          </cell>
        </row>
        <row r="33">
          <cell r="C33">
            <v>0</v>
          </cell>
          <cell r="E33">
            <v>0</v>
          </cell>
          <cell r="L33">
            <v>0</v>
          </cell>
          <cell r="N33">
            <v>0</v>
          </cell>
          <cell r="U33">
            <v>0</v>
          </cell>
          <cell r="AP33">
            <v>0</v>
          </cell>
        </row>
        <row r="34">
          <cell r="C34">
            <v>0</v>
          </cell>
          <cell r="E34">
            <v>0</v>
          </cell>
          <cell r="F34">
            <v>0</v>
          </cell>
          <cell r="G34">
            <v>0</v>
          </cell>
          <cell r="H34">
            <v>0</v>
          </cell>
          <cell r="I34">
            <v>0</v>
          </cell>
          <cell r="J34">
            <v>0</v>
          </cell>
          <cell r="K34">
            <v>0</v>
          </cell>
          <cell r="L34">
            <v>0</v>
          </cell>
          <cell r="N34">
            <v>0</v>
          </cell>
          <cell r="O34">
            <v>0</v>
          </cell>
          <cell r="P34">
            <v>0</v>
          </cell>
          <cell r="Q34">
            <v>0</v>
          </cell>
          <cell r="R34">
            <v>0</v>
          </cell>
          <cell r="S34">
            <v>0</v>
          </cell>
          <cell r="T34">
            <v>0</v>
          </cell>
          <cell r="U34">
            <v>0</v>
          </cell>
          <cell r="V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row>
        <row r="35">
          <cell r="C35">
            <v>0</v>
          </cell>
          <cell r="E35">
            <v>0</v>
          </cell>
          <cell r="L35">
            <v>0</v>
          </cell>
          <cell r="N35">
            <v>0</v>
          </cell>
          <cell r="U35">
            <v>0</v>
          </cell>
          <cell r="AP35">
            <v>0</v>
          </cell>
        </row>
        <row r="36">
          <cell r="C36">
            <v>0</v>
          </cell>
          <cell r="E36">
            <v>0</v>
          </cell>
          <cell r="L36">
            <v>0</v>
          </cell>
          <cell r="N36">
            <v>0</v>
          </cell>
          <cell r="U36">
            <v>0</v>
          </cell>
          <cell r="AP36">
            <v>0</v>
          </cell>
        </row>
        <row r="37">
          <cell r="C37">
            <v>0</v>
          </cell>
          <cell r="E37">
            <v>0</v>
          </cell>
          <cell r="L37">
            <v>0</v>
          </cell>
          <cell r="N37">
            <v>0</v>
          </cell>
          <cell r="U37">
            <v>0</v>
          </cell>
          <cell r="AP37">
            <v>0</v>
          </cell>
        </row>
        <row r="38">
          <cell r="C38">
            <v>0</v>
          </cell>
          <cell r="E38">
            <v>0</v>
          </cell>
          <cell r="F38">
            <v>0</v>
          </cell>
          <cell r="G38">
            <v>0</v>
          </cell>
          <cell r="H38">
            <v>0</v>
          </cell>
          <cell r="I38">
            <v>0</v>
          </cell>
          <cell r="J38">
            <v>0</v>
          </cell>
          <cell r="K38">
            <v>0</v>
          </cell>
          <cell r="L38">
            <v>0</v>
          </cell>
          <cell r="N38">
            <v>0</v>
          </cell>
          <cell r="O38">
            <v>0</v>
          </cell>
          <cell r="P38">
            <v>0</v>
          </cell>
          <cell r="Q38">
            <v>0</v>
          </cell>
          <cell r="R38">
            <v>0</v>
          </cell>
          <cell r="S38">
            <v>0</v>
          </cell>
          <cell r="T38">
            <v>0</v>
          </cell>
          <cell r="U38">
            <v>0</v>
          </cell>
          <cell r="V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row>
        <row r="39">
          <cell r="C39">
            <v>0</v>
          </cell>
          <cell r="E39">
            <v>0</v>
          </cell>
          <cell r="F39">
            <v>0</v>
          </cell>
          <cell r="G39">
            <v>0</v>
          </cell>
          <cell r="H39">
            <v>0</v>
          </cell>
          <cell r="I39">
            <v>0</v>
          </cell>
          <cell r="J39">
            <v>0</v>
          </cell>
          <cell r="K39">
            <v>0</v>
          </cell>
          <cell r="L39">
            <v>0</v>
          </cell>
          <cell r="N39">
            <v>0</v>
          </cell>
          <cell r="O39">
            <v>0</v>
          </cell>
          <cell r="P39">
            <v>0</v>
          </cell>
          <cell r="Q39">
            <v>0</v>
          </cell>
          <cell r="R39">
            <v>0</v>
          </cell>
          <cell r="S39">
            <v>0</v>
          </cell>
          <cell r="T39">
            <v>0</v>
          </cell>
          <cell r="U39">
            <v>0</v>
          </cell>
          <cell r="V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row>
        <row r="40">
          <cell r="C40">
            <v>0</v>
          </cell>
          <cell r="E40">
            <v>0</v>
          </cell>
          <cell r="F40">
            <v>0</v>
          </cell>
          <cell r="G40">
            <v>0</v>
          </cell>
          <cell r="H40">
            <v>0</v>
          </cell>
          <cell r="I40">
            <v>0</v>
          </cell>
          <cell r="J40">
            <v>0</v>
          </cell>
          <cell r="K40">
            <v>0</v>
          </cell>
          <cell r="L40">
            <v>0</v>
          </cell>
          <cell r="N40">
            <v>0</v>
          </cell>
          <cell r="O40">
            <v>0</v>
          </cell>
          <cell r="P40">
            <v>0</v>
          </cell>
          <cell r="Q40">
            <v>0</v>
          </cell>
          <cell r="R40">
            <v>0</v>
          </cell>
          <cell r="S40">
            <v>0</v>
          </cell>
          <cell r="T40">
            <v>0</v>
          </cell>
          <cell r="U40">
            <v>0</v>
          </cell>
          <cell r="V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row>
        <row r="41">
          <cell r="C41">
            <v>0</v>
          </cell>
          <cell r="E41">
            <v>0</v>
          </cell>
          <cell r="F41">
            <v>0</v>
          </cell>
          <cell r="G41">
            <v>0</v>
          </cell>
          <cell r="H41">
            <v>0</v>
          </cell>
          <cell r="I41">
            <v>0</v>
          </cell>
          <cell r="J41">
            <v>0</v>
          </cell>
          <cell r="K41">
            <v>0</v>
          </cell>
          <cell r="L41">
            <v>0</v>
          </cell>
          <cell r="N41">
            <v>0</v>
          </cell>
          <cell r="O41">
            <v>0</v>
          </cell>
          <cell r="P41">
            <v>0</v>
          </cell>
          <cell r="Q41">
            <v>0</v>
          </cell>
          <cell r="R41">
            <v>0</v>
          </cell>
          <cell r="S41">
            <v>0</v>
          </cell>
          <cell r="T41">
            <v>0</v>
          </cell>
          <cell r="U41">
            <v>0</v>
          </cell>
          <cell r="V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row>
        <row r="42">
          <cell r="C42">
            <v>0</v>
          </cell>
          <cell r="E42">
            <v>0</v>
          </cell>
          <cell r="F42">
            <v>0</v>
          </cell>
          <cell r="G42">
            <v>0</v>
          </cell>
          <cell r="H42">
            <v>0</v>
          </cell>
          <cell r="I42">
            <v>0</v>
          </cell>
          <cell r="J42">
            <v>0</v>
          </cell>
          <cell r="K42">
            <v>0</v>
          </cell>
          <cell r="L42">
            <v>0</v>
          </cell>
          <cell r="N42">
            <v>0</v>
          </cell>
          <cell r="O42">
            <v>0</v>
          </cell>
          <cell r="P42">
            <v>0</v>
          </cell>
          <cell r="Q42">
            <v>0</v>
          </cell>
          <cell r="R42">
            <v>0</v>
          </cell>
          <cell r="S42">
            <v>0</v>
          </cell>
          <cell r="T42">
            <v>0</v>
          </cell>
          <cell r="U42">
            <v>0</v>
          </cell>
          <cell r="V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row>
        <row r="43">
          <cell r="C43">
            <v>0</v>
          </cell>
          <cell r="E43">
            <v>0</v>
          </cell>
          <cell r="L43">
            <v>0</v>
          </cell>
          <cell r="N43">
            <v>0</v>
          </cell>
        </row>
        <row r="44">
          <cell r="C44">
            <v>0</v>
          </cell>
          <cell r="E44">
            <v>0</v>
          </cell>
          <cell r="F44">
            <v>0</v>
          </cell>
          <cell r="G44">
            <v>0</v>
          </cell>
          <cell r="H44">
            <v>0</v>
          </cell>
          <cell r="I44">
            <v>0</v>
          </cell>
          <cell r="J44">
            <v>0</v>
          </cell>
          <cell r="K44">
            <v>0</v>
          </cell>
          <cell r="L44">
            <v>0</v>
          </cell>
          <cell r="N44">
            <v>0</v>
          </cell>
          <cell r="O44">
            <v>0</v>
          </cell>
          <cell r="P44">
            <v>0</v>
          </cell>
          <cell r="Q44">
            <v>0</v>
          </cell>
          <cell r="R44">
            <v>0</v>
          </cell>
          <cell r="S44">
            <v>0</v>
          </cell>
          <cell r="T44">
            <v>0</v>
          </cell>
          <cell r="U44">
            <v>0</v>
          </cell>
          <cell r="V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row>
        <row r="45">
          <cell r="C45">
            <v>0</v>
          </cell>
          <cell r="E45">
            <v>0</v>
          </cell>
          <cell r="L45">
            <v>0</v>
          </cell>
          <cell r="N45">
            <v>0</v>
          </cell>
        </row>
        <row r="46">
          <cell r="C46">
            <v>0</v>
          </cell>
          <cell r="E46">
            <v>0</v>
          </cell>
          <cell r="L46">
            <v>0</v>
          </cell>
          <cell r="N46">
            <v>0</v>
          </cell>
        </row>
        <row r="47">
          <cell r="C47">
            <v>1870054.67</v>
          </cell>
          <cell r="E47">
            <v>1870054.67</v>
          </cell>
          <cell r="F47">
            <v>1280054.67</v>
          </cell>
          <cell r="L47">
            <v>590000</v>
          </cell>
          <cell r="N47">
            <v>590000</v>
          </cell>
          <cell r="U47">
            <v>0</v>
          </cell>
          <cell r="AP47">
            <v>590000</v>
          </cell>
        </row>
        <row r="48">
          <cell r="C48">
            <v>0</v>
          </cell>
          <cell r="E48">
            <v>0</v>
          </cell>
          <cell r="L48">
            <v>0</v>
          </cell>
          <cell r="N48">
            <v>0</v>
          </cell>
          <cell r="U48">
            <v>0</v>
          </cell>
          <cell r="AP48">
            <v>0</v>
          </cell>
        </row>
        <row r="49">
          <cell r="C49">
            <v>0</v>
          </cell>
          <cell r="E49">
            <v>0</v>
          </cell>
          <cell r="L49">
            <v>0</v>
          </cell>
          <cell r="N49">
            <v>0</v>
          </cell>
          <cell r="AP49">
            <v>0</v>
          </cell>
        </row>
        <row r="50">
          <cell r="C50">
            <v>1870054.67</v>
          </cell>
          <cell r="E50">
            <v>1870054.67</v>
          </cell>
          <cell r="F50">
            <v>1280054.67</v>
          </cell>
          <cell r="G50">
            <v>0</v>
          </cell>
          <cell r="H50">
            <v>0</v>
          </cell>
          <cell r="I50">
            <v>0</v>
          </cell>
          <cell r="J50">
            <v>0</v>
          </cell>
          <cell r="K50">
            <v>0</v>
          </cell>
          <cell r="L50">
            <v>590000</v>
          </cell>
          <cell r="N50">
            <v>590000</v>
          </cell>
          <cell r="O50">
            <v>0</v>
          </cell>
          <cell r="P50">
            <v>0</v>
          </cell>
          <cell r="Q50">
            <v>0</v>
          </cell>
          <cell r="R50">
            <v>0</v>
          </cell>
          <cell r="S50">
            <v>0</v>
          </cell>
          <cell r="T50">
            <v>0</v>
          </cell>
          <cell r="U50">
            <v>0</v>
          </cell>
          <cell r="V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590000</v>
          </cell>
          <cell r="AQ50">
            <v>0</v>
          </cell>
          <cell r="AR50">
            <v>0</v>
          </cell>
          <cell r="AS50">
            <v>0</v>
          </cell>
          <cell r="AT50">
            <v>0</v>
          </cell>
          <cell r="AU50">
            <v>0</v>
          </cell>
          <cell r="AV50">
            <v>0</v>
          </cell>
          <cell r="AW50">
            <v>0</v>
          </cell>
          <cell r="AX50">
            <v>0</v>
          </cell>
          <cell r="AY50">
            <v>0</v>
          </cell>
        </row>
        <row r="51">
          <cell r="C51">
            <v>0</v>
          </cell>
          <cell r="E51">
            <v>0</v>
          </cell>
          <cell r="L51">
            <v>0</v>
          </cell>
          <cell r="N51">
            <v>0</v>
          </cell>
        </row>
        <row r="52">
          <cell r="C52">
            <v>0</v>
          </cell>
          <cell r="E52">
            <v>0</v>
          </cell>
          <cell r="L52">
            <v>0</v>
          </cell>
          <cell r="N52">
            <v>0</v>
          </cell>
        </row>
        <row r="53">
          <cell r="C53">
            <v>134445.26999999999</v>
          </cell>
          <cell r="E53">
            <v>134445.26999999999</v>
          </cell>
          <cell r="L53">
            <v>134445.26999999999</v>
          </cell>
          <cell r="N53">
            <v>134445.26999999999</v>
          </cell>
          <cell r="R53">
            <v>138075.26999999999</v>
          </cell>
          <cell r="Z53">
            <v>-3630</v>
          </cell>
        </row>
        <row r="54">
          <cell r="C54">
            <v>23970927.100000001</v>
          </cell>
          <cell r="D54">
            <v>-7329429.6399999997</v>
          </cell>
          <cell r="E54">
            <v>16641497.460000001</v>
          </cell>
          <cell r="F54">
            <v>203227.26</v>
          </cell>
          <cell r="G54">
            <v>208455.81</v>
          </cell>
          <cell r="H54">
            <v>317728.15999999997</v>
          </cell>
          <cell r="K54">
            <v>7092</v>
          </cell>
          <cell r="L54">
            <v>89616629.959999993</v>
          </cell>
          <cell r="M54">
            <v>-66382206.090000004</v>
          </cell>
          <cell r="N54">
            <v>23234423.870000001</v>
          </cell>
          <cell r="O54">
            <v>550000</v>
          </cell>
          <cell r="P54">
            <v>86521416.030000001</v>
          </cell>
          <cell r="Q54">
            <v>18041.009999999998</v>
          </cell>
          <cell r="R54">
            <v>131872.38</v>
          </cell>
          <cell r="S54">
            <v>1725</v>
          </cell>
          <cell r="T54">
            <v>4330</v>
          </cell>
          <cell r="U54">
            <v>232627.76</v>
          </cell>
          <cell r="Y54">
            <v>45496.62</v>
          </cell>
          <cell r="Z54">
            <v>210</v>
          </cell>
          <cell r="AA54">
            <v>91433.02</v>
          </cell>
          <cell r="AC54">
            <v>85771.5</v>
          </cell>
          <cell r="AE54">
            <v>82891.61</v>
          </cell>
          <cell r="AG54">
            <v>0</v>
          </cell>
          <cell r="AH54">
            <v>541142.19999999995</v>
          </cell>
          <cell r="AK54">
            <v>369171.03</v>
          </cell>
          <cell r="AL54">
            <v>99421.55</v>
          </cell>
          <cell r="AM54">
            <v>187110.92</v>
          </cell>
          <cell r="AN54">
            <v>32505.09</v>
          </cell>
          <cell r="AO54">
            <v>513.1</v>
          </cell>
          <cell r="AP54">
            <v>460437.79</v>
          </cell>
          <cell r="AR54">
            <v>14444.18</v>
          </cell>
          <cell r="AS54">
            <v>9810.4</v>
          </cell>
          <cell r="AT54">
            <v>1041.73</v>
          </cell>
          <cell r="AV54">
            <v>82417.039999999994</v>
          </cell>
          <cell r="AW54">
            <v>52800</v>
          </cell>
        </row>
        <row r="55">
          <cell r="C55">
            <v>112972.74</v>
          </cell>
          <cell r="E55">
            <v>112972.74</v>
          </cell>
          <cell r="G55">
            <v>8827.51</v>
          </cell>
          <cell r="H55">
            <v>25914.33</v>
          </cell>
          <cell r="K55">
            <v>178.23</v>
          </cell>
          <cell r="L55">
            <v>78052.67</v>
          </cell>
          <cell r="N55">
            <v>78052.67</v>
          </cell>
          <cell r="Q55">
            <v>0</v>
          </cell>
          <cell r="R55">
            <v>6202.89</v>
          </cell>
          <cell r="T55">
            <v>37673.03</v>
          </cell>
          <cell r="Y55">
            <v>13421.65</v>
          </cell>
          <cell r="Z55">
            <v>600</v>
          </cell>
          <cell r="AA55">
            <v>20155.099999999999</v>
          </cell>
        </row>
        <row r="56">
          <cell r="C56">
            <v>93323.61</v>
          </cell>
          <cell r="E56">
            <v>93323.61</v>
          </cell>
          <cell r="K56">
            <v>0</v>
          </cell>
          <cell r="L56">
            <v>93323.61</v>
          </cell>
          <cell r="N56">
            <v>93323.61</v>
          </cell>
          <cell r="Q56">
            <v>93323.61</v>
          </cell>
        </row>
        <row r="57">
          <cell r="C57">
            <v>18492.009999999998</v>
          </cell>
          <cell r="E57">
            <v>18492.009999999998</v>
          </cell>
          <cell r="K57">
            <v>13000</v>
          </cell>
          <cell r="L57">
            <v>5492.01</v>
          </cell>
          <cell r="N57">
            <v>5492.01</v>
          </cell>
          <cell r="Q57">
            <v>5492.01</v>
          </cell>
        </row>
        <row r="58">
          <cell r="C58">
            <v>24195715.460000001</v>
          </cell>
          <cell r="D58">
            <v>-7329429.6399999997</v>
          </cell>
          <cell r="E58">
            <v>16866285.82</v>
          </cell>
          <cell r="F58">
            <v>203227.26</v>
          </cell>
          <cell r="G58">
            <v>217283.32</v>
          </cell>
          <cell r="H58">
            <v>343642.49</v>
          </cell>
          <cell r="I58">
            <v>0</v>
          </cell>
          <cell r="J58">
            <v>0</v>
          </cell>
          <cell r="K58">
            <v>20270.23</v>
          </cell>
          <cell r="L58">
            <v>89793498.25</v>
          </cell>
          <cell r="M58">
            <v>-66382206.090000004</v>
          </cell>
          <cell r="N58">
            <v>23411292.16</v>
          </cell>
          <cell r="O58">
            <v>550000</v>
          </cell>
          <cell r="P58">
            <v>86521416.030000001</v>
          </cell>
          <cell r="Q58">
            <v>116856.63</v>
          </cell>
          <cell r="R58">
            <v>138075.26999999999</v>
          </cell>
          <cell r="S58">
            <v>1725</v>
          </cell>
          <cell r="T58">
            <v>42003.03</v>
          </cell>
          <cell r="U58">
            <v>232627.76</v>
          </cell>
          <cell r="V58">
            <v>0</v>
          </cell>
          <cell r="Y58">
            <v>58918.27</v>
          </cell>
          <cell r="Z58">
            <v>810</v>
          </cell>
          <cell r="AA58">
            <v>111588.12</v>
          </cell>
          <cell r="AB58">
            <v>0</v>
          </cell>
          <cell r="AC58">
            <v>85771.5</v>
          </cell>
          <cell r="AD58">
            <v>0</v>
          </cell>
          <cell r="AE58">
            <v>82891.61</v>
          </cell>
          <cell r="AF58">
            <v>0</v>
          </cell>
          <cell r="AG58">
            <v>0</v>
          </cell>
          <cell r="AH58">
            <v>541142.19999999995</v>
          </cell>
          <cell r="AI58">
            <v>0</v>
          </cell>
          <cell r="AJ58">
            <v>0</v>
          </cell>
          <cell r="AK58">
            <v>369171.03</v>
          </cell>
          <cell r="AL58">
            <v>99421.55</v>
          </cell>
          <cell r="AM58">
            <v>187110.92</v>
          </cell>
          <cell r="AN58">
            <v>32505.09</v>
          </cell>
          <cell r="AO58">
            <v>513.1</v>
          </cell>
          <cell r="AP58">
            <v>460437.79</v>
          </cell>
          <cell r="AQ58">
            <v>0</v>
          </cell>
          <cell r="AR58">
            <v>14444.18</v>
          </cell>
          <cell r="AS58">
            <v>9810.4</v>
          </cell>
          <cell r="AT58">
            <v>1041.73</v>
          </cell>
          <cell r="AU58">
            <v>0</v>
          </cell>
          <cell r="AV58">
            <v>82417.039999999994</v>
          </cell>
          <cell r="AW58">
            <v>52800</v>
          </cell>
          <cell r="AX58">
            <v>0</v>
          </cell>
          <cell r="AY58">
            <v>0</v>
          </cell>
        </row>
        <row r="59">
          <cell r="C59">
            <v>0</v>
          </cell>
          <cell r="E59">
            <v>0</v>
          </cell>
        </row>
        <row r="60">
          <cell r="C60">
            <v>0</v>
          </cell>
          <cell r="E60">
            <v>0</v>
          </cell>
        </row>
        <row r="61">
          <cell r="C61">
            <v>7329429.6399999997</v>
          </cell>
          <cell r="E61">
            <v>7329429.6399999997</v>
          </cell>
          <cell r="L61">
            <v>73711635.730000004</v>
          </cell>
          <cell r="M61">
            <v>-66382206.090000004</v>
          </cell>
          <cell r="N61">
            <v>7329429.6399999997</v>
          </cell>
          <cell r="P61">
            <v>73033460.769999996</v>
          </cell>
          <cell r="R61">
            <v>0</v>
          </cell>
          <cell r="AH61">
            <v>539033</v>
          </cell>
          <cell r="AM61">
            <v>139141.96</v>
          </cell>
        </row>
        <row r="62">
          <cell r="C62">
            <v>0</v>
          </cell>
          <cell r="E62">
            <v>0</v>
          </cell>
          <cell r="L62">
            <v>0</v>
          </cell>
          <cell r="N62">
            <v>0</v>
          </cell>
        </row>
        <row r="63">
          <cell r="C63">
            <v>0</v>
          </cell>
          <cell r="E63">
            <v>0</v>
          </cell>
          <cell r="L63">
            <v>0</v>
          </cell>
          <cell r="N63">
            <v>0</v>
          </cell>
        </row>
        <row r="64">
          <cell r="C64">
            <v>0</v>
          </cell>
          <cell r="E64">
            <v>0</v>
          </cell>
          <cell r="L64">
            <v>0</v>
          </cell>
          <cell r="N64">
            <v>0</v>
          </cell>
        </row>
        <row r="65">
          <cell r="C65">
            <v>7329429.6399999997</v>
          </cell>
          <cell r="D65">
            <v>0</v>
          </cell>
          <cell r="E65">
            <v>7329429.6399999997</v>
          </cell>
          <cell r="F65">
            <v>0</v>
          </cell>
          <cell r="G65">
            <v>0</v>
          </cell>
          <cell r="H65">
            <v>0</v>
          </cell>
          <cell r="I65">
            <v>0</v>
          </cell>
          <cell r="J65">
            <v>0</v>
          </cell>
          <cell r="K65">
            <v>0</v>
          </cell>
          <cell r="L65">
            <v>73711635.730000004</v>
          </cell>
          <cell r="M65">
            <v>-66382206.090000004</v>
          </cell>
          <cell r="N65">
            <v>7329429.6399999997</v>
          </cell>
          <cell r="O65">
            <v>0</v>
          </cell>
          <cell r="P65">
            <v>73033460.769999996</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539033</v>
          </cell>
          <cell r="AI65">
            <v>0</v>
          </cell>
          <cell r="AJ65">
            <v>0</v>
          </cell>
          <cell r="AK65">
            <v>0</v>
          </cell>
          <cell r="AL65">
            <v>0</v>
          </cell>
          <cell r="AM65">
            <v>139141.96</v>
          </cell>
          <cell r="AN65">
            <v>0</v>
          </cell>
          <cell r="AO65">
            <v>0</v>
          </cell>
          <cell r="AP65">
            <v>0</v>
          </cell>
          <cell r="AQ65">
            <v>0</v>
          </cell>
          <cell r="AR65">
            <v>0</v>
          </cell>
          <cell r="AS65">
            <v>0</v>
          </cell>
          <cell r="AT65">
            <v>0</v>
          </cell>
          <cell r="AU65">
            <v>0</v>
          </cell>
          <cell r="AV65">
            <v>0</v>
          </cell>
          <cell r="AW65">
            <v>0</v>
          </cell>
          <cell r="AX65">
            <v>0</v>
          </cell>
          <cell r="AY65">
            <v>0</v>
          </cell>
        </row>
        <row r="66">
          <cell r="C66">
            <v>0</v>
          </cell>
          <cell r="E66">
            <v>0</v>
          </cell>
        </row>
        <row r="67">
          <cell r="E67">
            <v>0</v>
          </cell>
        </row>
        <row r="68">
          <cell r="F68">
            <v>0.05</v>
          </cell>
          <cell r="G68">
            <v>0.05</v>
          </cell>
          <cell r="H68">
            <v>0.05</v>
          </cell>
          <cell r="I68">
            <v>0.05</v>
          </cell>
          <cell r="J68">
            <v>0.05</v>
          </cell>
          <cell r="K68">
            <v>0.05</v>
          </cell>
          <cell r="L68">
            <v>0.05</v>
          </cell>
          <cell r="N68">
            <v>0.05</v>
          </cell>
          <cell r="O68">
            <v>0.05</v>
          </cell>
          <cell r="P68">
            <v>0.05</v>
          </cell>
          <cell r="Q68">
            <v>0.05</v>
          </cell>
          <cell r="R68">
            <v>0.05</v>
          </cell>
          <cell r="S68">
            <v>0.05</v>
          </cell>
          <cell r="T68">
            <v>0.05</v>
          </cell>
          <cell r="U68">
            <v>0.05</v>
          </cell>
          <cell r="V68">
            <v>0.05</v>
          </cell>
          <cell r="W68">
            <v>0.05</v>
          </cell>
          <cell r="X68">
            <v>0.05</v>
          </cell>
          <cell r="Y68">
            <v>0.05</v>
          </cell>
          <cell r="Z68">
            <v>0.05</v>
          </cell>
          <cell r="AA68">
            <v>0.05</v>
          </cell>
          <cell r="AB68">
            <v>0.05</v>
          </cell>
          <cell r="AC68">
            <v>0.05</v>
          </cell>
          <cell r="AD68">
            <v>0.05</v>
          </cell>
          <cell r="AE68">
            <v>0.05</v>
          </cell>
          <cell r="AF68">
            <v>0.05</v>
          </cell>
          <cell r="AG68">
            <v>0.05</v>
          </cell>
          <cell r="AH68">
            <v>0.05</v>
          </cell>
          <cell r="AI68">
            <v>0.05</v>
          </cell>
          <cell r="AJ68">
            <v>0.05</v>
          </cell>
          <cell r="AK68">
            <v>0.05</v>
          </cell>
          <cell r="AL68">
            <v>0.05</v>
          </cell>
          <cell r="AM68">
            <v>0.05</v>
          </cell>
          <cell r="AN68">
            <v>0.05</v>
          </cell>
          <cell r="AO68">
            <v>0.05</v>
          </cell>
          <cell r="AP68">
            <v>0.05</v>
          </cell>
          <cell r="AQ68">
            <v>0.05</v>
          </cell>
          <cell r="AR68">
            <v>0.05</v>
          </cell>
          <cell r="AS68">
            <v>0.05</v>
          </cell>
          <cell r="AT68">
            <v>0.05</v>
          </cell>
          <cell r="AU68">
            <v>0.05</v>
          </cell>
          <cell r="AV68">
            <v>0.05</v>
          </cell>
          <cell r="AW68">
            <v>0.05</v>
          </cell>
          <cell r="AX68">
            <v>0.05</v>
          </cell>
          <cell r="AY68">
            <v>0.05</v>
          </cell>
        </row>
        <row r="69">
          <cell r="F69">
            <v>0.1</v>
          </cell>
          <cell r="G69">
            <v>0.1</v>
          </cell>
          <cell r="H69">
            <v>0.1</v>
          </cell>
          <cell r="I69">
            <v>0.1</v>
          </cell>
          <cell r="J69">
            <v>0.1</v>
          </cell>
          <cell r="K69">
            <v>0.1</v>
          </cell>
          <cell r="L69">
            <v>0.1</v>
          </cell>
          <cell r="N69">
            <v>0.1</v>
          </cell>
          <cell r="O69">
            <v>0.1</v>
          </cell>
          <cell r="P69">
            <v>0.1</v>
          </cell>
          <cell r="Q69">
            <v>0.1</v>
          </cell>
          <cell r="R69">
            <v>0.1</v>
          </cell>
          <cell r="S69">
            <v>0.1</v>
          </cell>
          <cell r="T69">
            <v>0.1</v>
          </cell>
          <cell r="U69">
            <v>0.1</v>
          </cell>
          <cell r="V69">
            <v>0.1</v>
          </cell>
          <cell r="W69">
            <v>0.1</v>
          </cell>
          <cell r="X69">
            <v>0.1</v>
          </cell>
          <cell r="Y69">
            <v>0.1</v>
          </cell>
          <cell r="Z69">
            <v>0.1</v>
          </cell>
          <cell r="AA69">
            <v>0.1</v>
          </cell>
          <cell r="AB69">
            <v>0.1</v>
          </cell>
          <cell r="AC69">
            <v>0.1</v>
          </cell>
          <cell r="AD69">
            <v>0.1</v>
          </cell>
          <cell r="AE69">
            <v>0.1</v>
          </cell>
          <cell r="AF69">
            <v>0.1</v>
          </cell>
          <cell r="AG69">
            <v>0.1</v>
          </cell>
          <cell r="AH69">
            <v>0.1</v>
          </cell>
          <cell r="AI69">
            <v>0.1</v>
          </cell>
          <cell r="AJ69">
            <v>0.1</v>
          </cell>
          <cell r="AK69">
            <v>0.1</v>
          </cell>
          <cell r="AL69">
            <v>0.1</v>
          </cell>
          <cell r="AM69">
            <v>0.1</v>
          </cell>
          <cell r="AN69">
            <v>0.1</v>
          </cell>
          <cell r="AO69">
            <v>0.1</v>
          </cell>
          <cell r="AP69">
            <v>0.1</v>
          </cell>
          <cell r="AQ69">
            <v>0.1</v>
          </cell>
          <cell r="AR69">
            <v>0.1</v>
          </cell>
          <cell r="AS69">
            <v>0.1</v>
          </cell>
          <cell r="AT69">
            <v>0.1</v>
          </cell>
          <cell r="AU69">
            <v>0.1</v>
          </cell>
          <cell r="AV69">
            <v>0.1</v>
          </cell>
          <cell r="AW69">
            <v>0.1</v>
          </cell>
          <cell r="AX69">
            <v>0.1</v>
          </cell>
          <cell r="AY69">
            <v>0.1</v>
          </cell>
        </row>
        <row r="70">
          <cell r="F70">
            <v>0.15</v>
          </cell>
          <cell r="G70">
            <v>0.15</v>
          </cell>
          <cell r="H70">
            <v>0.15</v>
          </cell>
          <cell r="I70">
            <v>0.15</v>
          </cell>
          <cell r="J70">
            <v>0.15</v>
          </cell>
          <cell r="K70">
            <v>0.15</v>
          </cell>
          <cell r="L70">
            <v>0.15</v>
          </cell>
          <cell r="N70">
            <v>0.15</v>
          </cell>
          <cell r="O70">
            <v>0.15</v>
          </cell>
          <cell r="P70">
            <v>0.15</v>
          </cell>
          <cell r="Q70">
            <v>0.15</v>
          </cell>
          <cell r="R70">
            <v>0.15</v>
          </cell>
          <cell r="S70">
            <v>0.15</v>
          </cell>
          <cell r="T70">
            <v>0.15</v>
          </cell>
          <cell r="U70">
            <v>0.15</v>
          </cell>
          <cell r="V70">
            <v>0.15</v>
          </cell>
          <cell r="W70">
            <v>0.15</v>
          </cell>
          <cell r="X70">
            <v>0.15</v>
          </cell>
          <cell r="Y70">
            <v>0.15</v>
          </cell>
          <cell r="Z70">
            <v>0.15</v>
          </cell>
          <cell r="AA70">
            <v>0.15</v>
          </cell>
          <cell r="AB70">
            <v>0.15</v>
          </cell>
          <cell r="AC70">
            <v>0.15</v>
          </cell>
          <cell r="AD70">
            <v>0.15</v>
          </cell>
          <cell r="AE70">
            <v>0.15</v>
          </cell>
          <cell r="AF70">
            <v>0.15</v>
          </cell>
          <cell r="AG70">
            <v>0.15</v>
          </cell>
          <cell r="AH70">
            <v>0.15</v>
          </cell>
          <cell r="AI70">
            <v>0.15</v>
          </cell>
          <cell r="AJ70">
            <v>0.15</v>
          </cell>
          <cell r="AK70">
            <v>0.15</v>
          </cell>
          <cell r="AL70">
            <v>0.15</v>
          </cell>
          <cell r="AM70">
            <v>0.15</v>
          </cell>
          <cell r="AN70">
            <v>0.15</v>
          </cell>
          <cell r="AO70">
            <v>0.15</v>
          </cell>
          <cell r="AP70">
            <v>0.15</v>
          </cell>
          <cell r="AQ70">
            <v>0.15</v>
          </cell>
          <cell r="AR70">
            <v>0.15</v>
          </cell>
          <cell r="AS70">
            <v>0.15</v>
          </cell>
          <cell r="AT70">
            <v>0.15</v>
          </cell>
          <cell r="AU70">
            <v>0.15</v>
          </cell>
          <cell r="AV70">
            <v>0.15</v>
          </cell>
          <cell r="AW70">
            <v>0.15</v>
          </cell>
          <cell r="AX70">
            <v>0.15</v>
          </cell>
          <cell r="AY70">
            <v>0.15</v>
          </cell>
        </row>
        <row r="71">
          <cell r="F71">
            <v>0.2</v>
          </cell>
          <cell r="G71">
            <v>0.2</v>
          </cell>
          <cell r="H71">
            <v>0.2</v>
          </cell>
          <cell r="I71">
            <v>0.2</v>
          </cell>
          <cell r="J71">
            <v>0.2</v>
          </cell>
          <cell r="K71">
            <v>0.2</v>
          </cell>
          <cell r="L71">
            <v>0.2</v>
          </cell>
          <cell r="N71">
            <v>0.2</v>
          </cell>
          <cell r="O71">
            <v>0.2</v>
          </cell>
          <cell r="P71">
            <v>0.2</v>
          </cell>
          <cell r="Q71">
            <v>0.2</v>
          </cell>
          <cell r="R71">
            <v>0.2</v>
          </cell>
          <cell r="S71">
            <v>0.2</v>
          </cell>
          <cell r="T71">
            <v>0.2</v>
          </cell>
          <cell r="U71">
            <v>0.2</v>
          </cell>
          <cell r="V71">
            <v>0.2</v>
          </cell>
          <cell r="W71">
            <v>0.2</v>
          </cell>
          <cell r="X71">
            <v>0.2</v>
          </cell>
          <cell r="Y71">
            <v>0.2</v>
          </cell>
          <cell r="Z71">
            <v>0.2</v>
          </cell>
          <cell r="AA71">
            <v>0.2</v>
          </cell>
          <cell r="AB71">
            <v>0.2</v>
          </cell>
          <cell r="AC71">
            <v>0.2</v>
          </cell>
          <cell r="AD71">
            <v>0.2</v>
          </cell>
          <cell r="AE71">
            <v>0.2</v>
          </cell>
          <cell r="AF71">
            <v>0.2</v>
          </cell>
          <cell r="AG71">
            <v>0.2</v>
          </cell>
          <cell r="AH71">
            <v>0.2</v>
          </cell>
          <cell r="AI71">
            <v>0.2</v>
          </cell>
          <cell r="AJ71">
            <v>0.2</v>
          </cell>
          <cell r="AK71">
            <v>0.2</v>
          </cell>
          <cell r="AL71">
            <v>0.2</v>
          </cell>
          <cell r="AM71">
            <v>0.2</v>
          </cell>
          <cell r="AN71">
            <v>0.2</v>
          </cell>
          <cell r="AO71">
            <v>0.2</v>
          </cell>
          <cell r="AP71">
            <v>0.2</v>
          </cell>
          <cell r="AQ71">
            <v>0.2</v>
          </cell>
          <cell r="AR71">
            <v>0.2</v>
          </cell>
          <cell r="AS71">
            <v>0.2</v>
          </cell>
          <cell r="AT71">
            <v>0.2</v>
          </cell>
          <cell r="AU71">
            <v>0.2</v>
          </cell>
          <cell r="AV71">
            <v>0.2</v>
          </cell>
          <cell r="AW71">
            <v>0.2</v>
          </cell>
          <cell r="AX71">
            <v>0.2</v>
          </cell>
          <cell r="AY71">
            <v>0.2</v>
          </cell>
        </row>
        <row r="72">
          <cell r="E72">
            <v>0</v>
          </cell>
          <cell r="F72">
            <v>0</v>
          </cell>
          <cell r="G72">
            <v>0</v>
          </cell>
          <cell r="H72">
            <v>0</v>
          </cell>
          <cell r="I72">
            <v>0</v>
          </cell>
          <cell r="J72">
            <v>0</v>
          </cell>
          <cell r="K72">
            <v>0</v>
          </cell>
          <cell r="L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row>
        <row r="73">
          <cell r="E73">
            <v>0</v>
          </cell>
          <cell r="F73">
            <v>0</v>
          </cell>
          <cell r="G73">
            <v>0</v>
          </cell>
          <cell r="H73">
            <v>0</v>
          </cell>
          <cell r="I73">
            <v>0</v>
          </cell>
          <cell r="J73">
            <v>0</v>
          </cell>
          <cell r="K73">
            <v>0</v>
          </cell>
          <cell r="L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4">
          <cell r="C74">
            <v>832074.88</v>
          </cell>
          <cell r="E74">
            <v>832074.88</v>
          </cell>
          <cell r="F74">
            <v>10161.36</v>
          </cell>
          <cell r="G74">
            <v>10422.790000000001</v>
          </cell>
          <cell r="H74">
            <v>15886.41</v>
          </cell>
          <cell r="I74">
            <v>0</v>
          </cell>
          <cell r="J74">
            <v>0</v>
          </cell>
          <cell r="K74">
            <v>354.6</v>
          </cell>
          <cell r="L74">
            <v>795249.72</v>
          </cell>
          <cell r="N74">
            <v>795249.72</v>
          </cell>
          <cell r="O74">
            <v>27500</v>
          </cell>
          <cell r="P74">
            <v>674397.76</v>
          </cell>
          <cell r="Q74">
            <v>902.05</v>
          </cell>
          <cell r="R74">
            <v>6593.62</v>
          </cell>
          <cell r="S74">
            <v>86.25</v>
          </cell>
          <cell r="T74">
            <v>216.5</v>
          </cell>
          <cell r="U74">
            <v>11631.39</v>
          </cell>
          <cell r="V74">
            <v>0</v>
          </cell>
          <cell r="W74">
            <v>0</v>
          </cell>
          <cell r="X74">
            <v>0</v>
          </cell>
          <cell r="Y74">
            <v>2274.83</v>
          </cell>
          <cell r="Z74">
            <v>10.5</v>
          </cell>
          <cell r="AA74">
            <v>4571.6499999999996</v>
          </cell>
          <cell r="AB74">
            <v>0</v>
          </cell>
          <cell r="AC74">
            <v>4288.58</v>
          </cell>
          <cell r="AD74">
            <v>0</v>
          </cell>
          <cell r="AE74">
            <v>4144.58</v>
          </cell>
          <cell r="AF74">
            <v>0</v>
          </cell>
          <cell r="AG74">
            <v>0</v>
          </cell>
          <cell r="AH74">
            <v>105.46</v>
          </cell>
          <cell r="AI74">
            <v>0</v>
          </cell>
          <cell r="AJ74">
            <v>0</v>
          </cell>
          <cell r="AK74">
            <v>18458.55</v>
          </cell>
          <cell r="AL74">
            <v>4971.08</v>
          </cell>
          <cell r="AM74">
            <v>2398.4499999999998</v>
          </cell>
          <cell r="AN74">
            <v>1625.25</v>
          </cell>
          <cell r="AO74">
            <v>25.66</v>
          </cell>
          <cell r="AP74">
            <v>23021.89</v>
          </cell>
          <cell r="AQ74">
            <v>0</v>
          </cell>
          <cell r="AR74">
            <v>722.21</v>
          </cell>
          <cell r="AS74">
            <v>490.52</v>
          </cell>
          <cell r="AT74">
            <v>52.09</v>
          </cell>
          <cell r="AU74">
            <v>0</v>
          </cell>
          <cell r="AV74">
            <v>4120.8500000000004</v>
          </cell>
          <cell r="AW74">
            <v>2640</v>
          </cell>
          <cell r="AX74">
            <v>0</v>
          </cell>
          <cell r="AY74">
            <v>0</v>
          </cell>
        </row>
        <row r="75">
          <cell r="C75">
            <v>11297.27</v>
          </cell>
          <cell r="D75">
            <v>0</v>
          </cell>
          <cell r="E75">
            <v>11297.27</v>
          </cell>
          <cell r="F75">
            <v>0</v>
          </cell>
          <cell r="G75">
            <v>882.75</v>
          </cell>
          <cell r="H75">
            <v>2591.4299999999998</v>
          </cell>
          <cell r="I75">
            <v>0</v>
          </cell>
          <cell r="J75">
            <v>0</v>
          </cell>
          <cell r="K75">
            <v>17.82</v>
          </cell>
          <cell r="L75">
            <v>7805.27</v>
          </cell>
          <cell r="N75">
            <v>7805.27</v>
          </cell>
          <cell r="O75">
            <v>0</v>
          </cell>
          <cell r="P75">
            <v>0</v>
          </cell>
          <cell r="Q75">
            <v>0</v>
          </cell>
          <cell r="R75">
            <v>620.29</v>
          </cell>
          <cell r="S75">
            <v>0</v>
          </cell>
          <cell r="T75">
            <v>3767.3</v>
          </cell>
          <cell r="U75">
            <v>0</v>
          </cell>
          <cell r="V75">
            <v>0</v>
          </cell>
          <cell r="W75">
            <v>0</v>
          </cell>
          <cell r="X75">
            <v>0</v>
          </cell>
          <cell r="Y75">
            <v>1342.17</v>
          </cell>
          <cell r="Z75">
            <v>60</v>
          </cell>
          <cell r="AA75">
            <v>2015.51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6">
          <cell r="C76">
            <v>13998.54</v>
          </cell>
          <cell r="D76">
            <v>0</v>
          </cell>
          <cell r="E76">
            <v>13998.54</v>
          </cell>
          <cell r="F76">
            <v>0</v>
          </cell>
          <cell r="G76">
            <v>0</v>
          </cell>
          <cell r="H76">
            <v>0</v>
          </cell>
          <cell r="I76">
            <v>0</v>
          </cell>
          <cell r="J76">
            <v>0</v>
          </cell>
          <cell r="K76">
            <v>0</v>
          </cell>
          <cell r="L76">
            <v>13998.54</v>
          </cell>
          <cell r="N76">
            <v>13998.54</v>
          </cell>
          <cell r="O76">
            <v>0</v>
          </cell>
          <cell r="P76">
            <v>0</v>
          </cell>
          <cell r="Q76">
            <v>13998.54</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row>
        <row r="77">
          <cell r="C77">
            <v>3698.4</v>
          </cell>
          <cell r="D77">
            <v>0</v>
          </cell>
          <cell r="E77">
            <v>3698.4</v>
          </cell>
          <cell r="F77">
            <v>0</v>
          </cell>
          <cell r="G77">
            <v>0</v>
          </cell>
          <cell r="H77">
            <v>0</v>
          </cell>
          <cell r="I77">
            <v>0</v>
          </cell>
          <cell r="J77">
            <v>0</v>
          </cell>
          <cell r="K77">
            <v>2600</v>
          </cell>
          <cell r="L77">
            <v>1098.4000000000001</v>
          </cell>
          <cell r="N77">
            <v>1098.4000000000001</v>
          </cell>
          <cell r="O77">
            <v>0</v>
          </cell>
          <cell r="P77">
            <v>0</v>
          </cell>
          <cell r="Q77">
            <v>1098.4000000000001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8">
          <cell r="C78">
            <v>861069.09</v>
          </cell>
          <cell r="D78">
            <v>0</v>
          </cell>
          <cell r="E78">
            <v>861069.09</v>
          </cell>
          <cell r="F78">
            <v>10161.36</v>
          </cell>
          <cell r="G78">
            <v>11305.54</v>
          </cell>
          <cell r="H78">
            <v>18477.84</v>
          </cell>
          <cell r="I78">
            <v>0</v>
          </cell>
          <cell r="J78">
            <v>0</v>
          </cell>
          <cell r="K78">
            <v>2972.42</v>
          </cell>
          <cell r="L78">
            <v>818151.93</v>
          </cell>
          <cell r="N78">
            <v>818151.93</v>
          </cell>
          <cell r="O78">
            <v>27500</v>
          </cell>
          <cell r="P78">
            <v>674397.76</v>
          </cell>
          <cell r="Q78">
            <v>15998.99</v>
          </cell>
          <cell r="R78">
            <v>7213.91</v>
          </cell>
          <cell r="S78">
            <v>86.25</v>
          </cell>
          <cell r="T78">
            <v>3983.8</v>
          </cell>
          <cell r="U78">
            <v>11631.39</v>
          </cell>
          <cell r="V78">
            <v>0</v>
          </cell>
          <cell r="W78">
            <v>0</v>
          </cell>
          <cell r="X78">
            <v>0</v>
          </cell>
          <cell r="Y78">
            <v>3617</v>
          </cell>
          <cell r="Z78">
            <v>70.5</v>
          </cell>
          <cell r="AA78">
            <v>6587.16</v>
          </cell>
          <cell r="AB78">
            <v>0</v>
          </cell>
          <cell r="AC78">
            <v>4288.58</v>
          </cell>
          <cell r="AD78">
            <v>0</v>
          </cell>
          <cell r="AE78">
            <v>4144.58</v>
          </cell>
          <cell r="AF78">
            <v>0</v>
          </cell>
          <cell r="AG78">
            <v>0</v>
          </cell>
          <cell r="AH78">
            <v>105.46</v>
          </cell>
          <cell r="AI78">
            <v>0</v>
          </cell>
          <cell r="AJ78">
            <v>0</v>
          </cell>
          <cell r="AK78">
            <v>18458.55</v>
          </cell>
          <cell r="AL78">
            <v>4971.08</v>
          </cell>
          <cell r="AM78">
            <v>2398.4499999999998</v>
          </cell>
          <cell r="AN78">
            <v>1625.25</v>
          </cell>
          <cell r="AO78">
            <v>25.66</v>
          </cell>
          <cell r="AP78">
            <v>23021.89</v>
          </cell>
          <cell r="AQ78">
            <v>0</v>
          </cell>
          <cell r="AR78">
            <v>722.21</v>
          </cell>
          <cell r="AS78">
            <v>490.52</v>
          </cell>
          <cell r="AT78">
            <v>52.09</v>
          </cell>
          <cell r="AU78">
            <v>0</v>
          </cell>
          <cell r="AV78">
            <v>4120.8500000000004</v>
          </cell>
          <cell r="AW78">
            <v>2640</v>
          </cell>
          <cell r="AX78">
            <v>0</v>
          </cell>
          <cell r="AY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0">
          <cell r="C80">
            <v>0</v>
          </cell>
          <cell r="E80">
            <v>0</v>
          </cell>
          <cell r="L80">
            <v>0</v>
          </cell>
          <cell r="N80">
            <v>0</v>
          </cell>
        </row>
        <row r="81">
          <cell r="C81">
            <v>175736.54</v>
          </cell>
          <cell r="E81">
            <v>175736.54</v>
          </cell>
          <cell r="F81">
            <v>28530.68</v>
          </cell>
          <cell r="G81">
            <v>16039.79</v>
          </cell>
          <cell r="H81">
            <v>5043.62</v>
          </cell>
          <cell r="I81">
            <v>5136.88</v>
          </cell>
          <cell r="K81">
            <v>1958.91</v>
          </cell>
          <cell r="L81">
            <v>193303.22</v>
          </cell>
          <cell r="N81">
            <v>193303.22</v>
          </cell>
          <cell r="P81">
            <v>85318.75</v>
          </cell>
          <cell r="Q81">
            <v>13748.51</v>
          </cell>
          <cell r="R81">
            <v>678.55</v>
          </cell>
          <cell r="S81">
            <v>3948.5</v>
          </cell>
          <cell r="T81">
            <v>1883.65</v>
          </cell>
          <cell r="V81">
            <v>40</v>
          </cell>
          <cell r="Y81">
            <v>1723.72</v>
          </cell>
          <cell r="Z81">
            <v>3801.26</v>
          </cell>
          <cell r="AA81">
            <v>1718.89</v>
          </cell>
          <cell r="AE81">
            <v>74276.56</v>
          </cell>
          <cell r="AJ81">
            <v>1217.72</v>
          </cell>
          <cell r="AK81">
            <v>4072.46</v>
          </cell>
          <cell r="AL81">
            <v>678.56</v>
          </cell>
          <cell r="AP81">
            <v>0</v>
          </cell>
          <cell r="AR81">
            <v>196.09</v>
          </cell>
        </row>
        <row r="82">
          <cell r="C82">
            <v>703701.87</v>
          </cell>
          <cell r="E82">
            <v>703701.87</v>
          </cell>
          <cell r="F82">
            <v>0</v>
          </cell>
          <cell r="G82">
            <v>-4734.25</v>
          </cell>
          <cell r="H82">
            <v>13434.22</v>
          </cell>
          <cell r="I82">
            <v>-5136.88</v>
          </cell>
          <cell r="K82">
            <v>1013.51</v>
          </cell>
          <cell r="L82">
            <v>624848.71</v>
          </cell>
          <cell r="N82">
            <v>624848.71</v>
          </cell>
          <cell r="O82">
            <v>27500</v>
          </cell>
          <cell r="P82">
            <v>589079.01</v>
          </cell>
          <cell r="Q82">
            <v>2250.48</v>
          </cell>
          <cell r="R82">
            <v>6535.36</v>
          </cell>
          <cell r="S82">
            <v>-3862.25</v>
          </cell>
          <cell r="T82">
            <v>2100.15</v>
          </cell>
          <cell r="U82">
            <v>11631.39</v>
          </cell>
          <cell r="V82">
            <v>-40</v>
          </cell>
          <cell r="X82">
            <v>0</v>
          </cell>
          <cell r="Y82">
            <v>1893.28</v>
          </cell>
          <cell r="Z82">
            <v>-3730.76</v>
          </cell>
          <cell r="AA82">
            <v>4868.2700000000004</v>
          </cell>
          <cell r="AC82">
            <v>4288.58</v>
          </cell>
          <cell r="AD82">
            <v>0</v>
          </cell>
          <cell r="AE82">
            <v>-70131.98</v>
          </cell>
          <cell r="AG82">
            <v>0</v>
          </cell>
          <cell r="AH82">
            <v>105.46</v>
          </cell>
          <cell r="AJ82">
            <v>-1217.72</v>
          </cell>
          <cell r="AK82">
            <v>14386.09</v>
          </cell>
          <cell r="AL82">
            <v>4292.5200000000004</v>
          </cell>
          <cell r="AM82">
            <v>2398.4499999999998</v>
          </cell>
          <cell r="AN82">
            <v>1625.25</v>
          </cell>
          <cell r="AO82">
            <v>25.66</v>
          </cell>
          <cell r="AP82">
            <v>23021.89</v>
          </cell>
          <cell r="AQ82">
            <v>0</v>
          </cell>
          <cell r="AR82">
            <v>526.12</v>
          </cell>
          <cell r="AS82">
            <v>490.52</v>
          </cell>
          <cell r="AT82">
            <v>52.09</v>
          </cell>
          <cell r="AV82">
            <v>4120.8500000000004</v>
          </cell>
          <cell r="AW82">
            <v>2640</v>
          </cell>
        </row>
        <row r="83">
          <cell r="C83">
            <v>0</v>
          </cell>
          <cell r="E83">
            <v>0</v>
          </cell>
          <cell r="L83">
            <v>0</v>
          </cell>
          <cell r="N83">
            <v>0</v>
          </cell>
          <cell r="AP83">
            <v>0</v>
          </cell>
        </row>
        <row r="84">
          <cell r="C84">
            <v>18369.32</v>
          </cell>
          <cell r="E84">
            <v>18369.32</v>
          </cell>
          <cell r="F84">
            <v>18369.32</v>
          </cell>
          <cell r="L84">
            <v>0</v>
          </cell>
          <cell r="N84">
            <v>0</v>
          </cell>
          <cell r="AP84">
            <v>0</v>
          </cell>
        </row>
        <row r="85">
          <cell r="C85">
            <v>861069.09</v>
          </cell>
          <cell r="D85">
            <v>0</v>
          </cell>
          <cell r="E85">
            <v>861069.09</v>
          </cell>
          <cell r="F85">
            <v>10161.36</v>
          </cell>
          <cell r="G85">
            <v>11305.54</v>
          </cell>
          <cell r="H85">
            <v>18477.84</v>
          </cell>
          <cell r="I85">
            <v>0</v>
          </cell>
          <cell r="J85">
            <v>0</v>
          </cell>
          <cell r="K85">
            <v>2972.42</v>
          </cell>
          <cell r="L85">
            <v>818151.93</v>
          </cell>
          <cell r="M85">
            <v>0</v>
          </cell>
          <cell r="N85">
            <v>818151.93</v>
          </cell>
          <cell r="O85">
            <v>27500</v>
          </cell>
          <cell r="P85">
            <v>674397.76</v>
          </cell>
          <cell r="Q85">
            <v>15998.99</v>
          </cell>
          <cell r="R85">
            <v>7213.91</v>
          </cell>
          <cell r="S85">
            <v>86.25</v>
          </cell>
          <cell r="T85">
            <v>3983.8</v>
          </cell>
          <cell r="U85">
            <v>11631.39</v>
          </cell>
          <cell r="V85">
            <v>0</v>
          </cell>
          <cell r="W85">
            <v>0</v>
          </cell>
          <cell r="X85">
            <v>0</v>
          </cell>
          <cell r="Y85">
            <v>3617</v>
          </cell>
          <cell r="Z85">
            <v>70.5</v>
          </cell>
          <cell r="AA85">
            <v>6587.16</v>
          </cell>
          <cell r="AB85">
            <v>0</v>
          </cell>
          <cell r="AC85">
            <v>4288.58</v>
          </cell>
          <cell r="AD85">
            <v>0</v>
          </cell>
          <cell r="AE85">
            <v>4144.58</v>
          </cell>
          <cell r="AF85">
            <v>0</v>
          </cell>
          <cell r="AG85">
            <v>0</v>
          </cell>
          <cell r="AH85">
            <v>105.46</v>
          </cell>
          <cell r="AI85">
            <v>0</v>
          </cell>
          <cell r="AJ85">
            <v>0</v>
          </cell>
          <cell r="AK85">
            <v>18458.55</v>
          </cell>
          <cell r="AL85">
            <v>4971.08</v>
          </cell>
          <cell r="AM85">
            <v>2398.4499999999998</v>
          </cell>
          <cell r="AN85">
            <v>1625.25</v>
          </cell>
          <cell r="AO85">
            <v>25.66</v>
          </cell>
          <cell r="AP85">
            <v>23021.89</v>
          </cell>
          <cell r="AQ85">
            <v>0</v>
          </cell>
          <cell r="AR85">
            <v>722.21</v>
          </cell>
          <cell r="AS85">
            <v>490.52</v>
          </cell>
          <cell r="AT85">
            <v>52.09</v>
          </cell>
          <cell r="AU85">
            <v>0</v>
          </cell>
          <cell r="AV85">
            <v>4120.8500000000004</v>
          </cell>
          <cell r="AW85">
            <v>2640</v>
          </cell>
          <cell r="AX85">
            <v>0</v>
          </cell>
          <cell r="AY85">
            <v>0</v>
          </cell>
        </row>
        <row r="86">
          <cell r="C86">
            <v>0</v>
          </cell>
          <cell r="E86">
            <v>0</v>
          </cell>
          <cell r="L86">
            <v>0</v>
          </cell>
          <cell r="N86">
            <v>0</v>
          </cell>
        </row>
        <row r="87">
          <cell r="C87">
            <v>0</v>
          </cell>
          <cell r="E87">
            <v>0</v>
          </cell>
          <cell r="L87">
            <v>0</v>
          </cell>
          <cell r="N87">
            <v>0</v>
          </cell>
        </row>
        <row r="88">
          <cell r="C88">
            <v>7208304.2400000002</v>
          </cell>
          <cell r="E88">
            <v>7208304.2400000002</v>
          </cell>
          <cell r="F88">
            <v>262128.2</v>
          </cell>
          <cell r="L88">
            <v>6946176.04</v>
          </cell>
          <cell r="N88">
            <v>6946176.04</v>
          </cell>
          <cell r="AC88">
            <v>6757186.6799999997</v>
          </cell>
          <cell r="AQ88">
            <v>188989.36</v>
          </cell>
        </row>
        <row r="89">
          <cell r="C89">
            <v>12405956.07</v>
          </cell>
          <cell r="E89">
            <v>12405956.07</v>
          </cell>
          <cell r="F89">
            <v>154178.79999999999</v>
          </cell>
          <cell r="G89">
            <v>585834.68999999994</v>
          </cell>
          <cell r="H89">
            <v>194281.66</v>
          </cell>
          <cell r="I89">
            <v>187565.68</v>
          </cell>
          <cell r="J89">
            <v>660245.14</v>
          </cell>
          <cell r="K89">
            <v>136901.60999999999</v>
          </cell>
          <cell r="L89">
            <v>367409880.47000003</v>
          </cell>
          <cell r="M89">
            <v>-356922931.98000002</v>
          </cell>
          <cell r="N89">
            <v>10486948.49</v>
          </cell>
          <cell r="O89">
            <v>173195365.68000001</v>
          </cell>
          <cell r="P89">
            <v>3901829</v>
          </cell>
          <cell r="Q89">
            <v>54043623.5</v>
          </cell>
          <cell r="R89">
            <v>2104477.04</v>
          </cell>
          <cell r="S89">
            <v>216334.07999999999</v>
          </cell>
          <cell r="T89">
            <v>2128459.08</v>
          </cell>
          <cell r="U89">
            <v>7649274.8200000003</v>
          </cell>
          <cell r="V89">
            <v>279764.59000000003</v>
          </cell>
          <cell r="W89">
            <v>28418031.530000001</v>
          </cell>
          <cell r="X89">
            <v>27746452.100000001</v>
          </cell>
          <cell r="Y89">
            <v>4151334.09</v>
          </cell>
          <cell r="Z89">
            <v>617996.56000000006</v>
          </cell>
          <cell r="AA89">
            <v>7637171.46</v>
          </cell>
          <cell r="AB89">
            <v>-4965054.9800000004</v>
          </cell>
          <cell r="AC89">
            <v>6751912.6600000001</v>
          </cell>
          <cell r="AD89">
            <v>8925622.2699999996</v>
          </cell>
          <cell r="AE89">
            <v>-8255807</v>
          </cell>
          <cell r="AF89">
            <v>1343306.94</v>
          </cell>
          <cell r="AG89">
            <v>7259646.8700000001</v>
          </cell>
          <cell r="AH89">
            <v>10256947.939999999</v>
          </cell>
          <cell r="AI89">
            <v>15682461.539999999</v>
          </cell>
          <cell r="AJ89">
            <v>337025.55</v>
          </cell>
          <cell r="AK89">
            <v>-1172051.77</v>
          </cell>
          <cell r="AL89">
            <v>-1011850.82</v>
          </cell>
          <cell r="AM89">
            <v>3200142.8</v>
          </cell>
          <cell r="AN89">
            <v>7355121.6500000004</v>
          </cell>
          <cell r="AO89">
            <v>1027212.73</v>
          </cell>
          <cell r="AP89">
            <v>-7685.85</v>
          </cell>
          <cell r="AQ89">
            <v>188989.36</v>
          </cell>
          <cell r="AR89">
            <v>274638.03000000003</v>
          </cell>
          <cell r="AS89">
            <v>168091.05</v>
          </cell>
          <cell r="AT89">
            <v>2386916.65</v>
          </cell>
          <cell r="AU89">
            <v>460048.13</v>
          </cell>
          <cell r="AV89">
            <v>998571.41</v>
          </cell>
          <cell r="AW89">
            <v>3507615.94</v>
          </cell>
          <cell r="AX89">
            <v>455589.64</v>
          </cell>
          <cell r="AY89">
            <v>152356.20000000001</v>
          </cell>
        </row>
        <row r="90">
          <cell r="C90">
            <v>5279885.1100000003</v>
          </cell>
          <cell r="E90">
            <v>5279885.1100000003</v>
          </cell>
          <cell r="F90">
            <v>107949.4</v>
          </cell>
          <cell r="G90">
            <v>921825.37</v>
          </cell>
          <cell r="H90">
            <v>365562.34</v>
          </cell>
          <cell r="L90">
            <v>3884548</v>
          </cell>
          <cell r="N90">
            <v>3884548</v>
          </cell>
          <cell r="Q90">
            <v>-12302.75</v>
          </cell>
          <cell r="U90">
            <v>0</v>
          </cell>
          <cell r="Y90">
            <v>37119.22</v>
          </cell>
          <cell r="Z90">
            <v>5000</v>
          </cell>
          <cell r="AA90">
            <v>35025</v>
          </cell>
          <cell r="AB90">
            <v>552874.21</v>
          </cell>
          <cell r="AC90">
            <v>79706.009999999995</v>
          </cell>
          <cell r="AI90">
            <v>375071</v>
          </cell>
          <cell r="AJ90">
            <v>100000</v>
          </cell>
          <cell r="AL90">
            <v>2712055.31</v>
          </cell>
        </row>
        <row r="91">
          <cell r="C91">
            <v>38010.980000000003</v>
          </cell>
          <cell r="E91">
            <v>38010.980000000003</v>
          </cell>
          <cell r="K91">
            <v>38010.980000000003</v>
          </cell>
          <cell r="L91">
            <v>0</v>
          </cell>
          <cell r="N91">
            <v>0</v>
          </cell>
          <cell r="U91">
            <v>0</v>
          </cell>
        </row>
        <row r="92">
          <cell r="C92">
            <v>2103214.41</v>
          </cell>
          <cell r="E92">
            <v>2103214.41</v>
          </cell>
          <cell r="K92">
            <v>432755.59</v>
          </cell>
          <cell r="L92">
            <v>1670458.82</v>
          </cell>
          <cell r="N92">
            <v>1670458.82</v>
          </cell>
          <cell r="O92">
            <v>1670458.82</v>
          </cell>
          <cell r="U92">
            <v>0</v>
          </cell>
        </row>
        <row r="93">
          <cell r="C93">
            <v>19827066.57</v>
          </cell>
          <cell r="E93">
            <v>19827066.57</v>
          </cell>
          <cell r="F93">
            <v>262128.2</v>
          </cell>
          <cell r="G93">
            <v>1507660.06</v>
          </cell>
          <cell r="H93">
            <v>559844</v>
          </cell>
          <cell r="I93">
            <v>187565.68</v>
          </cell>
          <cell r="J93">
            <v>660245.14</v>
          </cell>
          <cell r="K93">
            <v>607668.18000000005</v>
          </cell>
          <cell r="L93">
            <v>372964887.29000002</v>
          </cell>
          <cell r="M93">
            <v>-356922931.98000002</v>
          </cell>
          <cell r="N93">
            <v>16041955.310000001</v>
          </cell>
          <cell r="O93">
            <v>174865824.5</v>
          </cell>
          <cell r="P93">
            <v>3901829</v>
          </cell>
          <cell r="Q93">
            <v>54031320.75</v>
          </cell>
          <cell r="R93">
            <v>2104477.04</v>
          </cell>
          <cell r="S93">
            <v>216334.07999999999</v>
          </cell>
          <cell r="T93">
            <v>2128459.08</v>
          </cell>
          <cell r="U93">
            <v>7649274.8200000003</v>
          </cell>
          <cell r="V93">
            <v>279764.59000000003</v>
          </cell>
          <cell r="W93">
            <v>28418031.530000001</v>
          </cell>
          <cell r="X93">
            <v>27746452.100000001</v>
          </cell>
          <cell r="Y93">
            <v>4188453.31</v>
          </cell>
          <cell r="Z93">
            <v>622996.56000000006</v>
          </cell>
          <cell r="AA93">
            <v>7672196.46</v>
          </cell>
          <cell r="AB93">
            <v>-4412180.7699999996</v>
          </cell>
          <cell r="AC93">
            <v>6831618.6699999999</v>
          </cell>
          <cell r="AD93">
            <v>8925622.2699999996</v>
          </cell>
          <cell r="AE93">
            <v>-8255807</v>
          </cell>
          <cell r="AF93">
            <v>1343306.94</v>
          </cell>
          <cell r="AG93">
            <v>7259646.8700000001</v>
          </cell>
          <cell r="AH93">
            <v>10256947.939999999</v>
          </cell>
          <cell r="AI93">
            <v>16057532.539999999</v>
          </cell>
          <cell r="AJ93">
            <v>437025.55</v>
          </cell>
          <cell r="AK93">
            <v>-1172051.77</v>
          </cell>
          <cell r="AL93">
            <v>1700204.49</v>
          </cell>
          <cell r="AM93">
            <v>3200142.8</v>
          </cell>
          <cell r="AN93">
            <v>7355121.6500000004</v>
          </cell>
          <cell r="AO93">
            <v>1027212.73</v>
          </cell>
          <cell r="AP93">
            <v>-7685.85</v>
          </cell>
          <cell r="AQ93">
            <v>188989.36</v>
          </cell>
          <cell r="AR93">
            <v>274638.03000000003</v>
          </cell>
          <cell r="AS93">
            <v>168091.05</v>
          </cell>
          <cell r="AT93">
            <v>2386916.65</v>
          </cell>
          <cell r="AU93">
            <v>460048.13</v>
          </cell>
          <cell r="AV93">
            <v>998571.41</v>
          </cell>
          <cell r="AW93">
            <v>3507615.94</v>
          </cell>
          <cell r="AX93">
            <v>455589.64</v>
          </cell>
          <cell r="AY93">
            <v>152356.20000000001</v>
          </cell>
        </row>
        <row r="94">
          <cell r="C94">
            <v>0</v>
          </cell>
          <cell r="E94">
            <v>0</v>
          </cell>
          <cell r="L94">
            <v>0</v>
          </cell>
          <cell r="N94">
            <v>0</v>
          </cell>
        </row>
        <row r="95">
          <cell r="C95">
            <v>0</v>
          </cell>
          <cell r="E95">
            <v>0</v>
          </cell>
          <cell r="L95">
            <v>0</v>
          </cell>
          <cell r="N95">
            <v>0</v>
          </cell>
        </row>
        <row r="96">
          <cell r="C96">
            <v>0</v>
          </cell>
          <cell r="E96">
            <v>0</v>
          </cell>
          <cell r="L96">
            <v>356922931.98000002</v>
          </cell>
          <cell r="M96">
            <v>-356922931.98000002</v>
          </cell>
          <cell r="N96">
            <v>0</v>
          </cell>
          <cell r="O96">
            <v>170982000.66999999</v>
          </cell>
          <cell r="P96">
            <v>3900000</v>
          </cell>
          <cell r="Q96">
            <v>53700000</v>
          </cell>
          <cell r="R96">
            <v>2056000</v>
          </cell>
          <cell r="S96">
            <v>43400</v>
          </cell>
          <cell r="T96">
            <v>1907919.48</v>
          </cell>
          <cell r="U96">
            <v>7444000</v>
          </cell>
          <cell r="V96">
            <v>171248.33</v>
          </cell>
          <cell r="W96">
            <v>28293916.739999998</v>
          </cell>
          <cell r="X96">
            <v>27728375.640000001</v>
          </cell>
          <cell r="Y96">
            <v>3798446.95</v>
          </cell>
          <cell r="Z96">
            <v>280.08</v>
          </cell>
          <cell r="AA96">
            <v>7382129.0499999998</v>
          </cell>
          <cell r="AB96">
            <v>-5147680</v>
          </cell>
          <cell r="AC96">
            <v>6179400.9000000004</v>
          </cell>
          <cell r="AD96">
            <v>8916758.2699999996</v>
          </cell>
          <cell r="AE96">
            <v>-8313353.0499999998</v>
          </cell>
          <cell r="AF96">
            <v>1296095.55</v>
          </cell>
          <cell r="AG96">
            <v>7073977.5199999996</v>
          </cell>
          <cell r="AH96">
            <v>10217850</v>
          </cell>
          <cell r="AI96">
            <v>15632979.300000001</v>
          </cell>
          <cell r="AJ96">
            <v>0</v>
          </cell>
          <cell r="AK96">
            <v>-1270468</v>
          </cell>
          <cell r="AL96">
            <v>-1097447.47</v>
          </cell>
          <cell r="AM96">
            <v>3200000</v>
          </cell>
          <cell r="AN96">
            <v>7153675.1799999997</v>
          </cell>
          <cell r="AO96">
            <v>921354.55</v>
          </cell>
          <cell r="AP96">
            <v>-766208.76</v>
          </cell>
          <cell r="AQ96">
            <v>18.05</v>
          </cell>
          <cell r="AR96">
            <v>120208.5</v>
          </cell>
          <cell r="AS96">
            <v>216.2</v>
          </cell>
          <cell r="AT96">
            <v>2039248.31</v>
          </cell>
          <cell r="AV96">
            <v>962409.36</v>
          </cell>
          <cell r="AW96">
            <v>2396180.63</v>
          </cell>
        </row>
        <row r="97">
          <cell r="C97">
            <v>0</v>
          </cell>
          <cell r="E97">
            <v>0</v>
          </cell>
          <cell r="L97">
            <v>0</v>
          </cell>
          <cell r="N97">
            <v>0</v>
          </cell>
        </row>
        <row r="98">
          <cell r="C98">
            <v>0</v>
          </cell>
          <cell r="E98">
            <v>0</v>
          </cell>
          <cell r="L98">
            <v>0</v>
          </cell>
          <cell r="N98">
            <v>0</v>
          </cell>
        </row>
        <row r="99">
          <cell r="C99">
            <v>0</v>
          </cell>
          <cell r="E99">
            <v>0</v>
          </cell>
          <cell r="L99">
            <v>0</v>
          </cell>
          <cell r="N99">
            <v>0</v>
          </cell>
        </row>
        <row r="100">
          <cell r="C100">
            <v>0</v>
          </cell>
          <cell r="E100">
            <v>0</v>
          </cell>
          <cell r="L100">
            <v>356922931.98000002</v>
          </cell>
          <cell r="M100">
            <v>-356922931.98000002</v>
          </cell>
          <cell r="N100">
            <v>0</v>
          </cell>
          <cell r="O100">
            <v>170982000.66999999</v>
          </cell>
          <cell r="P100">
            <v>3900000</v>
          </cell>
          <cell r="Q100">
            <v>53700000</v>
          </cell>
          <cell r="R100">
            <v>2056000</v>
          </cell>
          <cell r="S100">
            <v>43400</v>
          </cell>
          <cell r="T100">
            <v>1907919.48</v>
          </cell>
          <cell r="U100">
            <v>7444000</v>
          </cell>
          <cell r="V100">
            <v>171248.33</v>
          </cell>
          <cell r="W100">
            <v>28293916.739999998</v>
          </cell>
          <cell r="X100">
            <v>27728375.640000001</v>
          </cell>
          <cell r="Y100">
            <v>3798446.95</v>
          </cell>
          <cell r="Z100">
            <v>280.08</v>
          </cell>
          <cell r="AA100">
            <v>7382129.0499999998</v>
          </cell>
          <cell r="AB100">
            <v>-5147680</v>
          </cell>
          <cell r="AC100">
            <v>6179400.9000000004</v>
          </cell>
          <cell r="AD100">
            <v>8916758.2699999996</v>
          </cell>
          <cell r="AE100">
            <v>-8313353.0499999998</v>
          </cell>
          <cell r="AF100">
            <v>1296095.55</v>
          </cell>
          <cell r="AG100">
            <v>7073977.5199999996</v>
          </cell>
          <cell r="AH100">
            <v>10217850</v>
          </cell>
          <cell r="AI100">
            <v>15632979.300000001</v>
          </cell>
          <cell r="AJ100">
            <v>0</v>
          </cell>
          <cell r="AK100">
            <v>-1270468</v>
          </cell>
          <cell r="AL100">
            <v>-1097447.47</v>
          </cell>
          <cell r="AM100">
            <v>3200000</v>
          </cell>
          <cell r="AN100">
            <v>7153675.1799999997</v>
          </cell>
          <cell r="AO100">
            <v>921354.55</v>
          </cell>
          <cell r="AP100">
            <v>-766208.76</v>
          </cell>
          <cell r="AQ100">
            <v>18.05</v>
          </cell>
          <cell r="AR100">
            <v>120208.5</v>
          </cell>
          <cell r="AS100">
            <v>216.2</v>
          </cell>
          <cell r="AT100">
            <v>2039248.31</v>
          </cell>
          <cell r="AU100">
            <v>0</v>
          </cell>
          <cell r="AV100">
            <v>962409.36</v>
          </cell>
          <cell r="AW100">
            <v>2396180.63</v>
          </cell>
          <cell r="AX100">
            <v>0</v>
          </cell>
          <cell r="AY100">
            <v>0</v>
          </cell>
        </row>
        <row r="101">
          <cell r="C101">
            <v>0</v>
          </cell>
          <cell r="E101">
            <v>0</v>
          </cell>
          <cell r="N101">
            <v>0</v>
          </cell>
        </row>
        <row r="103">
          <cell r="F103">
            <v>0.05</v>
          </cell>
          <cell r="G103">
            <v>0.05</v>
          </cell>
          <cell r="H103">
            <v>0.05</v>
          </cell>
          <cell r="I103">
            <v>0.05</v>
          </cell>
          <cell r="J103">
            <v>0.05</v>
          </cell>
          <cell r="K103">
            <v>0.05</v>
          </cell>
          <cell r="L103">
            <v>0.05</v>
          </cell>
          <cell r="N103">
            <v>0.05</v>
          </cell>
          <cell r="O103">
            <v>0.05</v>
          </cell>
          <cell r="P103">
            <v>0.05</v>
          </cell>
          <cell r="Q103">
            <v>0.05</v>
          </cell>
          <cell r="R103">
            <v>0.05</v>
          </cell>
          <cell r="S103">
            <v>0.05</v>
          </cell>
          <cell r="T103">
            <v>0.05</v>
          </cell>
          <cell r="U103">
            <v>0.05</v>
          </cell>
          <cell r="V103">
            <v>0.05</v>
          </cell>
          <cell r="W103">
            <v>0.05</v>
          </cell>
          <cell r="X103">
            <v>0.05</v>
          </cell>
          <cell r="Y103">
            <v>0.05</v>
          </cell>
          <cell r="Z103">
            <v>0.05</v>
          </cell>
          <cell r="AA103">
            <v>0.05</v>
          </cell>
          <cell r="AB103">
            <v>0.05</v>
          </cell>
          <cell r="AC103">
            <v>0.05</v>
          </cell>
          <cell r="AD103">
            <v>0.05</v>
          </cell>
          <cell r="AE103">
            <v>0.05</v>
          </cell>
          <cell r="AF103">
            <v>0.05</v>
          </cell>
          <cell r="AG103">
            <v>0.05</v>
          </cell>
          <cell r="AH103">
            <v>0.05</v>
          </cell>
          <cell r="AI103">
            <v>0.05</v>
          </cell>
          <cell r="AJ103">
            <v>0.05</v>
          </cell>
          <cell r="AK103">
            <v>0.05</v>
          </cell>
          <cell r="AL103">
            <v>0.05</v>
          </cell>
          <cell r="AM103">
            <v>0.05</v>
          </cell>
          <cell r="AN103">
            <v>0.05</v>
          </cell>
          <cell r="AO103">
            <v>0.05</v>
          </cell>
          <cell r="AP103">
            <v>0.05</v>
          </cell>
          <cell r="AQ103">
            <v>0.05</v>
          </cell>
          <cell r="AR103">
            <v>0.05</v>
          </cell>
          <cell r="AS103">
            <v>0.05</v>
          </cell>
          <cell r="AT103">
            <v>0.05</v>
          </cell>
          <cell r="AU103">
            <v>0.05</v>
          </cell>
          <cell r="AV103">
            <v>0.05</v>
          </cell>
          <cell r="AW103">
            <v>0.05</v>
          </cell>
          <cell r="AX103">
            <v>0.05</v>
          </cell>
          <cell r="AY103">
            <v>0.05</v>
          </cell>
        </row>
        <row r="104">
          <cell r="F104">
            <v>0.1</v>
          </cell>
          <cell r="G104">
            <v>0.1</v>
          </cell>
          <cell r="H104">
            <v>0.1</v>
          </cell>
          <cell r="I104">
            <v>0.1</v>
          </cell>
          <cell r="J104">
            <v>0.1</v>
          </cell>
          <cell r="K104">
            <v>0.1</v>
          </cell>
          <cell r="L104">
            <v>0.1</v>
          </cell>
          <cell r="N104">
            <v>0.1</v>
          </cell>
          <cell r="O104">
            <v>0.1</v>
          </cell>
          <cell r="P104">
            <v>0.1</v>
          </cell>
          <cell r="Q104">
            <v>0.1</v>
          </cell>
          <cell r="R104">
            <v>0.1</v>
          </cell>
          <cell r="S104">
            <v>0.1</v>
          </cell>
          <cell r="T104">
            <v>0.1</v>
          </cell>
          <cell r="U104">
            <v>0.1</v>
          </cell>
          <cell r="V104">
            <v>0.1</v>
          </cell>
          <cell r="W104">
            <v>0.1</v>
          </cell>
          <cell r="X104">
            <v>0.1</v>
          </cell>
          <cell r="Y104">
            <v>0.1</v>
          </cell>
          <cell r="Z104">
            <v>0.1</v>
          </cell>
          <cell r="AA104">
            <v>0.1</v>
          </cell>
          <cell r="AB104">
            <v>0.1</v>
          </cell>
          <cell r="AC104">
            <v>0.1</v>
          </cell>
          <cell r="AD104">
            <v>0.1</v>
          </cell>
          <cell r="AE104">
            <v>0.1</v>
          </cell>
          <cell r="AF104">
            <v>0.1</v>
          </cell>
          <cell r="AG104">
            <v>0.1</v>
          </cell>
          <cell r="AH104">
            <v>0.1</v>
          </cell>
          <cell r="AI104">
            <v>0.1</v>
          </cell>
          <cell r="AJ104">
            <v>0.1</v>
          </cell>
          <cell r="AK104">
            <v>0.1</v>
          </cell>
          <cell r="AL104">
            <v>0.1</v>
          </cell>
          <cell r="AM104">
            <v>0.1</v>
          </cell>
          <cell r="AN104">
            <v>0.1</v>
          </cell>
          <cell r="AO104">
            <v>0.1</v>
          </cell>
          <cell r="AP104">
            <v>0.1</v>
          </cell>
          <cell r="AQ104">
            <v>0.1</v>
          </cell>
          <cell r="AR104">
            <v>0.1</v>
          </cell>
          <cell r="AS104">
            <v>0.1</v>
          </cell>
          <cell r="AT104">
            <v>0.1</v>
          </cell>
          <cell r="AU104">
            <v>0.1</v>
          </cell>
          <cell r="AV104">
            <v>0.1</v>
          </cell>
          <cell r="AW104">
            <v>0.1</v>
          </cell>
          <cell r="AX104">
            <v>0.1</v>
          </cell>
          <cell r="AY104">
            <v>0.1</v>
          </cell>
        </row>
        <row r="105">
          <cell r="F105">
            <v>0.15</v>
          </cell>
          <cell r="G105">
            <v>0.15</v>
          </cell>
          <cell r="H105">
            <v>0.15</v>
          </cell>
          <cell r="I105">
            <v>0.15</v>
          </cell>
          <cell r="J105">
            <v>0.15</v>
          </cell>
          <cell r="K105">
            <v>0.15</v>
          </cell>
          <cell r="L105">
            <v>0.15</v>
          </cell>
          <cell r="N105">
            <v>0.15</v>
          </cell>
          <cell r="O105">
            <v>0.15</v>
          </cell>
          <cell r="P105">
            <v>0.15</v>
          </cell>
          <cell r="Q105">
            <v>0.15</v>
          </cell>
          <cell r="R105">
            <v>0.15</v>
          </cell>
          <cell r="S105">
            <v>0.15</v>
          </cell>
          <cell r="T105">
            <v>0.15</v>
          </cell>
          <cell r="U105">
            <v>0.15</v>
          </cell>
          <cell r="V105">
            <v>0.15</v>
          </cell>
          <cell r="W105">
            <v>0.15</v>
          </cell>
          <cell r="X105">
            <v>0.15</v>
          </cell>
          <cell r="Y105">
            <v>0.15</v>
          </cell>
          <cell r="Z105">
            <v>0.15</v>
          </cell>
          <cell r="AA105">
            <v>0.15</v>
          </cell>
          <cell r="AB105">
            <v>0.15</v>
          </cell>
          <cell r="AC105">
            <v>0.15</v>
          </cell>
          <cell r="AD105">
            <v>0.15</v>
          </cell>
          <cell r="AE105">
            <v>0.15</v>
          </cell>
          <cell r="AF105">
            <v>0.15</v>
          </cell>
          <cell r="AG105">
            <v>0.15</v>
          </cell>
          <cell r="AH105">
            <v>0.15</v>
          </cell>
          <cell r="AI105">
            <v>0.15</v>
          </cell>
          <cell r="AJ105">
            <v>0.15</v>
          </cell>
          <cell r="AK105">
            <v>0.15</v>
          </cell>
          <cell r="AL105">
            <v>0.15</v>
          </cell>
          <cell r="AM105">
            <v>0.15</v>
          </cell>
          <cell r="AN105">
            <v>0.15</v>
          </cell>
          <cell r="AO105">
            <v>0.15</v>
          </cell>
          <cell r="AP105">
            <v>0.15</v>
          </cell>
          <cell r="AQ105">
            <v>0.15</v>
          </cell>
          <cell r="AR105">
            <v>0.15</v>
          </cell>
          <cell r="AS105">
            <v>0.15</v>
          </cell>
          <cell r="AT105">
            <v>0.15</v>
          </cell>
          <cell r="AU105">
            <v>0.15</v>
          </cell>
          <cell r="AV105">
            <v>0.15</v>
          </cell>
          <cell r="AW105">
            <v>0.15</v>
          </cell>
          <cell r="AX105">
            <v>0.15</v>
          </cell>
          <cell r="AY105">
            <v>0.15</v>
          </cell>
        </row>
        <row r="106">
          <cell r="F106">
            <v>0.2</v>
          </cell>
          <cell r="G106">
            <v>0.2</v>
          </cell>
          <cell r="H106">
            <v>0.2</v>
          </cell>
          <cell r="I106">
            <v>0.2</v>
          </cell>
          <cell r="J106">
            <v>0.2</v>
          </cell>
          <cell r="K106">
            <v>0.2</v>
          </cell>
          <cell r="L106">
            <v>0.2</v>
          </cell>
          <cell r="N106">
            <v>0.2</v>
          </cell>
          <cell r="O106">
            <v>0.2</v>
          </cell>
          <cell r="P106">
            <v>0.2</v>
          </cell>
          <cell r="Q106">
            <v>0.2</v>
          </cell>
          <cell r="R106">
            <v>0.2</v>
          </cell>
          <cell r="S106">
            <v>0.2</v>
          </cell>
          <cell r="T106">
            <v>0.2</v>
          </cell>
          <cell r="U106">
            <v>0.2</v>
          </cell>
          <cell r="V106">
            <v>0.2</v>
          </cell>
          <cell r="W106">
            <v>0.2</v>
          </cell>
          <cell r="X106">
            <v>0.2</v>
          </cell>
          <cell r="Y106">
            <v>0.2</v>
          </cell>
          <cell r="Z106">
            <v>0.2</v>
          </cell>
          <cell r="AA106">
            <v>0.2</v>
          </cell>
          <cell r="AB106">
            <v>0.2</v>
          </cell>
          <cell r="AC106">
            <v>0.2</v>
          </cell>
          <cell r="AD106">
            <v>0.2</v>
          </cell>
          <cell r="AE106">
            <v>0.2</v>
          </cell>
          <cell r="AF106">
            <v>0.2</v>
          </cell>
          <cell r="AG106">
            <v>0.2</v>
          </cell>
          <cell r="AH106">
            <v>0.2</v>
          </cell>
          <cell r="AI106">
            <v>0.2</v>
          </cell>
          <cell r="AJ106">
            <v>0.2</v>
          </cell>
          <cell r="AK106">
            <v>0.2</v>
          </cell>
          <cell r="AL106">
            <v>0.2</v>
          </cell>
          <cell r="AM106">
            <v>0.2</v>
          </cell>
          <cell r="AN106">
            <v>0.2</v>
          </cell>
          <cell r="AO106">
            <v>0.2</v>
          </cell>
          <cell r="AP106">
            <v>0.2</v>
          </cell>
          <cell r="AQ106">
            <v>0.2</v>
          </cell>
          <cell r="AR106">
            <v>0.2</v>
          </cell>
          <cell r="AS106">
            <v>0.2</v>
          </cell>
          <cell r="AT106">
            <v>0.2</v>
          </cell>
          <cell r="AU106">
            <v>0.2</v>
          </cell>
          <cell r="AV106">
            <v>0.2</v>
          </cell>
          <cell r="AW106">
            <v>0.2</v>
          </cell>
          <cell r="AX106">
            <v>0.2</v>
          </cell>
          <cell r="AY106">
            <v>0.2</v>
          </cell>
        </row>
        <row r="107">
          <cell r="F107">
            <v>0</v>
          </cell>
          <cell r="G107">
            <v>0</v>
          </cell>
          <cell r="H107">
            <v>0</v>
          </cell>
          <cell r="I107">
            <v>0</v>
          </cell>
          <cell r="J107">
            <v>0</v>
          </cell>
          <cell r="K107">
            <v>0</v>
          </cell>
          <cell r="L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row>
        <row r="108">
          <cell r="C108">
            <v>0</v>
          </cell>
          <cell r="D108">
            <v>0</v>
          </cell>
          <cell r="E108">
            <v>0</v>
          </cell>
          <cell r="F108">
            <v>0</v>
          </cell>
          <cell r="G108">
            <v>0</v>
          </cell>
          <cell r="H108">
            <v>0</v>
          </cell>
          <cell r="I108">
            <v>0</v>
          </cell>
          <cell r="J108">
            <v>0</v>
          </cell>
          <cell r="K108">
            <v>0</v>
          </cell>
          <cell r="L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row>
        <row r="109">
          <cell r="C109">
            <v>620297.80000000005</v>
          </cell>
          <cell r="D109">
            <v>0</v>
          </cell>
          <cell r="E109">
            <v>620297.80000000005</v>
          </cell>
          <cell r="F109">
            <v>7708.94</v>
          </cell>
          <cell r="G109">
            <v>29291.73</v>
          </cell>
          <cell r="H109">
            <v>9714.08</v>
          </cell>
          <cell r="I109">
            <v>9378.2800000000007</v>
          </cell>
          <cell r="J109">
            <v>33012.26</v>
          </cell>
          <cell r="K109">
            <v>6845.08</v>
          </cell>
          <cell r="L109">
            <v>524347.43000000005</v>
          </cell>
          <cell r="N109">
            <v>524347.43000000005</v>
          </cell>
          <cell r="O109">
            <v>110668.25</v>
          </cell>
          <cell r="P109">
            <v>91.45</v>
          </cell>
          <cell r="Q109">
            <v>17181.18</v>
          </cell>
          <cell r="R109">
            <v>2423.85</v>
          </cell>
          <cell r="S109">
            <v>8646.7000000000007</v>
          </cell>
          <cell r="T109">
            <v>11026.98</v>
          </cell>
          <cell r="U109">
            <v>10263.74</v>
          </cell>
          <cell r="V109">
            <v>5425.81</v>
          </cell>
          <cell r="W109">
            <v>6205.74</v>
          </cell>
          <cell r="X109">
            <v>903.82</v>
          </cell>
          <cell r="Y109">
            <v>17644.36</v>
          </cell>
          <cell r="Z109">
            <v>30885.82</v>
          </cell>
          <cell r="AA109">
            <v>12752.12</v>
          </cell>
          <cell r="AB109">
            <v>9131.25</v>
          </cell>
          <cell r="AC109">
            <v>28625.59</v>
          </cell>
          <cell r="AD109">
            <v>443.2</v>
          </cell>
          <cell r="AE109">
            <v>2877.3</v>
          </cell>
          <cell r="AF109">
            <v>2360.5700000000002</v>
          </cell>
          <cell r="AG109">
            <v>9283.4699999999993</v>
          </cell>
          <cell r="AH109">
            <v>1954.9</v>
          </cell>
          <cell r="AI109">
            <v>2474.11</v>
          </cell>
          <cell r="AJ109">
            <v>16851.28</v>
          </cell>
          <cell r="AK109">
            <v>4920.8100000000004</v>
          </cell>
          <cell r="AL109">
            <v>4279.83</v>
          </cell>
          <cell r="AM109">
            <v>7.14</v>
          </cell>
          <cell r="AN109">
            <v>10072.32</v>
          </cell>
          <cell r="AO109">
            <v>5292.91</v>
          </cell>
          <cell r="AP109">
            <v>37926.15</v>
          </cell>
          <cell r="AQ109">
            <v>9448.57</v>
          </cell>
          <cell r="AR109">
            <v>7721.48</v>
          </cell>
          <cell r="AS109">
            <v>8393.74</v>
          </cell>
          <cell r="AT109">
            <v>17383.419999999998</v>
          </cell>
          <cell r="AU109">
            <v>23002.41</v>
          </cell>
          <cell r="AV109">
            <v>1808.1</v>
          </cell>
          <cell r="AW109">
            <v>55571.77</v>
          </cell>
          <cell r="AX109">
            <v>22779.48</v>
          </cell>
          <cell r="AY109">
            <v>7617.81</v>
          </cell>
        </row>
        <row r="110">
          <cell r="C110">
            <v>527988.5</v>
          </cell>
          <cell r="D110">
            <v>0</v>
          </cell>
          <cell r="E110">
            <v>527988.5</v>
          </cell>
          <cell r="F110">
            <v>10794.94</v>
          </cell>
          <cell r="G110">
            <v>92182.54</v>
          </cell>
          <cell r="H110">
            <v>36556.230000000003</v>
          </cell>
          <cell r="I110">
            <v>0</v>
          </cell>
          <cell r="J110">
            <v>0</v>
          </cell>
          <cell r="K110">
            <v>0</v>
          </cell>
          <cell r="L110">
            <v>388454.79</v>
          </cell>
          <cell r="N110">
            <v>388454.79</v>
          </cell>
          <cell r="O110">
            <v>0</v>
          </cell>
          <cell r="P110">
            <v>0</v>
          </cell>
          <cell r="Q110">
            <v>-1230.28</v>
          </cell>
          <cell r="R110">
            <v>0</v>
          </cell>
          <cell r="S110">
            <v>0</v>
          </cell>
          <cell r="T110">
            <v>0</v>
          </cell>
          <cell r="U110">
            <v>0</v>
          </cell>
          <cell r="V110">
            <v>0</v>
          </cell>
          <cell r="W110">
            <v>0</v>
          </cell>
          <cell r="X110">
            <v>0</v>
          </cell>
          <cell r="Y110">
            <v>3711.92</v>
          </cell>
          <cell r="Z110">
            <v>500</v>
          </cell>
          <cell r="AA110">
            <v>3502.5</v>
          </cell>
          <cell r="AB110">
            <v>55287.42</v>
          </cell>
          <cell r="AC110">
            <v>7970.6</v>
          </cell>
          <cell r="AD110">
            <v>0</v>
          </cell>
          <cell r="AE110">
            <v>0</v>
          </cell>
          <cell r="AF110">
            <v>0</v>
          </cell>
          <cell r="AG110">
            <v>0</v>
          </cell>
          <cell r="AH110">
            <v>0</v>
          </cell>
          <cell r="AI110">
            <v>37507.1</v>
          </cell>
          <cell r="AJ110">
            <v>10000</v>
          </cell>
          <cell r="AK110">
            <v>0</v>
          </cell>
          <cell r="AL110">
            <v>271205.53000000003</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row>
        <row r="111">
          <cell r="C111">
            <v>5701.65</v>
          </cell>
          <cell r="D111">
            <v>0</v>
          </cell>
          <cell r="E111">
            <v>5701.65</v>
          </cell>
          <cell r="F111">
            <v>0</v>
          </cell>
          <cell r="G111">
            <v>0</v>
          </cell>
          <cell r="H111">
            <v>0</v>
          </cell>
          <cell r="I111">
            <v>0</v>
          </cell>
          <cell r="J111">
            <v>0</v>
          </cell>
          <cell r="K111">
            <v>5701.65</v>
          </cell>
          <cell r="L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row>
        <row r="112">
          <cell r="C112">
            <v>420642.88</v>
          </cell>
          <cell r="D112">
            <v>0</v>
          </cell>
          <cell r="E112">
            <v>420642.88</v>
          </cell>
          <cell r="F112">
            <v>0</v>
          </cell>
          <cell r="G112">
            <v>0</v>
          </cell>
          <cell r="H112">
            <v>0</v>
          </cell>
          <cell r="I112">
            <v>0</v>
          </cell>
          <cell r="J112">
            <v>0</v>
          </cell>
          <cell r="K112">
            <v>86551.12</v>
          </cell>
          <cell r="L112">
            <v>334091.76</v>
          </cell>
          <cell r="N112">
            <v>334091.76</v>
          </cell>
          <cell r="O112">
            <v>334091.76</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row>
        <row r="113">
          <cell r="C113">
            <v>1574630.83</v>
          </cell>
          <cell r="D113">
            <v>0</v>
          </cell>
          <cell r="E113">
            <v>1574630.83</v>
          </cell>
          <cell r="F113">
            <v>18503.88</v>
          </cell>
          <cell r="G113">
            <v>121474.27</v>
          </cell>
          <cell r="H113">
            <v>46270.31</v>
          </cell>
          <cell r="I113">
            <v>9378.2800000000007</v>
          </cell>
          <cell r="J113">
            <v>33012.26</v>
          </cell>
          <cell r="K113">
            <v>99097.85</v>
          </cell>
          <cell r="L113">
            <v>1246893.98</v>
          </cell>
          <cell r="N113">
            <v>1246893.98</v>
          </cell>
          <cell r="O113">
            <v>444760.01</v>
          </cell>
          <cell r="P113">
            <v>91.45</v>
          </cell>
          <cell r="Q113">
            <v>15950.9</v>
          </cell>
          <cell r="R113">
            <v>2423.85</v>
          </cell>
          <cell r="S113">
            <v>8646.7000000000007</v>
          </cell>
          <cell r="T113">
            <v>11026.98</v>
          </cell>
          <cell r="U113">
            <v>10263.74</v>
          </cell>
          <cell r="V113">
            <v>5425.81</v>
          </cell>
          <cell r="W113">
            <v>6205.74</v>
          </cell>
          <cell r="X113">
            <v>903.82</v>
          </cell>
          <cell r="Y113">
            <v>21356.28</v>
          </cell>
          <cell r="Z113">
            <v>31385.82</v>
          </cell>
          <cell r="AA113">
            <v>16254.62</v>
          </cell>
          <cell r="AB113">
            <v>64418.67</v>
          </cell>
          <cell r="AC113">
            <v>36596.19</v>
          </cell>
          <cell r="AD113">
            <v>443.2</v>
          </cell>
          <cell r="AE113">
            <v>2877.3</v>
          </cell>
          <cell r="AF113">
            <v>2360.5700000000002</v>
          </cell>
          <cell r="AG113">
            <v>9283.4699999999993</v>
          </cell>
          <cell r="AH113">
            <v>1954.9</v>
          </cell>
          <cell r="AI113">
            <v>39981.21</v>
          </cell>
          <cell r="AJ113">
            <v>26851.279999999999</v>
          </cell>
          <cell r="AK113">
            <v>4920.8100000000004</v>
          </cell>
          <cell r="AL113">
            <v>275485.36</v>
          </cell>
          <cell r="AM113">
            <v>7.14</v>
          </cell>
          <cell r="AN113">
            <v>10072.32</v>
          </cell>
          <cell r="AO113">
            <v>5292.91</v>
          </cell>
          <cell r="AP113">
            <v>37926.15</v>
          </cell>
          <cell r="AQ113">
            <v>9448.57</v>
          </cell>
          <cell r="AR113">
            <v>7721.48</v>
          </cell>
          <cell r="AS113">
            <v>8393.74</v>
          </cell>
          <cell r="AT113">
            <v>17383.419999999998</v>
          </cell>
          <cell r="AU113">
            <v>23002.41</v>
          </cell>
          <cell r="AV113">
            <v>1808.1</v>
          </cell>
          <cell r="AW113">
            <v>55571.77</v>
          </cell>
          <cell r="AX113">
            <v>22779.48</v>
          </cell>
          <cell r="AY113">
            <v>7617.81</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row>
        <row r="115">
          <cell r="C115">
            <v>0</v>
          </cell>
          <cell r="E115">
            <v>0</v>
          </cell>
          <cell r="L115">
            <v>0</v>
          </cell>
          <cell r="N115">
            <v>0</v>
          </cell>
          <cell r="U115">
            <v>0</v>
          </cell>
        </row>
        <row r="116">
          <cell r="C116">
            <v>1092246.56</v>
          </cell>
          <cell r="E116">
            <v>1092246.56</v>
          </cell>
          <cell r="F116">
            <v>21984.19</v>
          </cell>
          <cell r="G116">
            <v>78352.14</v>
          </cell>
          <cell r="H116">
            <v>94634.71</v>
          </cell>
          <cell r="I116">
            <v>13294.6</v>
          </cell>
          <cell r="J116">
            <v>23017.75</v>
          </cell>
          <cell r="K116">
            <v>18934.830000000002</v>
          </cell>
          <cell r="L116">
            <v>3722028.34</v>
          </cell>
          <cell r="M116">
            <v>-2880000</v>
          </cell>
          <cell r="N116">
            <v>842028.34</v>
          </cell>
          <cell r="O116">
            <v>356966.75</v>
          </cell>
          <cell r="P116">
            <v>195000</v>
          </cell>
          <cell r="Q116">
            <v>2692078.12</v>
          </cell>
          <cell r="R116">
            <v>876.19</v>
          </cell>
          <cell r="S116">
            <v>3463.34</v>
          </cell>
          <cell r="T116">
            <v>15083.58</v>
          </cell>
          <cell r="U116">
            <v>19514.02</v>
          </cell>
          <cell r="V116">
            <v>8235.91</v>
          </cell>
          <cell r="W116">
            <v>7823.78</v>
          </cell>
          <cell r="X116">
            <v>11379.41</v>
          </cell>
          <cell r="Y116">
            <v>43653.7</v>
          </cell>
          <cell r="Z116">
            <v>5216.33</v>
          </cell>
          <cell r="AA116">
            <v>74109.31</v>
          </cell>
          <cell r="AB116">
            <v>26126.98</v>
          </cell>
          <cell r="AC116">
            <v>50967.68</v>
          </cell>
          <cell r="AD116">
            <v>17999.29</v>
          </cell>
          <cell r="AE116">
            <v>40500.85</v>
          </cell>
          <cell r="AF116">
            <v>17824.73</v>
          </cell>
          <cell r="AG116">
            <v>40771.51</v>
          </cell>
          <cell r="AH116">
            <v>0</v>
          </cell>
          <cell r="AI116">
            <v>4253.8100000000004</v>
          </cell>
          <cell r="AJ116">
            <v>9699.09</v>
          </cell>
          <cell r="AK116">
            <v>22462.29</v>
          </cell>
          <cell r="AL116">
            <v>838.2</v>
          </cell>
          <cell r="AN116">
            <v>10255.959999999999</v>
          </cell>
          <cell r="AO116">
            <v>6041.36</v>
          </cell>
          <cell r="AP116">
            <v>18436.650000000001</v>
          </cell>
          <cell r="AQ116">
            <v>8069.57</v>
          </cell>
          <cell r="AR116">
            <v>6821.29</v>
          </cell>
          <cell r="AS116">
            <v>7558.64</v>
          </cell>
        </row>
        <row r="117">
          <cell r="C117">
            <v>482384.27</v>
          </cell>
          <cell r="E117">
            <v>482384.27</v>
          </cell>
          <cell r="F117">
            <v>-3480.31</v>
          </cell>
          <cell r="G117">
            <v>43122.13</v>
          </cell>
          <cell r="H117">
            <v>-48364.4</v>
          </cell>
          <cell r="I117">
            <v>-3916.32</v>
          </cell>
          <cell r="J117">
            <v>9994.51</v>
          </cell>
          <cell r="K117">
            <v>80163.02</v>
          </cell>
          <cell r="L117">
            <v>-2475134.36</v>
          </cell>
          <cell r="M117">
            <v>2880000</v>
          </cell>
          <cell r="N117">
            <v>404865.64</v>
          </cell>
          <cell r="O117">
            <v>87793.26</v>
          </cell>
          <cell r="P117">
            <v>-194908.55</v>
          </cell>
          <cell r="Q117">
            <v>-2676127.2200000002</v>
          </cell>
          <cell r="R117">
            <v>1547.66</v>
          </cell>
          <cell r="S117">
            <v>5183.3599999999997</v>
          </cell>
          <cell r="T117">
            <v>-4056.6</v>
          </cell>
          <cell r="U117">
            <v>-9250.2800000000007</v>
          </cell>
          <cell r="V117">
            <v>-2810.1</v>
          </cell>
          <cell r="W117">
            <v>-1618.04</v>
          </cell>
          <cell r="X117">
            <v>-10475.59</v>
          </cell>
          <cell r="Y117">
            <v>-22297.42</v>
          </cell>
          <cell r="Z117">
            <v>26169.49</v>
          </cell>
          <cell r="AA117">
            <v>-57854.69</v>
          </cell>
          <cell r="AB117">
            <v>38291.69</v>
          </cell>
          <cell r="AC117">
            <v>-14371.49</v>
          </cell>
          <cell r="AD117">
            <v>-17556.09</v>
          </cell>
          <cell r="AE117">
            <v>-37623.550000000003</v>
          </cell>
          <cell r="AF117">
            <v>-15464.16</v>
          </cell>
          <cell r="AG117">
            <v>-31488.04</v>
          </cell>
          <cell r="AH117">
            <v>1954.9</v>
          </cell>
          <cell r="AI117">
            <v>35727.4</v>
          </cell>
          <cell r="AJ117">
            <v>17152.189999999999</v>
          </cell>
          <cell r="AK117">
            <v>-17541.48</v>
          </cell>
          <cell r="AL117">
            <v>274647.15999999997</v>
          </cell>
          <cell r="AM117">
            <v>7.14</v>
          </cell>
          <cell r="AN117">
            <v>-183.64</v>
          </cell>
          <cell r="AO117">
            <v>-748.45</v>
          </cell>
          <cell r="AP117">
            <v>19489.5</v>
          </cell>
          <cell r="AQ117">
            <v>1379</v>
          </cell>
          <cell r="AR117">
            <v>900.19</v>
          </cell>
          <cell r="AS117">
            <v>835.1</v>
          </cell>
          <cell r="AT117">
            <v>17383.419999999998</v>
          </cell>
          <cell r="AU117">
            <v>23002.41</v>
          </cell>
          <cell r="AV117">
            <v>1808.1</v>
          </cell>
          <cell r="AW117">
            <v>55571.77</v>
          </cell>
          <cell r="AX117">
            <v>22779.48</v>
          </cell>
          <cell r="AY117">
            <v>7617.81</v>
          </cell>
        </row>
        <row r="118">
          <cell r="C118">
            <v>0</v>
          </cell>
          <cell r="E118">
            <v>0</v>
          </cell>
          <cell r="L118">
            <v>0</v>
          </cell>
          <cell r="N118">
            <v>0</v>
          </cell>
          <cell r="AP118">
            <v>0</v>
          </cell>
        </row>
        <row r="119">
          <cell r="C119">
            <v>0</v>
          </cell>
          <cell r="E119">
            <v>0</v>
          </cell>
          <cell r="L119">
            <v>0</v>
          </cell>
          <cell r="N119">
            <v>0</v>
          </cell>
          <cell r="AD119">
            <v>0</v>
          </cell>
          <cell r="AP119">
            <v>0</v>
          </cell>
        </row>
        <row r="120">
          <cell r="C120">
            <v>1574630.83</v>
          </cell>
          <cell r="D120">
            <v>0</v>
          </cell>
          <cell r="E120">
            <v>1574630.83</v>
          </cell>
          <cell r="F120">
            <v>18503.88</v>
          </cell>
          <cell r="G120">
            <v>121474.27</v>
          </cell>
          <cell r="H120">
            <v>46270.31</v>
          </cell>
          <cell r="I120">
            <v>9378.2800000000007</v>
          </cell>
          <cell r="J120">
            <v>33012.26</v>
          </cell>
          <cell r="K120">
            <v>99097.85</v>
          </cell>
          <cell r="L120">
            <v>1246893.98</v>
          </cell>
          <cell r="M120">
            <v>0</v>
          </cell>
          <cell r="N120">
            <v>1246893.98</v>
          </cell>
          <cell r="O120">
            <v>444760.01</v>
          </cell>
          <cell r="P120">
            <v>91.45</v>
          </cell>
          <cell r="Q120">
            <v>15950.9</v>
          </cell>
          <cell r="R120">
            <v>2423.85</v>
          </cell>
          <cell r="S120">
            <v>8646.7000000000007</v>
          </cell>
          <cell r="T120">
            <v>11026.98</v>
          </cell>
          <cell r="U120">
            <v>10263.74</v>
          </cell>
          <cell r="V120">
            <v>5425.81</v>
          </cell>
          <cell r="W120">
            <v>6205.74</v>
          </cell>
          <cell r="X120">
            <v>903.82</v>
          </cell>
          <cell r="Y120">
            <v>21356.28</v>
          </cell>
          <cell r="Z120">
            <v>31385.82</v>
          </cell>
          <cell r="AA120">
            <v>16254.62</v>
          </cell>
          <cell r="AB120">
            <v>64418.67</v>
          </cell>
          <cell r="AC120">
            <v>36596.19</v>
          </cell>
          <cell r="AD120">
            <v>443.2</v>
          </cell>
          <cell r="AE120">
            <v>2877.3</v>
          </cell>
          <cell r="AF120">
            <v>2360.5700000000002</v>
          </cell>
          <cell r="AG120">
            <v>9283.4699999999993</v>
          </cell>
          <cell r="AH120">
            <v>1954.9</v>
          </cell>
          <cell r="AI120">
            <v>39981.21</v>
          </cell>
          <cell r="AJ120">
            <v>26851.279999999999</v>
          </cell>
          <cell r="AK120">
            <v>4920.8100000000004</v>
          </cell>
          <cell r="AL120">
            <v>275485.36</v>
          </cell>
          <cell r="AM120">
            <v>7.14</v>
          </cell>
          <cell r="AN120">
            <v>10072.32</v>
          </cell>
          <cell r="AO120">
            <v>5292.91</v>
          </cell>
          <cell r="AP120">
            <v>37926.15</v>
          </cell>
          <cell r="AQ120">
            <v>9448.57</v>
          </cell>
          <cell r="AR120">
            <v>7721.48</v>
          </cell>
          <cell r="AS120">
            <v>8393.74</v>
          </cell>
          <cell r="AT120">
            <v>17383.419999999998</v>
          </cell>
          <cell r="AU120">
            <v>23002.41</v>
          </cell>
          <cell r="AV120">
            <v>1808.1</v>
          </cell>
          <cell r="AW120">
            <v>55571.77</v>
          </cell>
          <cell r="AX120">
            <v>22779.48</v>
          </cell>
          <cell r="AY120">
            <v>7617.81</v>
          </cell>
        </row>
        <row r="121">
          <cell r="C121">
            <v>0</v>
          </cell>
          <cell r="E121">
            <v>0</v>
          </cell>
          <cell r="L121">
            <v>0</v>
          </cell>
          <cell r="N121">
            <v>0</v>
          </cell>
        </row>
        <row r="122">
          <cell r="C122">
            <v>0</v>
          </cell>
          <cell r="E122">
            <v>0</v>
          </cell>
          <cell r="N122">
            <v>0</v>
          </cell>
          <cell r="Z122">
            <v>23461423.239999998</v>
          </cell>
          <cell r="AC122">
            <v>23461423.239999998</v>
          </cell>
        </row>
        <row r="123">
          <cell r="C123">
            <v>42019449.640000001</v>
          </cell>
          <cell r="E123">
            <v>42019449.640000001</v>
          </cell>
          <cell r="F123">
            <v>4251820.33</v>
          </cell>
          <cell r="G123">
            <v>1617356.31</v>
          </cell>
          <cell r="H123">
            <v>1096203.05</v>
          </cell>
          <cell r="I123">
            <v>41424.089999999997</v>
          </cell>
          <cell r="J123">
            <v>80364.13</v>
          </cell>
          <cell r="K123">
            <v>1024782.08</v>
          </cell>
          <cell r="L123">
            <v>532739070.41000003</v>
          </cell>
          <cell r="M123">
            <v>-498831570.75999999</v>
          </cell>
          <cell r="N123">
            <v>33907499.649999999</v>
          </cell>
          <cell r="O123">
            <v>13687478.800000001</v>
          </cell>
          <cell r="Q123">
            <v>34145035.789999999</v>
          </cell>
          <cell r="R123">
            <v>13336990.710000001</v>
          </cell>
          <cell r="S123">
            <v>6390238.3099999996</v>
          </cell>
          <cell r="T123">
            <v>4339452.26</v>
          </cell>
          <cell r="U123">
            <v>-806495.75</v>
          </cell>
          <cell r="V123">
            <v>47067459.350000001</v>
          </cell>
          <cell r="W123">
            <v>9454224.8800000008</v>
          </cell>
          <cell r="X123">
            <v>16482970.93</v>
          </cell>
          <cell r="Y123">
            <v>15272285.859999999</v>
          </cell>
          <cell r="Z123">
            <v>23461167.239999998</v>
          </cell>
          <cell r="AA123">
            <v>18337791.059999999</v>
          </cell>
          <cell r="AB123">
            <v>23207489.960000001</v>
          </cell>
          <cell r="AC123">
            <v>17233481.199999999</v>
          </cell>
          <cell r="AD123">
            <v>5453191.5</v>
          </cell>
          <cell r="AE123">
            <v>46696938.640000001</v>
          </cell>
          <cell r="AF123">
            <v>13305465.869999999</v>
          </cell>
          <cell r="AG123">
            <v>15077801</v>
          </cell>
          <cell r="AH123">
            <v>28175420.789999999</v>
          </cell>
          <cell r="AI123">
            <v>48282465.469999999</v>
          </cell>
          <cell r="AJ123">
            <v>20328686.390000001</v>
          </cell>
          <cell r="AK123">
            <v>17712750.609999999</v>
          </cell>
          <cell r="AL123">
            <v>17001711.629999999</v>
          </cell>
          <cell r="AM123">
            <v>8170610.6600000001</v>
          </cell>
          <cell r="AN123">
            <v>5874481.5099999998</v>
          </cell>
          <cell r="AO123">
            <v>7527489.6200000001</v>
          </cell>
          <cell r="AP123">
            <v>16480249.060000001</v>
          </cell>
          <cell r="AQ123">
            <v>10630527.9</v>
          </cell>
          <cell r="AR123">
            <v>1019469.92</v>
          </cell>
          <cell r="AS123">
            <v>6262587.5199999996</v>
          </cell>
          <cell r="AT123">
            <v>4846405.41</v>
          </cell>
          <cell r="AU123">
            <v>2169422.91</v>
          </cell>
          <cell r="AV123">
            <v>3216612.47</v>
          </cell>
          <cell r="AW123">
            <v>5028755.8899999997</v>
          </cell>
          <cell r="AX123">
            <v>5800000</v>
          </cell>
          <cell r="AY123">
            <v>2068455.04</v>
          </cell>
        </row>
        <row r="124">
          <cell r="C124">
            <v>849085.61</v>
          </cell>
          <cell r="E124">
            <v>849085.61</v>
          </cell>
          <cell r="G124">
            <v>55911.11</v>
          </cell>
          <cell r="H124">
            <v>35500</v>
          </cell>
          <cell r="I124">
            <v>45170</v>
          </cell>
          <cell r="K124">
            <v>55023.06</v>
          </cell>
          <cell r="L124">
            <v>657481.43999999994</v>
          </cell>
          <cell r="N124">
            <v>657481.43999999994</v>
          </cell>
          <cell r="Y124">
            <v>594473.14</v>
          </cell>
          <cell r="Z124">
            <v>256</v>
          </cell>
          <cell r="AA124">
            <v>70646.75</v>
          </cell>
          <cell r="AB124">
            <v>0</v>
          </cell>
          <cell r="AC124">
            <v>4234</v>
          </cell>
          <cell r="AD124">
            <v>1983.73</v>
          </cell>
          <cell r="AI124">
            <v>-14112.18</v>
          </cell>
          <cell r="AP124">
            <v>0</v>
          </cell>
        </row>
        <row r="125">
          <cell r="C125">
            <v>0</v>
          </cell>
          <cell r="E125">
            <v>0</v>
          </cell>
          <cell r="K125">
            <v>0</v>
          </cell>
          <cell r="L125">
            <v>0</v>
          </cell>
          <cell r="N125">
            <v>0</v>
          </cell>
          <cell r="AP125">
            <v>0</v>
          </cell>
        </row>
        <row r="126">
          <cell r="C126">
            <v>0</v>
          </cell>
          <cell r="E126">
            <v>0</v>
          </cell>
          <cell r="K126">
            <v>0</v>
          </cell>
          <cell r="L126">
            <v>0</v>
          </cell>
          <cell r="N126">
            <v>0</v>
          </cell>
          <cell r="AP126">
            <v>0</v>
          </cell>
        </row>
        <row r="127">
          <cell r="C127">
            <v>42868535.25</v>
          </cell>
          <cell r="E127">
            <v>42868535.25</v>
          </cell>
          <cell r="F127">
            <v>4251820.33</v>
          </cell>
          <cell r="G127">
            <v>1673267.42</v>
          </cell>
          <cell r="H127">
            <v>1131703.05</v>
          </cell>
          <cell r="I127">
            <v>86594.09</v>
          </cell>
          <cell r="J127">
            <v>80364.13</v>
          </cell>
          <cell r="K127">
            <v>1079805.1399999999</v>
          </cell>
          <cell r="L127">
            <v>533396551.85000002</v>
          </cell>
          <cell r="M127">
            <v>-498831570.75999999</v>
          </cell>
          <cell r="N127">
            <v>34564981.090000004</v>
          </cell>
          <cell r="O127">
            <v>13687478.800000001</v>
          </cell>
          <cell r="P127">
            <v>0</v>
          </cell>
          <cell r="Q127">
            <v>34145035.789999999</v>
          </cell>
          <cell r="R127">
            <v>13336990.710000001</v>
          </cell>
          <cell r="S127">
            <v>6390238.3099999996</v>
          </cell>
          <cell r="T127">
            <v>4339452.26</v>
          </cell>
          <cell r="U127">
            <v>-806495.75</v>
          </cell>
          <cell r="V127">
            <v>47067459.350000001</v>
          </cell>
          <cell r="W127">
            <v>9454224.8800000008</v>
          </cell>
          <cell r="X127">
            <v>16482970.93</v>
          </cell>
          <cell r="Y127">
            <v>15866759</v>
          </cell>
          <cell r="Z127">
            <v>23461423.239999998</v>
          </cell>
          <cell r="AA127">
            <v>18408437.809999999</v>
          </cell>
          <cell r="AB127">
            <v>23207489.960000001</v>
          </cell>
          <cell r="AC127">
            <v>17237715.199999999</v>
          </cell>
          <cell r="AD127">
            <v>5455175.2300000004</v>
          </cell>
          <cell r="AE127">
            <v>46696938.640000001</v>
          </cell>
          <cell r="AF127">
            <v>13305465.869999999</v>
          </cell>
          <cell r="AG127">
            <v>15077801</v>
          </cell>
          <cell r="AH127">
            <v>28175420.789999999</v>
          </cell>
          <cell r="AI127">
            <v>48268353.289999999</v>
          </cell>
          <cell r="AJ127">
            <v>20328686.390000001</v>
          </cell>
          <cell r="AK127">
            <v>17712750.609999999</v>
          </cell>
          <cell r="AL127">
            <v>17001711.629999999</v>
          </cell>
          <cell r="AM127">
            <v>8170610.6600000001</v>
          </cell>
          <cell r="AN127">
            <v>5874481.5099999998</v>
          </cell>
          <cell r="AO127">
            <v>7527489.6200000001</v>
          </cell>
          <cell r="AP127">
            <v>16480249.060000001</v>
          </cell>
          <cell r="AQ127">
            <v>10630527.9</v>
          </cell>
          <cell r="AR127">
            <v>1019469.92</v>
          </cell>
          <cell r="AS127">
            <v>6262587.5199999996</v>
          </cell>
          <cell r="AT127">
            <v>4846405.41</v>
          </cell>
          <cell r="AU127">
            <v>2169422.91</v>
          </cell>
          <cell r="AV127">
            <v>3216612.47</v>
          </cell>
          <cell r="AW127">
            <v>5028755.8899999997</v>
          </cell>
          <cell r="AX127">
            <v>5800000</v>
          </cell>
          <cell r="AY127">
            <v>2068455.04</v>
          </cell>
        </row>
        <row r="128">
          <cell r="C128">
            <v>0</v>
          </cell>
          <cell r="E128">
            <v>0</v>
          </cell>
          <cell r="L128">
            <v>0</v>
          </cell>
          <cell r="N128">
            <v>0</v>
          </cell>
        </row>
        <row r="129">
          <cell r="C129">
            <v>32152901.780000001</v>
          </cell>
          <cell r="E129">
            <v>32152901.780000001</v>
          </cell>
          <cell r="L129">
            <v>32152901.780000001</v>
          </cell>
          <cell r="N129">
            <v>32152901.780000001</v>
          </cell>
          <cell r="Z129">
            <v>8944816.3000000007</v>
          </cell>
          <cell r="AC129">
            <v>12720437.66</v>
          </cell>
          <cell r="AH129">
            <v>830994.62</v>
          </cell>
          <cell r="AQ129">
            <v>9656653.1999999993</v>
          </cell>
        </row>
        <row r="130">
          <cell r="C130">
            <v>0</v>
          </cell>
          <cell r="E130">
            <v>0</v>
          </cell>
          <cell r="L130">
            <v>0</v>
          </cell>
          <cell r="N130">
            <v>0</v>
          </cell>
          <cell r="AP130">
            <v>0</v>
          </cell>
          <cell r="AT130">
            <v>0</v>
          </cell>
        </row>
        <row r="131">
          <cell r="C131">
            <v>38408.03</v>
          </cell>
          <cell r="E131">
            <v>38408.03</v>
          </cell>
          <cell r="L131">
            <v>38408.03</v>
          </cell>
          <cell r="N131">
            <v>38408.03</v>
          </cell>
          <cell r="AN131">
            <v>38408.03</v>
          </cell>
          <cell r="AP131">
            <v>0</v>
          </cell>
          <cell r="AT131">
            <v>0</v>
          </cell>
        </row>
        <row r="132">
          <cell r="C132">
            <v>2414774.87</v>
          </cell>
          <cell r="E132">
            <v>2414774.87</v>
          </cell>
          <cell r="G132">
            <v>51117.17</v>
          </cell>
          <cell r="H132">
            <v>162872.97</v>
          </cell>
          <cell r="I132">
            <v>107562.58</v>
          </cell>
          <cell r="J132">
            <v>111514.52</v>
          </cell>
          <cell r="L132">
            <v>1981707.63</v>
          </cell>
          <cell r="N132">
            <v>1981707.63</v>
          </cell>
          <cell r="Q132">
            <v>47670.42</v>
          </cell>
          <cell r="R132">
            <v>166103.28</v>
          </cell>
          <cell r="S132">
            <v>33050.730000000003</v>
          </cell>
          <cell r="U132">
            <v>234115.57</v>
          </cell>
          <cell r="V132">
            <v>90536.57</v>
          </cell>
          <cell r="W132">
            <v>23363.78</v>
          </cell>
          <cell r="X132">
            <v>61504.09</v>
          </cell>
          <cell r="Z132">
            <v>132310.16</v>
          </cell>
          <cell r="AB132">
            <v>66164.58</v>
          </cell>
          <cell r="AC132">
            <v>93923.68</v>
          </cell>
          <cell r="AI132">
            <v>391319</v>
          </cell>
          <cell r="AN132">
            <v>56025.25</v>
          </cell>
          <cell r="AP132">
            <v>131884.43</v>
          </cell>
          <cell r="AT132">
            <v>161177.06</v>
          </cell>
          <cell r="AW132">
            <v>207457.13</v>
          </cell>
          <cell r="AX132">
            <v>50679.9</v>
          </cell>
          <cell r="AY132">
            <v>34422</v>
          </cell>
        </row>
        <row r="133">
          <cell r="C133">
            <v>0</v>
          </cell>
          <cell r="E133">
            <v>0</v>
          </cell>
          <cell r="L133">
            <v>0</v>
          </cell>
          <cell r="N133">
            <v>0</v>
          </cell>
          <cell r="AP133">
            <v>0</v>
          </cell>
        </row>
        <row r="134">
          <cell r="C134">
            <v>425013975.00999999</v>
          </cell>
          <cell r="E134">
            <v>425013975.00999999</v>
          </cell>
          <cell r="F134">
            <v>16658696.539999999</v>
          </cell>
          <cell r="G134">
            <v>27390626.129999999</v>
          </cell>
          <cell r="H134">
            <v>16480018.76</v>
          </cell>
          <cell r="I134">
            <v>9910144.6199999992</v>
          </cell>
          <cell r="J134">
            <v>5786590.5999999996</v>
          </cell>
          <cell r="K134">
            <v>7718714.3700000001</v>
          </cell>
          <cell r="L134">
            <v>341069183.99000001</v>
          </cell>
          <cell r="N134">
            <v>341069183.99000001</v>
          </cell>
          <cell r="O134">
            <v>13381959.439999999</v>
          </cell>
          <cell r="P134">
            <v>0</v>
          </cell>
          <cell r="Q134">
            <v>20143242.280000001</v>
          </cell>
          <cell r="R134">
            <v>14094083.390000001</v>
          </cell>
          <cell r="S134">
            <v>4357902.16</v>
          </cell>
          <cell r="T134">
            <v>6056152.25</v>
          </cell>
          <cell r="U134">
            <v>259399.21</v>
          </cell>
          <cell r="V134">
            <v>10015396.880000001</v>
          </cell>
          <cell r="W134">
            <v>4737261.2699999996</v>
          </cell>
          <cell r="X134">
            <v>6384555.1500000004</v>
          </cell>
          <cell r="Y134">
            <v>9207982.6600000001</v>
          </cell>
          <cell r="Z134">
            <v>8460167.8200000003</v>
          </cell>
          <cell r="AA134">
            <v>9518111.2200000007</v>
          </cell>
          <cell r="AB134">
            <v>7516372.1100000003</v>
          </cell>
          <cell r="AC134">
            <v>12077360.460000001</v>
          </cell>
          <cell r="AE134">
            <v>8369053.9000000004</v>
          </cell>
          <cell r="AF134">
            <v>10912840.199999999</v>
          </cell>
          <cell r="AG134">
            <v>5059497.41</v>
          </cell>
          <cell r="AH134">
            <v>0</v>
          </cell>
          <cell r="AI134">
            <v>15074128.220000001</v>
          </cell>
          <cell r="AJ134">
            <v>24554550.09</v>
          </cell>
          <cell r="AK134">
            <v>12509609.85</v>
          </cell>
          <cell r="AL134">
            <v>26352639.899999999</v>
          </cell>
          <cell r="AM134">
            <v>0</v>
          </cell>
          <cell r="AN134">
            <v>16216697.449999999</v>
          </cell>
          <cell r="AO134">
            <v>8265523.6900000004</v>
          </cell>
          <cell r="AP134">
            <v>24560965.890000001</v>
          </cell>
          <cell r="AQ134">
            <v>9590194.1999999993</v>
          </cell>
          <cell r="AR134">
            <v>5510490.4900000002</v>
          </cell>
          <cell r="AS134">
            <v>7153796.5099999998</v>
          </cell>
          <cell r="AT134">
            <v>5834192.7400000002</v>
          </cell>
          <cell r="AU134">
            <v>10311613.08</v>
          </cell>
          <cell r="AV134">
            <v>5315168.42</v>
          </cell>
          <cell r="AW134">
            <v>8419636.9199999999</v>
          </cell>
          <cell r="AX134">
            <v>8164799.6500000004</v>
          </cell>
          <cell r="AY134">
            <v>2683839.08</v>
          </cell>
        </row>
        <row r="135">
          <cell r="C135">
            <v>0</v>
          </cell>
          <cell r="E135">
            <v>0</v>
          </cell>
          <cell r="L135">
            <v>0</v>
          </cell>
          <cell r="N135">
            <v>0</v>
          </cell>
          <cell r="AP135">
            <v>0</v>
          </cell>
        </row>
        <row r="136">
          <cell r="C136">
            <v>10190830.15</v>
          </cell>
          <cell r="E136">
            <v>10190830.15</v>
          </cell>
          <cell r="F136">
            <v>191432.12</v>
          </cell>
          <cell r="H136">
            <v>51335</v>
          </cell>
          <cell r="I136">
            <v>469507.7</v>
          </cell>
          <cell r="J136">
            <v>182212.52</v>
          </cell>
          <cell r="K136">
            <v>17638.5</v>
          </cell>
          <cell r="L136">
            <v>9278704.3100000005</v>
          </cell>
          <cell r="N136">
            <v>9278704.3100000005</v>
          </cell>
          <cell r="O136">
            <v>1022513.8</v>
          </cell>
          <cell r="Q136">
            <v>648458.69999999995</v>
          </cell>
          <cell r="R136">
            <v>130941.7</v>
          </cell>
          <cell r="S136">
            <v>93010.52</v>
          </cell>
          <cell r="T136">
            <v>108812.87</v>
          </cell>
          <cell r="U136">
            <v>133929.24</v>
          </cell>
          <cell r="X136">
            <v>432920.48</v>
          </cell>
          <cell r="Y136">
            <v>340859.2</v>
          </cell>
          <cell r="Z136">
            <v>352338.32</v>
          </cell>
          <cell r="AA136">
            <v>388835.56</v>
          </cell>
          <cell r="AB136">
            <v>39010.57</v>
          </cell>
          <cell r="AC136">
            <v>549153.52</v>
          </cell>
          <cell r="AD136">
            <v>157604.73000000001</v>
          </cell>
          <cell r="AE136">
            <v>59379.48</v>
          </cell>
          <cell r="AF136">
            <v>8459</v>
          </cell>
          <cell r="AG136">
            <v>501059.28</v>
          </cell>
          <cell r="AH136">
            <v>365508.79</v>
          </cell>
          <cell r="AI136">
            <v>678639.24</v>
          </cell>
          <cell r="AJ136">
            <v>333377.07</v>
          </cell>
          <cell r="AK136">
            <v>12685.21</v>
          </cell>
          <cell r="AL136">
            <v>108657.15</v>
          </cell>
          <cell r="AM136">
            <v>0</v>
          </cell>
          <cell r="AN136">
            <v>58412.95</v>
          </cell>
          <cell r="AO136">
            <v>195579.74</v>
          </cell>
          <cell r="AP136">
            <v>48048.97</v>
          </cell>
          <cell r="AQ136">
            <v>66459</v>
          </cell>
          <cell r="AR136">
            <v>74363.81</v>
          </cell>
          <cell r="AS136">
            <v>25736.34</v>
          </cell>
          <cell r="AT136">
            <v>528293.38</v>
          </cell>
          <cell r="AU136">
            <v>480037.42</v>
          </cell>
          <cell r="AV136">
            <v>617046.1</v>
          </cell>
          <cell r="AW136">
            <v>123058</v>
          </cell>
          <cell r="AX136">
            <v>247963.87</v>
          </cell>
          <cell r="AY136">
            <v>347550.3</v>
          </cell>
        </row>
        <row r="137">
          <cell r="C137">
            <v>0</v>
          </cell>
          <cell r="E137">
            <v>0</v>
          </cell>
          <cell r="L137">
            <v>0</v>
          </cell>
          <cell r="N137">
            <v>0</v>
          </cell>
          <cell r="AP137">
            <v>0</v>
          </cell>
        </row>
        <row r="138">
          <cell r="C138">
            <v>0</v>
          </cell>
          <cell r="E138">
            <v>0</v>
          </cell>
          <cell r="L138">
            <v>0</v>
          </cell>
          <cell r="N138">
            <v>0</v>
          </cell>
          <cell r="AP138">
            <v>0</v>
          </cell>
          <cell r="AT138">
            <v>0</v>
          </cell>
        </row>
        <row r="139">
          <cell r="C139">
            <v>0</v>
          </cell>
          <cell r="E139">
            <v>0</v>
          </cell>
          <cell r="L139">
            <v>0</v>
          </cell>
          <cell r="N139">
            <v>0</v>
          </cell>
        </row>
        <row r="140">
          <cell r="C140">
            <v>437657988.06</v>
          </cell>
          <cell r="E140">
            <v>437657988.06</v>
          </cell>
          <cell r="F140">
            <v>16850128.66</v>
          </cell>
          <cell r="G140">
            <v>27441743.300000001</v>
          </cell>
          <cell r="H140">
            <v>16694226.73</v>
          </cell>
          <cell r="I140">
            <v>10487214.9</v>
          </cell>
          <cell r="J140">
            <v>6080317.6399999997</v>
          </cell>
          <cell r="K140">
            <v>7736352.8700000001</v>
          </cell>
          <cell r="L140">
            <v>352368003.95999998</v>
          </cell>
          <cell r="N140">
            <v>352368003.95999998</v>
          </cell>
          <cell r="O140">
            <v>14404473.24</v>
          </cell>
          <cell r="P140">
            <v>0</v>
          </cell>
          <cell r="Q140">
            <v>20839371.399999999</v>
          </cell>
          <cell r="R140">
            <v>14391128.369999999</v>
          </cell>
          <cell r="S140">
            <v>4483963.41</v>
          </cell>
          <cell r="T140">
            <v>6164965.1200000001</v>
          </cell>
          <cell r="U140">
            <v>627444.02</v>
          </cell>
          <cell r="V140">
            <v>10105933.449999999</v>
          </cell>
          <cell r="W140">
            <v>4760625.05</v>
          </cell>
          <cell r="X140">
            <v>6878979.7199999997</v>
          </cell>
          <cell r="Y140">
            <v>9548841.8599999994</v>
          </cell>
          <cell r="Z140">
            <v>8944816.3000000007</v>
          </cell>
          <cell r="AA140">
            <v>9906946.7799999993</v>
          </cell>
          <cell r="AB140">
            <v>7621547.2599999998</v>
          </cell>
          <cell r="AC140">
            <v>12720437.66</v>
          </cell>
          <cell r="AD140">
            <v>157604.73000000001</v>
          </cell>
          <cell r="AE140">
            <v>8428433.3800000008</v>
          </cell>
          <cell r="AF140">
            <v>10921299.199999999</v>
          </cell>
          <cell r="AG140">
            <v>5560556.6900000004</v>
          </cell>
          <cell r="AH140">
            <v>365508.79</v>
          </cell>
          <cell r="AI140">
            <v>16144086.460000001</v>
          </cell>
          <cell r="AJ140">
            <v>24887927.16</v>
          </cell>
          <cell r="AK140">
            <v>12522295.060000001</v>
          </cell>
          <cell r="AL140">
            <v>26461297.050000001</v>
          </cell>
          <cell r="AM140">
            <v>0</v>
          </cell>
          <cell r="AN140">
            <v>16369543.68</v>
          </cell>
          <cell r="AO140">
            <v>8461103.4299999997</v>
          </cell>
          <cell r="AP140">
            <v>24740899.289999999</v>
          </cell>
          <cell r="AQ140">
            <v>9656653.1999999993</v>
          </cell>
          <cell r="AR140">
            <v>5584854.2999999998</v>
          </cell>
          <cell r="AS140">
            <v>7179532.8499999996</v>
          </cell>
          <cell r="AT140">
            <v>6523663.1799999997</v>
          </cell>
          <cell r="AU140">
            <v>10791650.5</v>
          </cell>
          <cell r="AV140">
            <v>5932214.5199999996</v>
          </cell>
          <cell r="AW140">
            <v>8750152.0500000007</v>
          </cell>
          <cell r="AX140">
            <v>8463443.4199999999</v>
          </cell>
          <cell r="AY140">
            <v>3065811.38</v>
          </cell>
        </row>
        <row r="141">
          <cell r="C141">
            <v>0</v>
          </cell>
          <cell r="E141">
            <v>0</v>
          </cell>
          <cell r="L141">
            <v>0</v>
          </cell>
          <cell r="N141">
            <v>0</v>
          </cell>
        </row>
        <row r="142">
          <cell r="C142">
            <v>0</v>
          </cell>
          <cell r="E142">
            <v>0</v>
          </cell>
          <cell r="L142">
            <v>0</v>
          </cell>
          <cell r="N142">
            <v>0</v>
          </cell>
        </row>
        <row r="143">
          <cell r="C143">
            <v>0</v>
          </cell>
          <cell r="E143">
            <v>0</v>
          </cell>
          <cell r="L143">
            <v>0</v>
          </cell>
          <cell r="N143">
            <v>0</v>
          </cell>
        </row>
        <row r="144">
          <cell r="C144">
            <v>0</v>
          </cell>
          <cell r="E144">
            <v>0</v>
          </cell>
          <cell r="L144">
            <v>0</v>
          </cell>
          <cell r="N144">
            <v>0</v>
          </cell>
        </row>
        <row r="145">
          <cell r="C145">
            <v>0</v>
          </cell>
          <cell r="E145">
            <v>0</v>
          </cell>
          <cell r="L145">
            <v>0</v>
          </cell>
          <cell r="N145">
            <v>0</v>
          </cell>
          <cell r="AP145">
            <v>0</v>
          </cell>
        </row>
        <row r="146">
          <cell r="C146">
            <v>0</v>
          </cell>
          <cell r="E146">
            <v>0</v>
          </cell>
          <cell r="L146">
            <v>0</v>
          </cell>
          <cell r="N146">
            <v>0</v>
          </cell>
          <cell r="AP146">
            <v>0</v>
          </cell>
        </row>
        <row r="147">
          <cell r="C147">
            <v>0</v>
          </cell>
          <cell r="E147">
            <v>0</v>
          </cell>
          <cell r="L147">
            <v>0</v>
          </cell>
          <cell r="N147">
            <v>0</v>
          </cell>
          <cell r="AD147">
            <v>0</v>
          </cell>
          <cell r="AP147">
            <v>0</v>
          </cell>
        </row>
        <row r="148">
          <cell r="C148">
            <v>0</v>
          </cell>
          <cell r="E148">
            <v>0</v>
          </cell>
          <cell r="L148">
            <v>0</v>
          </cell>
          <cell r="N148">
            <v>0</v>
          </cell>
          <cell r="AP148">
            <v>0</v>
          </cell>
        </row>
        <row r="149">
          <cell r="C149">
            <v>186188.31</v>
          </cell>
          <cell r="E149">
            <v>186188.31</v>
          </cell>
          <cell r="L149">
            <v>186188.31</v>
          </cell>
          <cell r="N149">
            <v>186188.31</v>
          </cell>
          <cell r="O149">
            <v>186188.31</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C150">
            <v>0</v>
          </cell>
          <cell r="E150">
            <v>0</v>
          </cell>
          <cell r="L150">
            <v>0</v>
          </cell>
          <cell r="N150">
            <v>0</v>
          </cell>
          <cell r="AP150">
            <v>0</v>
          </cell>
        </row>
        <row r="151">
          <cell r="C151">
            <v>0</v>
          </cell>
          <cell r="E151">
            <v>0</v>
          </cell>
          <cell r="L151">
            <v>0</v>
          </cell>
          <cell r="N151">
            <v>0</v>
          </cell>
          <cell r="AP151">
            <v>0</v>
          </cell>
        </row>
        <row r="152">
          <cell r="C152">
            <v>0</v>
          </cell>
          <cell r="E152">
            <v>0</v>
          </cell>
          <cell r="L152">
            <v>0</v>
          </cell>
          <cell r="N152">
            <v>0</v>
          </cell>
          <cell r="AP152">
            <v>0</v>
          </cell>
        </row>
        <row r="153">
          <cell r="C153">
            <v>0</v>
          </cell>
          <cell r="E153">
            <v>0</v>
          </cell>
          <cell r="L153">
            <v>0</v>
          </cell>
          <cell r="N153">
            <v>0</v>
          </cell>
          <cell r="AP153">
            <v>0</v>
          </cell>
        </row>
        <row r="154">
          <cell r="C154">
            <v>0</v>
          </cell>
          <cell r="E154">
            <v>0</v>
          </cell>
          <cell r="L154">
            <v>0</v>
          </cell>
          <cell r="N154">
            <v>0</v>
          </cell>
        </row>
        <row r="155">
          <cell r="C155">
            <v>186188.31</v>
          </cell>
          <cell r="E155">
            <v>186188.31</v>
          </cell>
          <cell r="F155">
            <v>0</v>
          </cell>
          <cell r="G155">
            <v>0</v>
          </cell>
          <cell r="H155">
            <v>0</v>
          </cell>
          <cell r="I155">
            <v>0</v>
          </cell>
          <cell r="J155">
            <v>0</v>
          </cell>
          <cell r="K155">
            <v>0</v>
          </cell>
          <cell r="L155">
            <v>186188.31</v>
          </cell>
          <cell r="N155">
            <v>186188.31</v>
          </cell>
          <cell r="O155">
            <v>186188.31</v>
          </cell>
          <cell r="P155">
            <v>0</v>
          </cell>
          <cell r="Q155">
            <v>0</v>
          </cell>
          <cell r="R155">
            <v>0</v>
          </cell>
          <cell r="S155">
            <v>0</v>
          </cell>
          <cell r="T155">
            <v>0</v>
          </cell>
          <cell r="U155">
            <v>0</v>
          </cell>
          <cell r="V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6">
          <cell r="C156">
            <v>0</v>
          </cell>
          <cell r="E156">
            <v>0</v>
          </cell>
          <cell r="L156">
            <v>0</v>
          </cell>
          <cell r="N156">
            <v>0</v>
          </cell>
          <cell r="AP156">
            <v>0</v>
          </cell>
        </row>
        <row r="157">
          <cell r="C157">
            <v>0</v>
          </cell>
          <cell r="E157">
            <v>0</v>
          </cell>
          <cell r="L157">
            <v>0</v>
          </cell>
          <cell r="N157">
            <v>0</v>
          </cell>
          <cell r="AP157">
            <v>0</v>
          </cell>
        </row>
        <row r="158">
          <cell r="C158">
            <v>0</v>
          </cell>
          <cell r="E158">
            <v>0</v>
          </cell>
          <cell r="L158">
            <v>0</v>
          </cell>
          <cell r="N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row>
        <row r="159">
          <cell r="C159">
            <v>0</v>
          </cell>
          <cell r="E159">
            <v>0</v>
          </cell>
          <cell r="L159">
            <v>0</v>
          </cell>
          <cell r="N159">
            <v>0</v>
          </cell>
          <cell r="AP159">
            <v>0</v>
          </cell>
        </row>
        <row r="160">
          <cell r="C160">
            <v>796168.47</v>
          </cell>
          <cell r="E160">
            <v>796168.47</v>
          </cell>
          <cell r="I160">
            <v>153526</v>
          </cell>
          <cell r="L160">
            <v>642642.47</v>
          </cell>
          <cell r="N160">
            <v>642642.47</v>
          </cell>
          <cell r="O160">
            <v>109530</v>
          </cell>
          <cell r="T160">
            <v>26068</v>
          </cell>
          <cell r="Y160">
            <v>1250</v>
          </cell>
          <cell r="AA160">
            <v>133716.29999999999</v>
          </cell>
          <cell r="AB160">
            <v>30817</v>
          </cell>
          <cell r="AC160">
            <v>4315</v>
          </cell>
          <cell r="AF160">
            <v>1825.36</v>
          </cell>
          <cell r="AG160">
            <v>0</v>
          </cell>
          <cell r="AH160">
            <v>0</v>
          </cell>
          <cell r="AI160">
            <v>0</v>
          </cell>
          <cell r="AJ160">
            <v>71554</v>
          </cell>
          <cell r="AK160">
            <v>132817.66</v>
          </cell>
          <cell r="AL160">
            <v>0</v>
          </cell>
          <cell r="AM160">
            <v>0</v>
          </cell>
          <cell r="AN160">
            <v>0</v>
          </cell>
          <cell r="AO160">
            <v>0</v>
          </cell>
          <cell r="AP160">
            <v>0</v>
          </cell>
          <cell r="AQ160">
            <v>0</v>
          </cell>
          <cell r="AR160">
            <v>0</v>
          </cell>
          <cell r="AS160">
            <v>0</v>
          </cell>
          <cell r="AT160">
            <v>0</v>
          </cell>
          <cell r="AU160">
            <v>130749.15</v>
          </cell>
          <cell r="AV160">
            <v>0</v>
          </cell>
          <cell r="AW160">
            <v>0</v>
          </cell>
          <cell r="AX160">
            <v>0</v>
          </cell>
          <cell r="AY160">
            <v>0</v>
          </cell>
        </row>
        <row r="161">
          <cell r="C161">
            <v>0</v>
          </cell>
          <cell r="E161">
            <v>0</v>
          </cell>
          <cell r="L161">
            <v>0</v>
          </cell>
          <cell r="N161">
            <v>0</v>
          </cell>
          <cell r="AP161">
            <v>0</v>
          </cell>
        </row>
        <row r="162">
          <cell r="C162">
            <v>0</v>
          </cell>
          <cell r="E162">
            <v>0</v>
          </cell>
          <cell r="L162">
            <v>0</v>
          </cell>
          <cell r="N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row>
        <row r="163">
          <cell r="C163">
            <v>0</v>
          </cell>
          <cell r="E163">
            <v>0</v>
          </cell>
          <cell r="L163">
            <v>0</v>
          </cell>
          <cell r="N163">
            <v>0</v>
          </cell>
          <cell r="AP163">
            <v>0</v>
          </cell>
        </row>
        <row r="164">
          <cell r="C164">
            <v>0</v>
          </cell>
          <cell r="E164">
            <v>0</v>
          </cell>
          <cell r="L164">
            <v>0</v>
          </cell>
          <cell r="N164">
            <v>0</v>
          </cell>
          <cell r="AP164">
            <v>0</v>
          </cell>
        </row>
        <row r="165">
          <cell r="C165">
            <v>0</v>
          </cell>
          <cell r="E165">
            <v>0</v>
          </cell>
          <cell r="L165">
            <v>0</v>
          </cell>
          <cell r="N165">
            <v>0</v>
          </cell>
        </row>
        <row r="166">
          <cell r="C166">
            <v>796168.47</v>
          </cell>
          <cell r="E166">
            <v>796168.47</v>
          </cell>
          <cell r="F166">
            <v>0</v>
          </cell>
          <cell r="G166">
            <v>0</v>
          </cell>
          <cell r="H166">
            <v>0</v>
          </cell>
          <cell r="I166">
            <v>153526</v>
          </cell>
          <cell r="J166">
            <v>0</v>
          </cell>
          <cell r="K166">
            <v>0</v>
          </cell>
          <cell r="L166">
            <v>642642.47</v>
          </cell>
          <cell r="N166">
            <v>642642.47</v>
          </cell>
          <cell r="O166">
            <v>109530</v>
          </cell>
          <cell r="P166">
            <v>0</v>
          </cell>
          <cell r="Q166">
            <v>0</v>
          </cell>
          <cell r="R166">
            <v>0</v>
          </cell>
          <cell r="S166">
            <v>0</v>
          </cell>
          <cell r="T166">
            <v>26068</v>
          </cell>
          <cell r="U166">
            <v>0</v>
          </cell>
          <cell r="V166">
            <v>0</v>
          </cell>
          <cell r="Y166">
            <v>1250</v>
          </cell>
          <cell r="Z166">
            <v>0</v>
          </cell>
          <cell r="AA166">
            <v>133716.29999999999</v>
          </cell>
          <cell r="AB166">
            <v>30817</v>
          </cell>
          <cell r="AC166">
            <v>4315</v>
          </cell>
          <cell r="AD166">
            <v>0</v>
          </cell>
          <cell r="AE166">
            <v>0</v>
          </cell>
          <cell r="AF166">
            <v>1825.36</v>
          </cell>
          <cell r="AG166">
            <v>0</v>
          </cell>
          <cell r="AH166">
            <v>0</v>
          </cell>
          <cell r="AI166">
            <v>0</v>
          </cell>
          <cell r="AJ166">
            <v>71554</v>
          </cell>
          <cell r="AK166">
            <v>132817.66</v>
          </cell>
          <cell r="AL166">
            <v>0</v>
          </cell>
          <cell r="AM166">
            <v>0</v>
          </cell>
          <cell r="AN166">
            <v>0</v>
          </cell>
          <cell r="AO166">
            <v>0</v>
          </cell>
          <cell r="AP166">
            <v>0</v>
          </cell>
          <cell r="AQ166">
            <v>0</v>
          </cell>
          <cell r="AR166">
            <v>0</v>
          </cell>
          <cell r="AS166">
            <v>0</v>
          </cell>
          <cell r="AT166">
            <v>0</v>
          </cell>
          <cell r="AU166">
            <v>130749.15</v>
          </cell>
          <cell r="AV166">
            <v>0</v>
          </cell>
          <cell r="AW166">
            <v>0</v>
          </cell>
          <cell r="AX166">
            <v>0</v>
          </cell>
          <cell r="AY166">
            <v>0</v>
          </cell>
        </row>
        <row r="167">
          <cell r="C167">
            <v>0</v>
          </cell>
          <cell r="E167">
            <v>0</v>
          </cell>
          <cell r="L167">
            <v>0</v>
          </cell>
          <cell r="N167">
            <v>0</v>
          </cell>
          <cell r="AP167">
            <v>0</v>
          </cell>
        </row>
        <row r="168">
          <cell r="C168">
            <v>0</v>
          </cell>
          <cell r="E168">
            <v>0</v>
          </cell>
          <cell r="L168">
            <v>0</v>
          </cell>
          <cell r="N168">
            <v>0</v>
          </cell>
          <cell r="AP168">
            <v>0</v>
          </cell>
        </row>
        <row r="169">
          <cell r="C169">
            <v>0</v>
          </cell>
          <cell r="E169">
            <v>0</v>
          </cell>
          <cell r="L169">
            <v>0</v>
          </cell>
          <cell r="N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row>
        <row r="170">
          <cell r="C170">
            <v>0</v>
          </cell>
          <cell r="E170">
            <v>0</v>
          </cell>
          <cell r="L170">
            <v>0</v>
          </cell>
          <cell r="N170">
            <v>0</v>
          </cell>
          <cell r="AP170">
            <v>0</v>
          </cell>
        </row>
        <row r="171">
          <cell r="C171">
            <v>0</v>
          </cell>
          <cell r="E171">
            <v>0</v>
          </cell>
          <cell r="L171">
            <v>0</v>
          </cell>
          <cell r="N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row>
        <row r="172">
          <cell r="C172">
            <v>0</v>
          </cell>
          <cell r="E172">
            <v>0</v>
          </cell>
          <cell r="L172">
            <v>0</v>
          </cell>
          <cell r="N172">
            <v>0</v>
          </cell>
          <cell r="AP172">
            <v>0</v>
          </cell>
        </row>
        <row r="173">
          <cell r="C173">
            <v>0</v>
          </cell>
          <cell r="E173">
            <v>0</v>
          </cell>
          <cell r="L173">
            <v>0</v>
          </cell>
          <cell r="N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row>
        <row r="174">
          <cell r="C174">
            <v>0</v>
          </cell>
          <cell r="E174">
            <v>0</v>
          </cell>
          <cell r="L174">
            <v>0</v>
          </cell>
          <cell r="N174">
            <v>0</v>
          </cell>
          <cell r="AP174">
            <v>0</v>
          </cell>
        </row>
        <row r="175">
          <cell r="C175">
            <v>0</v>
          </cell>
          <cell r="E175">
            <v>0</v>
          </cell>
          <cell r="L175">
            <v>0</v>
          </cell>
          <cell r="N175">
            <v>0</v>
          </cell>
          <cell r="AP175">
            <v>0</v>
          </cell>
        </row>
        <row r="176">
          <cell r="C176">
            <v>0</v>
          </cell>
          <cell r="E176">
            <v>0</v>
          </cell>
          <cell r="L176">
            <v>0</v>
          </cell>
          <cell r="N176">
            <v>0</v>
          </cell>
        </row>
        <row r="177">
          <cell r="C177">
            <v>0</v>
          </cell>
          <cell r="E177">
            <v>0</v>
          </cell>
          <cell r="F177">
            <v>0</v>
          </cell>
          <cell r="G177">
            <v>0</v>
          </cell>
          <cell r="H177">
            <v>0</v>
          </cell>
          <cell r="I177">
            <v>0</v>
          </cell>
          <cell r="J177">
            <v>0</v>
          </cell>
          <cell r="K177">
            <v>0</v>
          </cell>
          <cell r="L177">
            <v>0</v>
          </cell>
          <cell r="N177">
            <v>0</v>
          </cell>
          <cell r="O177">
            <v>0</v>
          </cell>
          <cell r="P177">
            <v>0</v>
          </cell>
          <cell r="Q177">
            <v>0</v>
          </cell>
          <cell r="R177">
            <v>0</v>
          </cell>
          <cell r="S177">
            <v>0</v>
          </cell>
          <cell r="T177">
            <v>0</v>
          </cell>
          <cell r="U177">
            <v>0</v>
          </cell>
          <cell r="V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row>
        <row r="178">
          <cell r="C178">
            <v>0</v>
          </cell>
          <cell r="E178">
            <v>0</v>
          </cell>
          <cell r="L178">
            <v>0</v>
          </cell>
          <cell r="N178">
            <v>0</v>
          </cell>
          <cell r="AP178">
            <v>0</v>
          </cell>
        </row>
        <row r="179">
          <cell r="C179">
            <v>0</v>
          </cell>
          <cell r="E179">
            <v>0</v>
          </cell>
          <cell r="L179">
            <v>0</v>
          </cell>
          <cell r="N179">
            <v>0</v>
          </cell>
          <cell r="AP179">
            <v>0</v>
          </cell>
        </row>
        <row r="180">
          <cell r="C180">
            <v>0</v>
          </cell>
          <cell r="E180">
            <v>0</v>
          </cell>
          <cell r="L180">
            <v>0</v>
          </cell>
          <cell r="N180">
            <v>0</v>
          </cell>
          <cell r="AP180">
            <v>0</v>
          </cell>
        </row>
        <row r="181">
          <cell r="C181">
            <v>0</v>
          </cell>
          <cell r="E181">
            <v>0</v>
          </cell>
          <cell r="L181">
            <v>0</v>
          </cell>
          <cell r="N181">
            <v>0</v>
          </cell>
          <cell r="AP181">
            <v>0</v>
          </cell>
        </row>
        <row r="182">
          <cell r="C182">
            <v>186188.31</v>
          </cell>
          <cell r="E182">
            <v>186188.31</v>
          </cell>
          <cell r="L182">
            <v>186188.31</v>
          </cell>
          <cell r="N182">
            <v>186188.31</v>
          </cell>
          <cell r="O182">
            <v>186188.31</v>
          </cell>
          <cell r="AP182">
            <v>0</v>
          </cell>
        </row>
        <row r="183">
          <cell r="C183">
            <v>0</v>
          </cell>
          <cell r="E183">
            <v>0</v>
          </cell>
          <cell r="L183">
            <v>0</v>
          </cell>
          <cell r="N183">
            <v>0</v>
          </cell>
          <cell r="AP183">
            <v>0</v>
          </cell>
        </row>
        <row r="184">
          <cell r="C184">
            <v>0</v>
          </cell>
          <cell r="E184">
            <v>0</v>
          </cell>
          <cell r="L184">
            <v>0</v>
          </cell>
          <cell r="N184">
            <v>0</v>
          </cell>
          <cell r="AP184">
            <v>0</v>
          </cell>
        </row>
        <row r="185">
          <cell r="C185">
            <v>0</v>
          </cell>
          <cell r="E185">
            <v>0</v>
          </cell>
          <cell r="L185">
            <v>0</v>
          </cell>
          <cell r="N185">
            <v>0</v>
          </cell>
          <cell r="AP185">
            <v>0</v>
          </cell>
        </row>
        <row r="186">
          <cell r="C186">
            <v>0</v>
          </cell>
          <cell r="E186">
            <v>0</v>
          </cell>
          <cell r="L186">
            <v>0</v>
          </cell>
          <cell r="N186">
            <v>0</v>
          </cell>
          <cell r="AP186">
            <v>0</v>
          </cell>
        </row>
        <row r="187">
          <cell r="C187">
            <v>0</v>
          </cell>
          <cell r="E187">
            <v>0</v>
          </cell>
          <cell r="L187">
            <v>0</v>
          </cell>
          <cell r="N187">
            <v>0</v>
          </cell>
        </row>
        <row r="188">
          <cell r="C188">
            <v>186188.31</v>
          </cell>
          <cell r="E188">
            <v>186188.31</v>
          </cell>
          <cell r="F188">
            <v>0</v>
          </cell>
          <cell r="G188">
            <v>0</v>
          </cell>
          <cell r="H188">
            <v>0</v>
          </cell>
          <cell r="I188">
            <v>0</v>
          </cell>
          <cell r="J188">
            <v>0</v>
          </cell>
          <cell r="K188">
            <v>0</v>
          </cell>
          <cell r="L188">
            <v>186188.31</v>
          </cell>
          <cell r="N188">
            <v>186188.31</v>
          </cell>
          <cell r="O188">
            <v>186188.31</v>
          </cell>
          <cell r="P188">
            <v>0</v>
          </cell>
          <cell r="Q188">
            <v>0</v>
          </cell>
          <cell r="R188">
            <v>0</v>
          </cell>
          <cell r="S188">
            <v>0</v>
          </cell>
          <cell r="T188">
            <v>0</v>
          </cell>
          <cell r="U188">
            <v>0</v>
          </cell>
          <cell r="V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row>
        <row r="189">
          <cell r="C189">
            <v>0</v>
          </cell>
          <cell r="E189">
            <v>0</v>
          </cell>
          <cell r="F189">
            <v>0</v>
          </cell>
          <cell r="G189">
            <v>0</v>
          </cell>
          <cell r="H189">
            <v>0</v>
          </cell>
          <cell r="I189">
            <v>0</v>
          </cell>
          <cell r="J189">
            <v>0</v>
          </cell>
          <cell r="K189">
            <v>0</v>
          </cell>
          <cell r="L189">
            <v>0</v>
          </cell>
          <cell r="N189">
            <v>0</v>
          </cell>
          <cell r="O189">
            <v>0</v>
          </cell>
          <cell r="P189">
            <v>0</v>
          </cell>
          <cell r="Q189">
            <v>0</v>
          </cell>
          <cell r="R189">
            <v>0</v>
          </cell>
          <cell r="S189">
            <v>0</v>
          </cell>
          <cell r="T189">
            <v>0</v>
          </cell>
          <cell r="U189">
            <v>0</v>
          </cell>
          <cell r="V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row>
        <row r="190">
          <cell r="C190">
            <v>0</v>
          </cell>
          <cell r="E190">
            <v>0</v>
          </cell>
          <cell r="F190">
            <v>0</v>
          </cell>
          <cell r="G190">
            <v>0</v>
          </cell>
          <cell r="H190">
            <v>0</v>
          </cell>
          <cell r="I190">
            <v>0</v>
          </cell>
          <cell r="J190">
            <v>0</v>
          </cell>
          <cell r="K190">
            <v>0</v>
          </cell>
          <cell r="L190">
            <v>0</v>
          </cell>
          <cell r="N190">
            <v>0</v>
          </cell>
          <cell r="O190">
            <v>0</v>
          </cell>
          <cell r="P190">
            <v>0</v>
          </cell>
          <cell r="Q190">
            <v>0</v>
          </cell>
          <cell r="R190">
            <v>0</v>
          </cell>
          <cell r="S190">
            <v>0</v>
          </cell>
          <cell r="T190">
            <v>0</v>
          </cell>
          <cell r="U190">
            <v>0</v>
          </cell>
          <cell r="V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row>
        <row r="191">
          <cell r="C191">
            <v>0</v>
          </cell>
          <cell r="E191">
            <v>0</v>
          </cell>
          <cell r="F191">
            <v>0</v>
          </cell>
          <cell r="G191">
            <v>0</v>
          </cell>
          <cell r="H191">
            <v>0</v>
          </cell>
          <cell r="I191">
            <v>0</v>
          </cell>
          <cell r="J191">
            <v>0</v>
          </cell>
          <cell r="K191">
            <v>0</v>
          </cell>
          <cell r="L191">
            <v>0</v>
          </cell>
          <cell r="N191">
            <v>0</v>
          </cell>
          <cell r="O191">
            <v>0</v>
          </cell>
          <cell r="P191">
            <v>0</v>
          </cell>
          <cell r="Q191">
            <v>0</v>
          </cell>
          <cell r="R191">
            <v>0</v>
          </cell>
          <cell r="S191">
            <v>0</v>
          </cell>
          <cell r="T191">
            <v>0</v>
          </cell>
          <cell r="U191">
            <v>0</v>
          </cell>
          <cell r="V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row>
        <row r="192">
          <cell r="C192">
            <v>0</v>
          </cell>
          <cell r="E192">
            <v>0</v>
          </cell>
          <cell r="F192">
            <v>0</v>
          </cell>
          <cell r="G192">
            <v>0</v>
          </cell>
          <cell r="H192">
            <v>0</v>
          </cell>
          <cell r="I192">
            <v>0</v>
          </cell>
          <cell r="J192">
            <v>0</v>
          </cell>
          <cell r="K192">
            <v>0</v>
          </cell>
          <cell r="L192">
            <v>0</v>
          </cell>
          <cell r="N192">
            <v>0</v>
          </cell>
          <cell r="O192">
            <v>0</v>
          </cell>
          <cell r="P192">
            <v>0</v>
          </cell>
          <cell r="Q192">
            <v>0</v>
          </cell>
          <cell r="R192">
            <v>0</v>
          </cell>
          <cell r="S192">
            <v>0</v>
          </cell>
          <cell r="T192">
            <v>0</v>
          </cell>
          <cell r="U192">
            <v>0</v>
          </cell>
          <cell r="V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row>
        <row r="193">
          <cell r="C193">
            <v>796168.47</v>
          </cell>
          <cell r="E193">
            <v>796168.47</v>
          </cell>
          <cell r="F193">
            <v>0</v>
          </cell>
          <cell r="G193">
            <v>0</v>
          </cell>
          <cell r="H193">
            <v>0</v>
          </cell>
          <cell r="I193">
            <v>153526</v>
          </cell>
          <cell r="J193">
            <v>0</v>
          </cell>
          <cell r="K193">
            <v>0</v>
          </cell>
          <cell r="L193">
            <v>642642.47</v>
          </cell>
          <cell r="N193">
            <v>642642.47</v>
          </cell>
          <cell r="O193">
            <v>109530</v>
          </cell>
          <cell r="P193">
            <v>0</v>
          </cell>
          <cell r="Q193">
            <v>0</v>
          </cell>
          <cell r="R193">
            <v>0</v>
          </cell>
          <cell r="S193">
            <v>0</v>
          </cell>
          <cell r="T193">
            <v>26068</v>
          </cell>
          <cell r="U193">
            <v>0</v>
          </cell>
          <cell r="V193">
            <v>0</v>
          </cell>
          <cell r="Y193">
            <v>1250</v>
          </cell>
          <cell r="Z193">
            <v>0</v>
          </cell>
          <cell r="AA193">
            <v>133716.29999999999</v>
          </cell>
          <cell r="AB193">
            <v>30817</v>
          </cell>
          <cell r="AC193">
            <v>4315</v>
          </cell>
          <cell r="AD193">
            <v>0</v>
          </cell>
          <cell r="AE193">
            <v>0</v>
          </cell>
          <cell r="AF193">
            <v>1825.36</v>
          </cell>
          <cell r="AG193">
            <v>0</v>
          </cell>
          <cell r="AH193">
            <v>0</v>
          </cell>
          <cell r="AI193">
            <v>0</v>
          </cell>
          <cell r="AJ193">
            <v>71554</v>
          </cell>
          <cell r="AK193">
            <v>132817.66</v>
          </cell>
          <cell r="AL193">
            <v>0</v>
          </cell>
          <cell r="AM193">
            <v>0</v>
          </cell>
          <cell r="AN193">
            <v>0</v>
          </cell>
          <cell r="AO193">
            <v>0</v>
          </cell>
          <cell r="AP193">
            <v>0</v>
          </cell>
          <cell r="AQ193">
            <v>0</v>
          </cell>
          <cell r="AR193">
            <v>0</v>
          </cell>
          <cell r="AS193">
            <v>0</v>
          </cell>
          <cell r="AT193">
            <v>0</v>
          </cell>
          <cell r="AU193">
            <v>130749.15</v>
          </cell>
          <cell r="AV193">
            <v>0</v>
          </cell>
          <cell r="AW193">
            <v>0</v>
          </cell>
          <cell r="AX193">
            <v>0</v>
          </cell>
          <cell r="AY193">
            <v>0</v>
          </cell>
        </row>
        <row r="194">
          <cell r="C194">
            <v>0</v>
          </cell>
          <cell r="E194">
            <v>0</v>
          </cell>
          <cell r="F194">
            <v>0</v>
          </cell>
          <cell r="G194">
            <v>0</v>
          </cell>
          <cell r="H194">
            <v>0</v>
          </cell>
          <cell r="I194">
            <v>0</v>
          </cell>
          <cell r="J194">
            <v>0</v>
          </cell>
          <cell r="K194">
            <v>0</v>
          </cell>
          <cell r="L194">
            <v>0</v>
          </cell>
          <cell r="N194">
            <v>0</v>
          </cell>
          <cell r="O194">
            <v>0</v>
          </cell>
          <cell r="P194">
            <v>0</v>
          </cell>
          <cell r="Q194">
            <v>0</v>
          </cell>
          <cell r="R194">
            <v>0</v>
          </cell>
          <cell r="S194">
            <v>0</v>
          </cell>
          <cell r="T194">
            <v>0</v>
          </cell>
          <cell r="U194">
            <v>0</v>
          </cell>
          <cell r="V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row>
        <row r="195">
          <cell r="C195">
            <v>0</v>
          </cell>
          <cell r="E195">
            <v>0</v>
          </cell>
          <cell r="F195">
            <v>0</v>
          </cell>
          <cell r="G195">
            <v>0</v>
          </cell>
          <cell r="H195">
            <v>0</v>
          </cell>
          <cell r="I195">
            <v>0</v>
          </cell>
          <cell r="J195">
            <v>0</v>
          </cell>
          <cell r="K195">
            <v>0</v>
          </cell>
          <cell r="L195">
            <v>0</v>
          </cell>
          <cell r="N195">
            <v>0</v>
          </cell>
          <cell r="O195">
            <v>0</v>
          </cell>
          <cell r="P195">
            <v>0</v>
          </cell>
          <cell r="Q195">
            <v>0</v>
          </cell>
          <cell r="R195">
            <v>0</v>
          </cell>
          <cell r="S195">
            <v>0</v>
          </cell>
          <cell r="T195">
            <v>0</v>
          </cell>
          <cell r="U195">
            <v>0</v>
          </cell>
          <cell r="V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row>
        <row r="196">
          <cell r="C196">
            <v>0</v>
          </cell>
          <cell r="E196">
            <v>0</v>
          </cell>
          <cell r="F196">
            <v>0</v>
          </cell>
          <cell r="G196">
            <v>0</v>
          </cell>
          <cell r="H196">
            <v>0</v>
          </cell>
          <cell r="I196">
            <v>0</v>
          </cell>
          <cell r="J196">
            <v>0</v>
          </cell>
          <cell r="K196">
            <v>0</v>
          </cell>
          <cell r="L196">
            <v>0</v>
          </cell>
          <cell r="N196">
            <v>0</v>
          </cell>
          <cell r="O196">
            <v>0</v>
          </cell>
          <cell r="P196">
            <v>0</v>
          </cell>
          <cell r="Q196">
            <v>0</v>
          </cell>
          <cell r="R196">
            <v>0</v>
          </cell>
          <cell r="S196">
            <v>0</v>
          </cell>
          <cell r="T196">
            <v>0</v>
          </cell>
          <cell r="U196">
            <v>0</v>
          </cell>
          <cell r="V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row>
        <row r="197">
          <cell r="C197">
            <v>0</v>
          </cell>
          <cell r="E197">
            <v>0</v>
          </cell>
          <cell r="F197">
            <v>0</v>
          </cell>
          <cell r="G197">
            <v>0</v>
          </cell>
          <cell r="H197">
            <v>0</v>
          </cell>
          <cell r="I197">
            <v>0</v>
          </cell>
          <cell r="J197">
            <v>0</v>
          </cell>
          <cell r="K197">
            <v>0</v>
          </cell>
          <cell r="L197">
            <v>0</v>
          </cell>
          <cell r="N197">
            <v>0</v>
          </cell>
          <cell r="O197">
            <v>0</v>
          </cell>
          <cell r="P197">
            <v>0</v>
          </cell>
          <cell r="Q197">
            <v>0</v>
          </cell>
          <cell r="R197">
            <v>0</v>
          </cell>
          <cell r="S197">
            <v>0</v>
          </cell>
          <cell r="T197">
            <v>0</v>
          </cell>
          <cell r="U197">
            <v>0</v>
          </cell>
          <cell r="V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row>
        <row r="198">
          <cell r="C198">
            <v>0</v>
          </cell>
          <cell r="E198">
            <v>0</v>
          </cell>
          <cell r="L198">
            <v>0</v>
          </cell>
          <cell r="N198">
            <v>0</v>
          </cell>
        </row>
        <row r="199">
          <cell r="C199">
            <v>796168.47</v>
          </cell>
          <cell r="E199">
            <v>796168.47</v>
          </cell>
          <cell r="F199">
            <v>0</v>
          </cell>
          <cell r="G199">
            <v>0</v>
          </cell>
          <cell r="H199">
            <v>0</v>
          </cell>
          <cell r="I199">
            <v>153526</v>
          </cell>
          <cell r="J199">
            <v>0</v>
          </cell>
          <cell r="K199">
            <v>0</v>
          </cell>
          <cell r="L199">
            <v>642642.47</v>
          </cell>
          <cell r="N199">
            <v>642642.47</v>
          </cell>
          <cell r="O199">
            <v>109530</v>
          </cell>
          <cell r="P199">
            <v>0</v>
          </cell>
          <cell r="Q199">
            <v>0</v>
          </cell>
          <cell r="R199">
            <v>0</v>
          </cell>
          <cell r="S199">
            <v>0</v>
          </cell>
          <cell r="T199">
            <v>26068</v>
          </cell>
          <cell r="U199">
            <v>0</v>
          </cell>
          <cell r="V199">
            <v>0</v>
          </cell>
          <cell r="Y199">
            <v>1250</v>
          </cell>
          <cell r="Z199">
            <v>0</v>
          </cell>
          <cell r="AA199">
            <v>133716.29999999999</v>
          </cell>
          <cell r="AB199">
            <v>30817</v>
          </cell>
          <cell r="AC199">
            <v>4315</v>
          </cell>
          <cell r="AD199">
            <v>0</v>
          </cell>
          <cell r="AE199">
            <v>0</v>
          </cell>
          <cell r="AF199">
            <v>1825.36</v>
          </cell>
          <cell r="AG199">
            <v>0</v>
          </cell>
          <cell r="AH199">
            <v>0</v>
          </cell>
          <cell r="AI199">
            <v>0</v>
          </cell>
          <cell r="AJ199">
            <v>71554</v>
          </cell>
          <cell r="AK199">
            <v>132817.66</v>
          </cell>
          <cell r="AL199">
            <v>0</v>
          </cell>
          <cell r="AM199">
            <v>0</v>
          </cell>
          <cell r="AN199">
            <v>0</v>
          </cell>
          <cell r="AO199">
            <v>0</v>
          </cell>
          <cell r="AP199">
            <v>0</v>
          </cell>
          <cell r="AQ199">
            <v>0</v>
          </cell>
          <cell r="AR199">
            <v>0</v>
          </cell>
          <cell r="AS199">
            <v>0</v>
          </cell>
          <cell r="AT199">
            <v>0</v>
          </cell>
          <cell r="AU199">
            <v>130749.15</v>
          </cell>
          <cell r="AV199">
            <v>0</v>
          </cell>
          <cell r="AW199">
            <v>0</v>
          </cell>
          <cell r="AX199">
            <v>0</v>
          </cell>
          <cell r="AY199">
            <v>0</v>
          </cell>
        </row>
        <row r="200">
          <cell r="C200">
            <v>0</v>
          </cell>
          <cell r="E200">
            <v>0</v>
          </cell>
          <cell r="L200">
            <v>0</v>
          </cell>
          <cell r="N200">
            <v>0</v>
          </cell>
        </row>
        <row r="201">
          <cell r="C201">
            <v>0</v>
          </cell>
          <cell r="E201">
            <v>0</v>
          </cell>
          <cell r="L201">
            <v>0</v>
          </cell>
          <cell r="N201">
            <v>0</v>
          </cell>
        </row>
        <row r="202">
          <cell r="C202">
            <v>214855.7</v>
          </cell>
          <cell r="E202">
            <v>214855.7</v>
          </cell>
          <cell r="I202">
            <v>118763.3</v>
          </cell>
          <cell r="L202">
            <v>96092.4</v>
          </cell>
          <cell r="N202">
            <v>96092.4</v>
          </cell>
          <cell r="W202">
            <v>26130</v>
          </cell>
          <cell r="AB202">
            <v>15487.5</v>
          </cell>
          <cell r="AC202">
            <v>54474.9</v>
          </cell>
          <cell r="AP202">
            <v>0</v>
          </cell>
        </row>
        <row r="203">
          <cell r="C203">
            <v>360304.56</v>
          </cell>
          <cell r="E203">
            <v>360304.56</v>
          </cell>
          <cell r="G203">
            <v>32859.660000000003</v>
          </cell>
          <cell r="I203">
            <v>54783.31</v>
          </cell>
          <cell r="J203">
            <v>44193.01</v>
          </cell>
          <cell r="L203">
            <v>228468.58</v>
          </cell>
          <cell r="N203">
            <v>228468.58</v>
          </cell>
          <cell r="Q203">
            <v>19437.25</v>
          </cell>
          <cell r="U203">
            <v>14314.42</v>
          </cell>
          <cell r="X203">
            <v>14295.06</v>
          </cell>
          <cell r="Z203">
            <v>14871.69</v>
          </cell>
          <cell r="AA203">
            <v>14583.34</v>
          </cell>
          <cell r="AB203">
            <v>16040</v>
          </cell>
          <cell r="AG203">
            <v>42085</v>
          </cell>
          <cell r="AI203">
            <v>19375.099999999999</v>
          </cell>
          <cell r="AJ203">
            <v>37914.82</v>
          </cell>
          <cell r="AL203">
            <v>10051.9</v>
          </cell>
          <cell r="AP203">
            <v>25500</v>
          </cell>
        </row>
        <row r="204">
          <cell r="C204">
            <v>0</v>
          </cell>
          <cell r="E204">
            <v>0</v>
          </cell>
          <cell r="L204">
            <v>0</v>
          </cell>
          <cell r="N204">
            <v>0</v>
          </cell>
          <cell r="AP204">
            <v>0</v>
          </cell>
        </row>
        <row r="205">
          <cell r="C205">
            <v>3208364.87</v>
          </cell>
          <cell r="E205">
            <v>3208364.87</v>
          </cell>
          <cell r="G205">
            <v>0</v>
          </cell>
          <cell r="H205">
            <v>6892.15</v>
          </cell>
          <cell r="I205">
            <v>10000</v>
          </cell>
          <cell r="J205">
            <v>18333.330000000002</v>
          </cell>
          <cell r="K205">
            <v>47700</v>
          </cell>
          <cell r="L205">
            <v>3125439.39</v>
          </cell>
          <cell r="N205">
            <v>3125439.39</v>
          </cell>
          <cell r="X205">
            <v>50799.96</v>
          </cell>
          <cell r="Y205">
            <v>830777.79</v>
          </cell>
          <cell r="Z205">
            <v>617807.64</v>
          </cell>
          <cell r="AB205">
            <v>277776</v>
          </cell>
          <cell r="AC205">
            <v>42000</v>
          </cell>
          <cell r="AD205">
            <v>48165</v>
          </cell>
          <cell r="AE205">
            <v>0</v>
          </cell>
          <cell r="AG205">
            <v>993333</v>
          </cell>
          <cell r="AL205">
            <v>100000</v>
          </cell>
          <cell r="AP205">
            <v>0</v>
          </cell>
          <cell r="AR205">
            <v>164780</v>
          </cell>
        </row>
        <row r="206">
          <cell r="C206">
            <v>0</v>
          </cell>
          <cell r="E206">
            <v>0</v>
          </cell>
          <cell r="L206">
            <v>0</v>
          </cell>
          <cell r="N206">
            <v>0</v>
          </cell>
          <cell r="AP206">
            <v>0</v>
          </cell>
        </row>
        <row r="207">
          <cell r="C207">
            <v>222222.22</v>
          </cell>
          <cell r="E207">
            <v>222222.22</v>
          </cell>
          <cell r="I207">
            <v>222222.22</v>
          </cell>
          <cell r="L207">
            <v>0</v>
          </cell>
          <cell r="N207">
            <v>0</v>
          </cell>
          <cell r="AP207">
            <v>0</v>
          </cell>
        </row>
        <row r="208">
          <cell r="C208">
            <v>96966565.170000002</v>
          </cell>
          <cell r="E208">
            <v>96966565.170000002</v>
          </cell>
          <cell r="F208">
            <v>4358052.88</v>
          </cell>
          <cell r="G208">
            <v>7505603.3200000003</v>
          </cell>
          <cell r="H208">
            <v>5683882.04</v>
          </cell>
          <cell r="I208">
            <v>4161686.28</v>
          </cell>
          <cell r="J208">
            <v>1855282.27</v>
          </cell>
          <cell r="K208">
            <v>4928952.95</v>
          </cell>
          <cell r="L208">
            <v>68473105.430000007</v>
          </cell>
          <cell r="N208">
            <v>68473105.430000007</v>
          </cell>
          <cell r="O208">
            <v>6797587.4299999997</v>
          </cell>
          <cell r="P208">
            <v>92203.68</v>
          </cell>
          <cell r="Q208">
            <v>9569518.4700000007</v>
          </cell>
          <cell r="T208">
            <v>1145447.8899999999</v>
          </cell>
          <cell r="U208">
            <v>1819674.34</v>
          </cell>
          <cell r="V208">
            <v>2955370.25</v>
          </cell>
          <cell r="W208">
            <v>855701.05</v>
          </cell>
          <cell r="X208">
            <v>1876859.07</v>
          </cell>
          <cell r="Y208">
            <v>3851784.05</v>
          </cell>
          <cell r="Z208">
            <v>2706998.28</v>
          </cell>
          <cell r="AA208">
            <v>2687588.14</v>
          </cell>
          <cell r="AB208">
            <v>1741393.68</v>
          </cell>
          <cell r="AC208">
            <v>3344331.52</v>
          </cell>
          <cell r="AD208">
            <v>3100846.94</v>
          </cell>
          <cell r="AE208">
            <v>3259310.51</v>
          </cell>
          <cell r="AF208">
            <v>488618.42</v>
          </cell>
          <cell r="AG208">
            <v>2368845.09</v>
          </cell>
          <cell r="AH208">
            <v>1595452.76</v>
          </cell>
          <cell r="AI208">
            <v>2649740.87</v>
          </cell>
          <cell r="AJ208">
            <v>2775971.13</v>
          </cell>
          <cell r="AK208">
            <v>1498418.51</v>
          </cell>
          <cell r="AL208">
            <v>3016603.52</v>
          </cell>
          <cell r="AM208">
            <v>995414.41</v>
          </cell>
          <cell r="AN208">
            <v>1012603.44</v>
          </cell>
          <cell r="AO208">
            <v>506916.41</v>
          </cell>
          <cell r="AP208">
            <v>2092784.55</v>
          </cell>
          <cell r="AQ208">
            <v>1266746.6000000001</v>
          </cell>
          <cell r="AR208">
            <v>950265.71</v>
          </cell>
          <cell r="AS208">
            <v>1450108.71</v>
          </cell>
          <cell r="AT208">
            <v>0</v>
          </cell>
          <cell r="AU208">
            <v>0</v>
          </cell>
          <cell r="AV208">
            <v>0</v>
          </cell>
          <cell r="AW208">
            <v>0</v>
          </cell>
        </row>
        <row r="209">
          <cell r="C209">
            <v>193873.72</v>
          </cell>
          <cell r="E209">
            <v>193873.72</v>
          </cell>
          <cell r="F209">
            <v>77961</v>
          </cell>
          <cell r="I209">
            <v>5000</v>
          </cell>
          <cell r="J209">
            <v>2652.42</v>
          </cell>
          <cell r="K209">
            <v>15525</v>
          </cell>
          <cell r="L209">
            <v>92735.3</v>
          </cell>
          <cell r="N209">
            <v>92735.3</v>
          </cell>
          <cell r="U209">
            <v>7758.95</v>
          </cell>
          <cell r="V209">
            <v>205154.52</v>
          </cell>
          <cell r="Z209">
            <v>27859.23</v>
          </cell>
          <cell r="AB209">
            <v>-256752</v>
          </cell>
          <cell r="AE209">
            <v>47460</v>
          </cell>
          <cell r="AF209">
            <v>0</v>
          </cell>
          <cell r="AG209">
            <v>267.60000000000002</v>
          </cell>
          <cell r="AH209">
            <v>27225</v>
          </cell>
          <cell r="AI209">
            <v>0</v>
          </cell>
          <cell r="AJ209">
            <v>15762</v>
          </cell>
          <cell r="AK209">
            <v>0</v>
          </cell>
          <cell r="AL209">
            <v>0</v>
          </cell>
          <cell r="AM209">
            <v>0</v>
          </cell>
          <cell r="AN209">
            <v>0</v>
          </cell>
          <cell r="AO209">
            <v>0</v>
          </cell>
          <cell r="AP209">
            <v>18000</v>
          </cell>
          <cell r="AQ209">
            <v>0</v>
          </cell>
          <cell r="AR209">
            <v>0</v>
          </cell>
          <cell r="AS209">
            <v>0</v>
          </cell>
          <cell r="AT209">
            <v>0</v>
          </cell>
          <cell r="AU209">
            <v>0</v>
          </cell>
          <cell r="AV209">
            <v>0</v>
          </cell>
          <cell r="AW209">
            <v>0</v>
          </cell>
          <cell r="AX209">
            <v>0</v>
          </cell>
          <cell r="AY209">
            <v>0</v>
          </cell>
        </row>
        <row r="210">
          <cell r="C210">
            <v>0</v>
          </cell>
          <cell r="E210">
            <v>0</v>
          </cell>
          <cell r="L210">
            <v>0</v>
          </cell>
          <cell r="N210">
            <v>0</v>
          </cell>
        </row>
        <row r="211">
          <cell r="C211">
            <v>101166186.23999999</v>
          </cell>
          <cell r="E211">
            <v>101166186.23999999</v>
          </cell>
          <cell r="F211">
            <v>4436013.88</v>
          </cell>
          <cell r="G211">
            <v>7538462.9800000004</v>
          </cell>
          <cell r="H211">
            <v>5690774.1900000004</v>
          </cell>
          <cell r="I211">
            <v>4572455.1100000003</v>
          </cell>
          <cell r="J211">
            <v>1920461.03</v>
          </cell>
          <cell r="K211">
            <v>4992177.95</v>
          </cell>
          <cell r="L211">
            <v>72015841.099999994</v>
          </cell>
          <cell r="N211">
            <v>72015841.099999994</v>
          </cell>
          <cell r="O211">
            <v>6797587.4299999997</v>
          </cell>
          <cell r="P211">
            <v>92203.68</v>
          </cell>
          <cell r="Q211">
            <v>9588955.7200000007</v>
          </cell>
          <cell r="R211">
            <v>0</v>
          </cell>
          <cell r="S211">
            <v>0</v>
          </cell>
          <cell r="T211">
            <v>1145447.8899999999</v>
          </cell>
          <cell r="U211">
            <v>1841747.71</v>
          </cell>
          <cell r="V211">
            <v>3160524.77</v>
          </cell>
          <cell r="W211">
            <v>881831.05</v>
          </cell>
          <cell r="X211">
            <v>1941954.09</v>
          </cell>
          <cell r="Y211">
            <v>4682561.84</v>
          </cell>
          <cell r="Z211">
            <v>3367536.84</v>
          </cell>
          <cell r="AA211">
            <v>2702171.48</v>
          </cell>
          <cell r="AB211">
            <v>1793945.18</v>
          </cell>
          <cell r="AC211">
            <v>3440806.42</v>
          </cell>
          <cell r="AD211">
            <v>3149011.94</v>
          </cell>
          <cell r="AE211">
            <v>3306770.51</v>
          </cell>
          <cell r="AF211">
            <v>488618.42</v>
          </cell>
          <cell r="AG211">
            <v>3404530.69</v>
          </cell>
          <cell r="AH211">
            <v>1622677.76</v>
          </cell>
          <cell r="AI211">
            <v>2669115.9700000002</v>
          </cell>
          <cell r="AJ211">
            <v>2829647.95</v>
          </cell>
          <cell r="AK211">
            <v>1498418.51</v>
          </cell>
          <cell r="AL211">
            <v>3126655.42</v>
          </cell>
          <cell r="AM211">
            <v>995414.41</v>
          </cell>
          <cell r="AN211">
            <v>1012603.44</v>
          </cell>
          <cell r="AO211">
            <v>506916.41</v>
          </cell>
          <cell r="AP211">
            <v>2136284.5499999998</v>
          </cell>
          <cell r="AQ211">
            <v>1266746.6000000001</v>
          </cell>
          <cell r="AR211">
            <v>1115045.71</v>
          </cell>
          <cell r="AS211">
            <v>1450108.71</v>
          </cell>
          <cell r="AT211">
            <v>0</v>
          </cell>
          <cell r="AU211">
            <v>0</v>
          </cell>
          <cell r="AV211">
            <v>0</v>
          </cell>
          <cell r="AW211">
            <v>0</v>
          </cell>
          <cell r="AX211">
            <v>0</v>
          </cell>
          <cell r="AY211">
            <v>0</v>
          </cell>
        </row>
        <row r="212">
          <cell r="C212">
            <v>958460.84</v>
          </cell>
          <cell r="E212">
            <v>958460.84</v>
          </cell>
          <cell r="I212">
            <v>100124.73</v>
          </cell>
          <cell r="J212">
            <v>97759.84</v>
          </cell>
          <cell r="L212">
            <v>760576.27</v>
          </cell>
          <cell r="N212">
            <v>760576.27</v>
          </cell>
          <cell r="R212">
            <v>255000</v>
          </cell>
          <cell r="S212">
            <v>167022.1</v>
          </cell>
          <cell r="W212">
            <v>100843.3</v>
          </cell>
          <cell r="AB212">
            <v>27602.78</v>
          </cell>
          <cell r="AP212">
            <v>0</v>
          </cell>
          <cell r="AW212">
            <v>210108.09</v>
          </cell>
        </row>
        <row r="213">
          <cell r="C213">
            <v>977748.46</v>
          </cell>
          <cell r="E213">
            <v>977748.46</v>
          </cell>
          <cell r="H213">
            <v>149801.67000000001</v>
          </cell>
          <cell r="I213">
            <v>54857.39</v>
          </cell>
          <cell r="J213">
            <v>28392.2</v>
          </cell>
          <cell r="K213">
            <v>30489.67</v>
          </cell>
          <cell r="L213">
            <v>714207.53</v>
          </cell>
          <cell r="N213">
            <v>714207.53</v>
          </cell>
          <cell r="O213">
            <v>54548.1</v>
          </cell>
          <cell r="Q213">
            <v>26203.55</v>
          </cell>
          <cell r="S213">
            <v>12180</v>
          </cell>
          <cell r="U213">
            <v>10160.07</v>
          </cell>
          <cell r="X213">
            <v>14768</v>
          </cell>
          <cell r="Z213">
            <v>29500</v>
          </cell>
          <cell r="AB213">
            <v>19850</v>
          </cell>
          <cell r="AE213">
            <v>52068.62</v>
          </cell>
          <cell r="AG213">
            <v>24862.04</v>
          </cell>
          <cell r="AI213">
            <v>24740.47</v>
          </cell>
          <cell r="AJ213">
            <v>15111.2</v>
          </cell>
          <cell r="AK213">
            <v>65066.58</v>
          </cell>
          <cell r="AL213">
            <v>52488.74</v>
          </cell>
          <cell r="AN213">
            <v>2159</v>
          </cell>
          <cell r="AO213">
            <v>45719.99</v>
          </cell>
          <cell r="AP213">
            <v>27876.75</v>
          </cell>
          <cell r="AQ213">
            <v>62341.94</v>
          </cell>
          <cell r="AR213">
            <v>25733.360000000001</v>
          </cell>
          <cell r="AS213">
            <v>31501.89</v>
          </cell>
          <cell r="AT213">
            <v>19190</v>
          </cell>
          <cell r="AU213">
            <v>50096.5</v>
          </cell>
          <cell r="AW213">
            <v>34407.760000000002</v>
          </cell>
          <cell r="AX213">
            <v>13632.97</v>
          </cell>
        </row>
        <row r="214">
          <cell r="C214">
            <v>1326463.58</v>
          </cell>
          <cell r="E214">
            <v>1326463.58</v>
          </cell>
          <cell r="G214">
            <v>197546</v>
          </cell>
          <cell r="L214">
            <v>1128917.58</v>
          </cell>
          <cell r="N214">
            <v>1128917.58</v>
          </cell>
          <cell r="AA214">
            <v>142051.28</v>
          </cell>
          <cell r="AC214">
            <v>58000</v>
          </cell>
          <cell r="AI214">
            <v>45448.72</v>
          </cell>
          <cell r="AJ214">
            <v>129850.42</v>
          </cell>
          <cell r="AN214">
            <v>1076.92</v>
          </cell>
          <cell r="AO214">
            <v>105140</v>
          </cell>
          <cell r="AP214">
            <v>300467.76</v>
          </cell>
          <cell r="AQ214">
            <v>87527.34</v>
          </cell>
          <cell r="AR214">
            <v>26250</v>
          </cell>
          <cell r="AS214">
            <v>4000</v>
          </cell>
          <cell r="AW214">
            <v>229105.14</v>
          </cell>
        </row>
        <row r="215">
          <cell r="C215">
            <v>49826533.950000003</v>
          </cell>
          <cell r="E215">
            <v>49826533.950000003</v>
          </cell>
          <cell r="G215">
            <v>1633833.34</v>
          </cell>
          <cell r="H215">
            <v>2367.5300000000002</v>
          </cell>
          <cell r="I215">
            <v>30000</v>
          </cell>
          <cell r="J215">
            <v>63500</v>
          </cell>
          <cell r="K215">
            <v>190800</v>
          </cell>
          <cell r="L215">
            <v>47906033.079999998</v>
          </cell>
          <cell r="N215">
            <v>47906033.079999998</v>
          </cell>
          <cell r="R215">
            <v>2624999.9900000002</v>
          </cell>
          <cell r="S215">
            <v>1214129.32</v>
          </cell>
          <cell r="T215">
            <v>291500</v>
          </cell>
          <cell r="U215">
            <v>500000</v>
          </cell>
          <cell r="X215">
            <v>2894166.75</v>
          </cell>
          <cell r="Y215">
            <v>1713800.07</v>
          </cell>
          <cell r="Z215">
            <v>2030478.56</v>
          </cell>
          <cell r="AA215">
            <v>19440</v>
          </cell>
          <cell r="AB215">
            <v>1666666</v>
          </cell>
          <cell r="AC215">
            <v>8066666.6600000001</v>
          </cell>
          <cell r="AE215">
            <v>1808177.77</v>
          </cell>
          <cell r="AF215">
            <v>597600</v>
          </cell>
          <cell r="AG215">
            <v>4031212.96</v>
          </cell>
          <cell r="AH215">
            <v>0</v>
          </cell>
          <cell r="AI215">
            <v>0</v>
          </cell>
          <cell r="AJ215">
            <v>0</v>
          </cell>
          <cell r="AK215">
            <v>44300</v>
          </cell>
          <cell r="AL215">
            <v>207360</v>
          </cell>
          <cell r="AM215">
            <v>436500</v>
          </cell>
          <cell r="AN215">
            <v>0</v>
          </cell>
          <cell r="AO215">
            <v>4952251</v>
          </cell>
          <cell r="AP215">
            <v>1888200</v>
          </cell>
          <cell r="AQ215">
            <v>0</v>
          </cell>
          <cell r="AR215">
            <v>1681740</v>
          </cell>
          <cell r="AS215">
            <v>0</v>
          </cell>
          <cell r="AT215">
            <v>6562500</v>
          </cell>
          <cell r="AU215">
            <v>0</v>
          </cell>
          <cell r="AV215">
            <v>2786744</v>
          </cell>
          <cell r="AW215">
            <v>0</v>
          </cell>
          <cell r="AX215">
            <v>1887600</v>
          </cell>
          <cell r="AY215">
            <v>0</v>
          </cell>
        </row>
        <row r="216">
          <cell r="C216">
            <v>0</v>
          </cell>
          <cell r="E216">
            <v>0</v>
          </cell>
          <cell r="L216">
            <v>0</v>
          </cell>
          <cell r="N216">
            <v>0</v>
          </cell>
          <cell r="AP216">
            <v>0</v>
          </cell>
        </row>
        <row r="217">
          <cell r="C217">
            <v>1417435.89</v>
          </cell>
          <cell r="E217">
            <v>1417435.89</v>
          </cell>
          <cell r="I217">
            <v>1417435.89</v>
          </cell>
          <cell r="L217">
            <v>0</v>
          </cell>
          <cell r="N217">
            <v>0</v>
          </cell>
          <cell r="AP217">
            <v>0</v>
          </cell>
        </row>
        <row r="218">
          <cell r="C218">
            <v>656418606.33000004</v>
          </cell>
          <cell r="E218">
            <v>656418606.33000004</v>
          </cell>
          <cell r="F218">
            <v>15626845.710000001</v>
          </cell>
          <cell r="G218">
            <v>22013797.98</v>
          </cell>
          <cell r="H218">
            <v>20272288.879999999</v>
          </cell>
          <cell r="I218">
            <v>22836757.460000001</v>
          </cell>
          <cell r="J218">
            <v>17448749.170000002</v>
          </cell>
          <cell r="K218">
            <v>16784867.780000001</v>
          </cell>
          <cell r="L218">
            <v>541435299.35000002</v>
          </cell>
          <cell r="N218">
            <v>541435299.35000002</v>
          </cell>
          <cell r="O218">
            <v>69209716.349999994</v>
          </cell>
          <cell r="P218">
            <v>26211207.18</v>
          </cell>
          <cell r="Q218">
            <v>28637297.170000002</v>
          </cell>
          <cell r="R218">
            <v>20646329.5</v>
          </cell>
          <cell r="S218">
            <v>7103776.9299999997</v>
          </cell>
          <cell r="T218">
            <v>380153.05</v>
          </cell>
          <cell r="U218">
            <v>3257725.42</v>
          </cell>
          <cell r="V218">
            <v>10009730.52</v>
          </cell>
          <cell r="W218">
            <v>6774400.4900000002</v>
          </cell>
          <cell r="X218">
            <v>16372041.26</v>
          </cell>
          <cell r="Y218">
            <v>14664417.199999999</v>
          </cell>
          <cell r="Z218">
            <v>15968322.369999999</v>
          </cell>
          <cell r="AA218">
            <v>12800867.27</v>
          </cell>
          <cell r="AB218">
            <v>16004575.01</v>
          </cell>
          <cell r="AC218">
            <v>18085679.449999999</v>
          </cell>
          <cell r="AD218">
            <v>4660671.13</v>
          </cell>
          <cell r="AE218">
            <v>28400445.739999998</v>
          </cell>
          <cell r="AF218">
            <v>10668009.310000001</v>
          </cell>
          <cell r="AG218">
            <v>20250123.43</v>
          </cell>
          <cell r="AH218">
            <v>549101.86</v>
          </cell>
          <cell r="AI218">
            <v>22032613.760000002</v>
          </cell>
          <cell r="AJ218">
            <v>23456525.719999999</v>
          </cell>
          <cell r="AK218">
            <v>12423313.369999999</v>
          </cell>
          <cell r="AL218">
            <v>12901718.25</v>
          </cell>
          <cell r="AM218">
            <v>320797.57</v>
          </cell>
          <cell r="AN218">
            <v>17357428.27</v>
          </cell>
          <cell r="AO218">
            <v>12670699.539999999</v>
          </cell>
          <cell r="AP218">
            <v>19896906.199999999</v>
          </cell>
          <cell r="AQ218">
            <v>15207309.75</v>
          </cell>
          <cell r="AR218">
            <v>6789456.2699999996</v>
          </cell>
          <cell r="AS218">
            <v>8186738.8899999997</v>
          </cell>
          <cell r="AT218">
            <v>13169464.960000001</v>
          </cell>
          <cell r="AU218">
            <v>12764948.050000001</v>
          </cell>
          <cell r="AV218">
            <v>10131264.18</v>
          </cell>
          <cell r="AW218">
            <v>14933903.75</v>
          </cell>
          <cell r="AX218">
            <v>6845734.0599999996</v>
          </cell>
          <cell r="AY218">
            <v>1691886.12</v>
          </cell>
        </row>
        <row r="219">
          <cell r="C219">
            <v>7575229.5</v>
          </cell>
          <cell r="E219">
            <v>7575229.5</v>
          </cell>
          <cell r="F219">
            <v>327688.32000000001</v>
          </cell>
          <cell r="G219">
            <v>0</v>
          </cell>
          <cell r="I219">
            <v>204047.01</v>
          </cell>
          <cell r="J219">
            <v>671433.07</v>
          </cell>
          <cell r="K219">
            <v>95092</v>
          </cell>
          <cell r="L219">
            <v>6276969.0999999996</v>
          </cell>
          <cell r="N219">
            <v>6276969.0999999996</v>
          </cell>
          <cell r="O219">
            <v>2761531.9</v>
          </cell>
          <cell r="P219">
            <v>26348.1</v>
          </cell>
          <cell r="Q219">
            <v>44800</v>
          </cell>
          <cell r="S219">
            <v>18800</v>
          </cell>
          <cell r="U219">
            <v>167196.79999999999</v>
          </cell>
          <cell r="Y219">
            <v>6000</v>
          </cell>
          <cell r="Z219">
            <v>644423.49</v>
          </cell>
          <cell r="AA219">
            <v>11724</v>
          </cell>
          <cell r="AB219">
            <v>690789.06</v>
          </cell>
          <cell r="AC219">
            <v>32500</v>
          </cell>
          <cell r="AE219">
            <v>112784.04</v>
          </cell>
          <cell r="AF219">
            <v>36151</v>
          </cell>
          <cell r="AG219">
            <v>330072.36</v>
          </cell>
          <cell r="AH219">
            <v>0</v>
          </cell>
          <cell r="AI219">
            <v>216423.14</v>
          </cell>
          <cell r="AJ219">
            <v>73753.42</v>
          </cell>
          <cell r="AK219">
            <v>0</v>
          </cell>
          <cell r="AL219">
            <v>146044.85</v>
          </cell>
          <cell r="AM219">
            <v>0</v>
          </cell>
          <cell r="AN219">
            <v>0</v>
          </cell>
          <cell r="AO219">
            <v>33600</v>
          </cell>
          <cell r="AP219">
            <v>270187.59999999998</v>
          </cell>
          <cell r="AQ219">
            <v>157361</v>
          </cell>
          <cell r="AR219">
            <v>5503.34</v>
          </cell>
          <cell r="AS219">
            <v>19720</v>
          </cell>
          <cell r="AT219">
            <v>52788.89</v>
          </cell>
          <cell r="AU219">
            <v>59693</v>
          </cell>
          <cell r="AV219">
            <v>0</v>
          </cell>
          <cell r="AW219">
            <v>346006.94</v>
          </cell>
          <cell r="AX219">
            <v>12766.17</v>
          </cell>
          <cell r="AY219">
            <v>0</v>
          </cell>
        </row>
        <row r="220">
          <cell r="C220">
            <v>0</v>
          </cell>
          <cell r="E220">
            <v>0</v>
          </cell>
          <cell r="L220">
            <v>0</v>
          </cell>
          <cell r="N220">
            <v>0</v>
          </cell>
        </row>
        <row r="221">
          <cell r="C221">
            <v>718500478.54999995</v>
          </cell>
          <cell r="E221">
            <v>718500478.54999995</v>
          </cell>
          <cell r="F221">
            <v>15954534.029999999</v>
          </cell>
          <cell r="G221">
            <v>23845177.32</v>
          </cell>
          <cell r="H221">
            <v>20424458.079999998</v>
          </cell>
          <cell r="I221">
            <v>24643222.48</v>
          </cell>
          <cell r="J221">
            <v>18309834.280000001</v>
          </cell>
          <cell r="K221">
            <v>17101249.449999999</v>
          </cell>
          <cell r="L221">
            <v>598222002.90999997</v>
          </cell>
          <cell r="N221">
            <v>598222002.90999997</v>
          </cell>
          <cell r="O221">
            <v>72025796.349999994</v>
          </cell>
          <cell r="P221">
            <v>26237555.280000001</v>
          </cell>
          <cell r="Q221">
            <v>28708300.719999999</v>
          </cell>
          <cell r="R221">
            <v>23526329.489999998</v>
          </cell>
          <cell r="S221">
            <v>8515908.3499999996</v>
          </cell>
          <cell r="T221">
            <v>671653.05</v>
          </cell>
          <cell r="U221">
            <v>3935082.29</v>
          </cell>
          <cell r="V221">
            <v>10009730.52</v>
          </cell>
          <cell r="W221">
            <v>6875243.79</v>
          </cell>
          <cell r="X221">
            <v>19280976.010000002</v>
          </cell>
          <cell r="Y221">
            <v>16384217.27</v>
          </cell>
          <cell r="Z221">
            <v>18672724.420000002</v>
          </cell>
          <cell r="AA221">
            <v>12974082.550000001</v>
          </cell>
          <cell r="AB221">
            <v>18409482.850000001</v>
          </cell>
          <cell r="AC221">
            <v>26242846.109999999</v>
          </cell>
          <cell r="AD221">
            <v>4660671.13</v>
          </cell>
          <cell r="AE221">
            <v>30373476.170000002</v>
          </cell>
          <cell r="AF221">
            <v>11301760.310000001</v>
          </cell>
          <cell r="AG221">
            <v>24636270.789999999</v>
          </cell>
          <cell r="AH221">
            <v>549101.86</v>
          </cell>
          <cell r="AI221">
            <v>22319226.09</v>
          </cell>
          <cell r="AJ221">
            <v>23675240.760000002</v>
          </cell>
          <cell r="AK221">
            <v>12532679.949999999</v>
          </cell>
          <cell r="AL221">
            <v>13307611.84</v>
          </cell>
          <cell r="AM221">
            <v>757297.57</v>
          </cell>
          <cell r="AN221">
            <v>17360664.190000001</v>
          </cell>
          <cell r="AO221">
            <v>17807410.530000001</v>
          </cell>
          <cell r="AP221">
            <v>22383638.309999999</v>
          </cell>
          <cell r="AQ221">
            <v>15514540.029999999</v>
          </cell>
          <cell r="AR221">
            <v>8528682.9700000007</v>
          </cell>
          <cell r="AS221">
            <v>8241960.7800000003</v>
          </cell>
          <cell r="AT221">
            <v>19803943.850000001</v>
          </cell>
          <cell r="AU221">
            <v>12874737.550000001</v>
          </cell>
          <cell r="AV221">
            <v>12918008.18</v>
          </cell>
          <cell r="AW221">
            <v>15753531.68</v>
          </cell>
          <cell r="AX221">
            <v>8759733.1999999993</v>
          </cell>
          <cell r="AY221">
            <v>1691886.12</v>
          </cell>
        </row>
        <row r="222">
          <cell r="C222">
            <v>758542.25</v>
          </cell>
          <cell r="E222">
            <v>758542.25</v>
          </cell>
          <cell r="I222">
            <v>218888.03</v>
          </cell>
          <cell r="J222">
            <v>39103.919999999998</v>
          </cell>
          <cell r="L222">
            <v>500550.3</v>
          </cell>
          <cell r="N222">
            <v>500550.3</v>
          </cell>
          <cell r="R222">
            <v>85000</v>
          </cell>
          <cell r="S222">
            <v>116044.5</v>
          </cell>
          <cell r="W222">
            <v>97490.68</v>
          </cell>
          <cell r="AB222">
            <v>42486.16</v>
          </cell>
          <cell r="AC222">
            <v>54474.9</v>
          </cell>
          <cell r="AP222">
            <v>0</v>
          </cell>
          <cell r="AW222">
            <v>105054.06</v>
          </cell>
        </row>
        <row r="223">
          <cell r="C223">
            <v>992814.16</v>
          </cell>
          <cell r="E223">
            <v>992814.16</v>
          </cell>
          <cell r="G223">
            <v>32859.660000000003</v>
          </cell>
          <cell r="H223">
            <v>54473.32</v>
          </cell>
          <cell r="I223">
            <v>67220.05</v>
          </cell>
          <cell r="J223">
            <v>49259.75</v>
          </cell>
          <cell r="K223">
            <v>23286.61</v>
          </cell>
          <cell r="L223">
            <v>765714.77</v>
          </cell>
          <cell r="N223">
            <v>765714.77</v>
          </cell>
          <cell r="O223">
            <v>39748.1</v>
          </cell>
          <cell r="Q223">
            <v>28280.55</v>
          </cell>
          <cell r="S223">
            <v>9135</v>
          </cell>
          <cell r="U223">
            <v>24474.49</v>
          </cell>
          <cell r="X223">
            <v>19438.080000000002</v>
          </cell>
          <cell r="Z223">
            <v>44371.69</v>
          </cell>
          <cell r="AA223">
            <v>14583.34</v>
          </cell>
          <cell r="AB223">
            <v>22656.639999999999</v>
          </cell>
          <cell r="AE223">
            <v>52068.62</v>
          </cell>
          <cell r="AG223">
            <v>53516.91</v>
          </cell>
          <cell r="AI223">
            <v>39880.57</v>
          </cell>
          <cell r="AJ223">
            <v>53026.02</v>
          </cell>
          <cell r="AK223">
            <v>39506.959999999999</v>
          </cell>
          <cell r="AL223">
            <v>49766.32</v>
          </cell>
          <cell r="AN223">
            <v>2159</v>
          </cell>
          <cell r="AO223">
            <v>21088.57</v>
          </cell>
          <cell r="AP223">
            <v>44248.87</v>
          </cell>
          <cell r="AQ223">
            <v>62341.94</v>
          </cell>
          <cell r="AR223">
            <v>17800</v>
          </cell>
          <cell r="AS223">
            <v>23636.01</v>
          </cell>
          <cell r="AT223">
            <v>17590.87</v>
          </cell>
          <cell r="AU223">
            <v>47313.3</v>
          </cell>
          <cell r="AW223">
            <v>34407.760000000002</v>
          </cell>
          <cell r="AX223">
            <v>4675.16</v>
          </cell>
        </row>
        <row r="224">
          <cell r="C224">
            <v>1030128.72</v>
          </cell>
          <cell r="E224">
            <v>1030128.72</v>
          </cell>
          <cell r="G224">
            <v>197546</v>
          </cell>
          <cell r="L224">
            <v>832582.72</v>
          </cell>
          <cell r="N224">
            <v>832582.72</v>
          </cell>
          <cell r="AA224">
            <v>77692.83</v>
          </cell>
          <cell r="AC224">
            <v>9666</v>
          </cell>
          <cell r="AI224">
            <v>35448.720000000001</v>
          </cell>
          <cell r="AJ224">
            <v>123850.44</v>
          </cell>
          <cell r="AN224">
            <v>1076.92</v>
          </cell>
          <cell r="AO224">
            <v>82476.649999999994</v>
          </cell>
          <cell r="AP224">
            <v>170488.68</v>
          </cell>
          <cell r="AQ224">
            <v>87527.34</v>
          </cell>
          <cell r="AR224">
            <v>11250</v>
          </cell>
          <cell r="AS224">
            <v>4000</v>
          </cell>
          <cell r="AW224">
            <v>229105.14</v>
          </cell>
        </row>
        <row r="225">
          <cell r="C225">
            <v>42743900.159999996</v>
          </cell>
          <cell r="E225">
            <v>42743900.159999996</v>
          </cell>
          <cell r="G225">
            <v>1633833.34</v>
          </cell>
          <cell r="H225">
            <v>9259.68</v>
          </cell>
          <cell r="I225">
            <v>40000</v>
          </cell>
          <cell r="J225">
            <v>81833.33</v>
          </cell>
          <cell r="K225">
            <v>190800</v>
          </cell>
          <cell r="L225">
            <v>40788173.810000002</v>
          </cell>
          <cell r="N225">
            <v>40788173.810000002</v>
          </cell>
          <cell r="R225">
            <v>2624999.9900000002</v>
          </cell>
          <cell r="S225">
            <v>1214129.32</v>
          </cell>
          <cell r="U225">
            <v>500000</v>
          </cell>
          <cell r="X225">
            <v>1552632.33</v>
          </cell>
          <cell r="Y225">
            <v>2544577.86</v>
          </cell>
          <cell r="Z225">
            <v>2648286.2000000002</v>
          </cell>
          <cell r="AA225">
            <v>19440</v>
          </cell>
          <cell r="AB225">
            <v>1875005.6</v>
          </cell>
          <cell r="AC225">
            <v>6493495.6699999999</v>
          </cell>
          <cell r="AD225">
            <v>48165</v>
          </cell>
          <cell r="AE225">
            <v>1247152.72</v>
          </cell>
          <cell r="AF225">
            <v>597600</v>
          </cell>
          <cell r="AG225">
            <v>3843796.66</v>
          </cell>
          <cell r="AH225">
            <v>0</v>
          </cell>
          <cell r="AI225">
            <v>0</v>
          </cell>
          <cell r="AJ225">
            <v>0</v>
          </cell>
          <cell r="AK225">
            <v>44300</v>
          </cell>
          <cell r="AL225">
            <v>207360</v>
          </cell>
          <cell r="AM225">
            <v>436500</v>
          </cell>
          <cell r="AN225">
            <v>0</v>
          </cell>
          <cell r="AO225">
            <v>4321929.46</v>
          </cell>
          <cell r="AP225">
            <v>1373200</v>
          </cell>
          <cell r="AQ225">
            <v>0</v>
          </cell>
          <cell r="AR225">
            <v>1716360</v>
          </cell>
          <cell r="AS225">
            <v>0</v>
          </cell>
          <cell r="AT225">
            <v>6217500</v>
          </cell>
          <cell r="AU225">
            <v>0</v>
          </cell>
          <cell r="AV225">
            <v>1261743</v>
          </cell>
          <cell r="AW225">
            <v>0</v>
          </cell>
          <cell r="AX225">
            <v>0</v>
          </cell>
          <cell r="AY225">
            <v>0</v>
          </cell>
        </row>
        <row r="226">
          <cell r="C226">
            <v>0</v>
          </cell>
          <cell r="E226">
            <v>0</v>
          </cell>
          <cell r="L226">
            <v>0</v>
          </cell>
          <cell r="N226">
            <v>0</v>
          </cell>
          <cell r="AP226">
            <v>0</v>
          </cell>
        </row>
        <row r="227">
          <cell r="C227">
            <v>1379658.11</v>
          </cell>
          <cell r="E227">
            <v>1379658.11</v>
          </cell>
          <cell r="I227">
            <v>1379658.11</v>
          </cell>
          <cell r="L227">
            <v>0</v>
          </cell>
          <cell r="N227">
            <v>0</v>
          </cell>
          <cell r="AP227">
            <v>0</v>
          </cell>
        </row>
        <row r="228">
          <cell r="C228">
            <v>629717269.57000005</v>
          </cell>
          <cell r="E228">
            <v>629717269.57000005</v>
          </cell>
          <cell r="F228">
            <v>15939771.85</v>
          </cell>
          <cell r="G228">
            <v>22311648.420000002</v>
          </cell>
          <cell r="H228">
            <v>20108939.190000001</v>
          </cell>
          <cell r="I228">
            <v>22675540.449999999</v>
          </cell>
          <cell r="J228">
            <v>15956389.699999999</v>
          </cell>
          <cell r="K228">
            <v>16502292.99</v>
          </cell>
          <cell r="L228">
            <v>516222686.97000003</v>
          </cell>
          <cell r="N228">
            <v>516222686.97000003</v>
          </cell>
          <cell r="O228">
            <v>68355709.519999996</v>
          </cell>
          <cell r="P228">
            <v>24922858.09</v>
          </cell>
          <cell r="Q228">
            <v>29381758.629999999</v>
          </cell>
          <cell r="R228">
            <v>18137569.190000001</v>
          </cell>
          <cell r="S228">
            <v>6680195.4299999997</v>
          </cell>
          <cell r="U228">
            <v>4837903.5</v>
          </cell>
          <cell r="V228">
            <v>9868500.9299999997</v>
          </cell>
          <cell r="W228">
            <v>6335150.1299999999</v>
          </cell>
          <cell r="X228">
            <v>15813004.189999999</v>
          </cell>
          <cell r="Y228">
            <v>14080766.26</v>
          </cell>
          <cell r="Z228">
            <v>16090312.470000001</v>
          </cell>
          <cell r="AA228">
            <v>11702857.99</v>
          </cell>
          <cell r="AB228">
            <v>14717305.880000001</v>
          </cell>
          <cell r="AC228">
            <v>16979321.059999999</v>
          </cell>
          <cell r="AD228">
            <v>7128195.0499999998</v>
          </cell>
          <cell r="AE228">
            <v>26746343.940000001</v>
          </cell>
          <cell r="AF228">
            <v>9087119.3100000005</v>
          </cell>
          <cell r="AG228">
            <v>20002332.199999999</v>
          </cell>
          <cell r="AH228">
            <v>1867414.31</v>
          </cell>
          <cell r="AI228">
            <v>21698798.079999998</v>
          </cell>
          <cell r="AJ228">
            <v>23397827.219999999</v>
          </cell>
          <cell r="AK228">
            <v>10932794.27</v>
          </cell>
          <cell r="AL228">
            <v>13385444.93</v>
          </cell>
          <cell r="AM228">
            <v>1189585.97</v>
          </cell>
          <cell r="AN228">
            <v>14845980.84</v>
          </cell>
          <cell r="AO228">
            <v>11537570.470000001</v>
          </cell>
          <cell r="AP228">
            <v>18746168.809999999</v>
          </cell>
          <cell r="AQ228">
            <v>14573237.09</v>
          </cell>
          <cell r="AR228">
            <v>6758898.7800000003</v>
          </cell>
          <cell r="AS228">
            <v>8626473.9700000007</v>
          </cell>
          <cell r="AT228">
            <v>10851324.359999999</v>
          </cell>
          <cell r="AU228">
            <v>10215402.140000001</v>
          </cell>
          <cell r="AV228">
            <v>8553934.0099999998</v>
          </cell>
          <cell r="AW228">
            <v>12766007.869999999</v>
          </cell>
          <cell r="AX228">
            <v>4416885.1100000003</v>
          </cell>
          <cell r="AY228">
            <v>991734.97</v>
          </cell>
        </row>
        <row r="229">
          <cell r="C229">
            <v>7375362.0599999996</v>
          </cell>
          <cell r="E229">
            <v>7375362.0599999996</v>
          </cell>
          <cell r="F229">
            <v>405649.32</v>
          </cell>
          <cell r="G229">
            <v>0</v>
          </cell>
          <cell r="I229">
            <v>181547.01</v>
          </cell>
          <cell r="J229">
            <v>674085.49</v>
          </cell>
          <cell r="K229">
            <v>95077</v>
          </cell>
          <cell r="L229">
            <v>6019003.2400000002</v>
          </cell>
          <cell r="N229">
            <v>6019003.2400000002</v>
          </cell>
          <cell r="O229">
            <v>2761531.9</v>
          </cell>
          <cell r="P229">
            <v>26348.1</v>
          </cell>
          <cell r="Q229">
            <v>44800</v>
          </cell>
          <cell r="S229">
            <v>18800</v>
          </cell>
          <cell r="U229">
            <v>174955.75</v>
          </cell>
          <cell r="V229">
            <v>205154.52</v>
          </cell>
          <cell r="Y229">
            <v>6000</v>
          </cell>
          <cell r="Z229">
            <v>672282.72</v>
          </cell>
          <cell r="AA229">
            <v>11724</v>
          </cell>
          <cell r="AB229">
            <v>430562.74</v>
          </cell>
          <cell r="AC229">
            <v>32500</v>
          </cell>
          <cell r="AE229">
            <v>160244.04</v>
          </cell>
          <cell r="AF229">
            <v>36151</v>
          </cell>
          <cell r="AG229">
            <v>319339.96000000002</v>
          </cell>
          <cell r="AH229">
            <v>27225</v>
          </cell>
          <cell r="AI229">
            <v>40119.65</v>
          </cell>
          <cell r="AJ229">
            <v>89515.42</v>
          </cell>
          <cell r="AK229">
            <v>0</v>
          </cell>
          <cell r="AL229">
            <v>146044.85</v>
          </cell>
          <cell r="AM229">
            <v>0</v>
          </cell>
          <cell r="AN229">
            <v>0</v>
          </cell>
          <cell r="AO229">
            <v>23200</v>
          </cell>
          <cell r="AP229">
            <v>252859.29</v>
          </cell>
          <cell r="AQ229">
            <v>91590.83</v>
          </cell>
          <cell r="AR229">
            <v>5503.34</v>
          </cell>
          <cell r="AS229">
            <v>19720</v>
          </cell>
          <cell r="AT229">
            <v>52788.89</v>
          </cell>
          <cell r="AU229">
            <v>18588.98</v>
          </cell>
          <cell r="AV229">
            <v>0</v>
          </cell>
          <cell r="AW229">
            <v>346006.94</v>
          </cell>
          <cell r="AX229">
            <v>5445.32</v>
          </cell>
          <cell r="AY229">
            <v>0</v>
          </cell>
        </row>
        <row r="230">
          <cell r="C230">
            <v>0</v>
          </cell>
          <cell r="E230">
            <v>0</v>
          </cell>
          <cell r="L230">
            <v>0</v>
          </cell>
          <cell r="N230">
            <v>0</v>
          </cell>
        </row>
        <row r="231">
          <cell r="C231">
            <v>683997675.02999997</v>
          </cell>
          <cell r="E231">
            <v>683997675.02999997</v>
          </cell>
          <cell r="F231">
            <v>16345421.17</v>
          </cell>
          <cell r="G231">
            <v>24175887.420000002</v>
          </cell>
          <cell r="H231">
            <v>20172672.190000001</v>
          </cell>
          <cell r="I231">
            <v>24562853.649999999</v>
          </cell>
          <cell r="J231">
            <v>16800672.190000001</v>
          </cell>
          <cell r="K231">
            <v>16811456.600000001</v>
          </cell>
          <cell r="L231">
            <v>565128711.80999994</v>
          </cell>
          <cell r="M231">
            <v>0</v>
          </cell>
          <cell r="N231">
            <v>565128711.80999994</v>
          </cell>
          <cell r="O231">
            <v>71156989.519999996</v>
          </cell>
          <cell r="P231">
            <v>24949206.190000001</v>
          </cell>
          <cell r="Q231">
            <v>29454839.18</v>
          </cell>
          <cell r="R231">
            <v>20847569.18</v>
          </cell>
          <cell r="S231">
            <v>8038304.25</v>
          </cell>
          <cell r="T231">
            <v>0</v>
          </cell>
          <cell r="U231">
            <v>5537333.7400000002</v>
          </cell>
          <cell r="V231">
            <v>10073655.449999999</v>
          </cell>
          <cell r="W231">
            <v>6432640.8099999996</v>
          </cell>
          <cell r="X231">
            <v>17385074.600000001</v>
          </cell>
          <cell r="Y231">
            <v>16631344.119999999</v>
          </cell>
          <cell r="Z231">
            <v>19455253.079999998</v>
          </cell>
          <cell r="AA231">
            <v>11826298.16</v>
          </cell>
          <cell r="AB231">
            <v>17088017.02</v>
          </cell>
          <cell r="AC231">
            <v>23569457.629999999</v>
          </cell>
          <cell r="AD231">
            <v>7176360.0499999998</v>
          </cell>
          <cell r="AE231">
            <v>28205809.32</v>
          </cell>
          <cell r="AF231">
            <v>9720870.3100000005</v>
          </cell>
          <cell r="AG231">
            <v>24218985.73</v>
          </cell>
          <cell r="AH231">
            <v>1894639.31</v>
          </cell>
          <cell r="AI231">
            <v>21814247.02</v>
          </cell>
          <cell r="AJ231">
            <v>23664219.100000001</v>
          </cell>
          <cell r="AK231">
            <v>11016601.23</v>
          </cell>
          <cell r="AL231">
            <v>13788616.1</v>
          </cell>
          <cell r="AM231">
            <v>1626085.97</v>
          </cell>
          <cell r="AN231">
            <v>14849216.76</v>
          </cell>
          <cell r="AO231">
            <v>15986265.15</v>
          </cell>
          <cell r="AP231">
            <v>20586965.649999999</v>
          </cell>
          <cell r="AQ231">
            <v>14814697.199999999</v>
          </cell>
          <cell r="AR231">
            <v>8509812.1199999992</v>
          </cell>
          <cell r="AS231">
            <v>8673829.9800000004</v>
          </cell>
          <cell r="AT231">
            <v>17139204.120000001</v>
          </cell>
          <cell r="AU231">
            <v>10281304.42</v>
          </cell>
          <cell r="AV231">
            <v>9815677.0099999998</v>
          </cell>
          <cell r="AW231">
            <v>13480581.77</v>
          </cell>
          <cell r="AX231">
            <v>4427005.59</v>
          </cell>
          <cell r="AY231">
            <v>991734.97</v>
          </cell>
        </row>
        <row r="232">
          <cell r="C232">
            <v>414774.29</v>
          </cell>
          <cell r="E232">
            <v>414774.29</v>
          </cell>
          <cell r="F232">
            <v>0</v>
          </cell>
          <cell r="G232">
            <v>0</v>
          </cell>
          <cell r="H232">
            <v>0</v>
          </cell>
          <cell r="I232">
            <v>0</v>
          </cell>
          <cell r="J232">
            <v>58655.92</v>
          </cell>
          <cell r="K232">
            <v>0</v>
          </cell>
          <cell r="L232">
            <v>356118.37</v>
          </cell>
          <cell r="N232">
            <v>356118.37</v>
          </cell>
          <cell r="O232">
            <v>0</v>
          </cell>
          <cell r="P232">
            <v>0</v>
          </cell>
          <cell r="Q232">
            <v>0</v>
          </cell>
          <cell r="R232">
            <v>170000</v>
          </cell>
          <cell r="S232">
            <v>50977.599999999999</v>
          </cell>
          <cell r="T232">
            <v>0</v>
          </cell>
          <cell r="U232">
            <v>0</v>
          </cell>
          <cell r="V232">
            <v>0</v>
          </cell>
          <cell r="W232">
            <v>29482.62</v>
          </cell>
          <cell r="X232">
            <v>0</v>
          </cell>
          <cell r="Y232">
            <v>0</v>
          </cell>
          <cell r="Z232">
            <v>0</v>
          </cell>
          <cell r="AA232">
            <v>0</v>
          </cell>
          <cell r="AB232">
            <v>604.12</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105054.03</v>
          </cell>
          <cell r="AX232">
            <v>0</v>
          </cell>
          <cell r="AY232">
            <v>0</v>
          </cell>
        </row>
        <row r="233">
          <cell r="C233">
            <v>345238.86</v>
          </cell>
          <cell r="E233">
            <v>345238.86</v>
          </cell>
          <cell r="F233">
            <v>0</v>
          </cell>
          <cell r="G233">
            <v>0</v>
          </cell>
          <cell r="H233">
            <v>95328.35</v>
          </cell>
          <cell r="I233">
            <v>42420.65</v>
          </cell>
          <cell r="J233">
            <v>23325.46</v>
          </cell>
          <cell r="K233">
            <v>7203.06</v>
          </cell>
          <cell r="L233">
            <v>176961.34</v>
          </cell>
          <cell r="N233">
            <v>176961.34</v>
          </cell>
          <cell r="O233">
            <v>14800</v>
          </cell>
          <cell r="P233">
            <v>0</v>
          </cell>
          <cell r="Q233">
            <v>17360.25</v>
          </cell>
          <cell r="R233">
            <v>0</v>
          </cell>
          <cell r="S233">
            <v>3045</v>
          </cell>
          <cell r="T233">
            <v>0</v>
          </cell>
          <cell r="U233">
            <v>0</v>
          </cell>
          <cell r="V233">
            <v>0</v>
          </cell>
          <cell r="W233">
            <v>0</v>
          </cell>
          <cell r="X233">
            <v>9624.98</v>
          </cell>
          <cell r="Y233">
            <v>0</v>
          </cell>
          <cell r="Z233">
            <v>0</v>
          </cell>
          <cell r="AA233">
            <v>0</v>
          </cell>
          <cell r="AB233">
            <v>13233.36</v>
          </cell>
          <cell r="AC233">
            <v>0</v>
          </cell>
          <cell r="AD233">
            <v>0</v>
          </cell>
          <cell r="AE233">
            <v>0</v>
          </cell>
          <cell r="AF233">
            <v>0</v>
          </cell>
          <cell r="AG233">
            <v>13430.13</v>
          </cell>
          <cell r="AH233">
            <v>0</v>
          </cell>
          <cell r="AI233">
            <v>4235</v>
          </cell>
          <cell r="AJ233">
            <v>0</v>
          </cell>
          <cell r="AK233">
            <v>25559.62</v>
          </cell>
          <cell r="AL233">
            <v>12774.32</v>
          </cell>
          <cell r="AM233">
            <v>0</v>
          </cell>
          <cell r="AN233">
            <v>0</v>
          </cell>
          <cell r="AO233">
            <v>24631.42</v>
          </cell>
          <cell r="AP233">
            <v>9127.8799999999992</v>
          </cell>
          <cell r="AQ233">
            <v>0</v>
          </cell>
          <cell r="AR233">
            <v>7933.36</v>
          </cell>
          <cell r="AS233">
            <v>7865.88</v>
          </cell>
          <cell r="AT233">
            <v>1599.13</v>
          </cell>
          <cell r="AU233">
            <v>2783.2</v>
          </cell>
          <cell r="AV233">
            <v>0</v>
          </cell>
          <cell r="AW233">
            <v>0</v>
          </cell>
          <cell r="AX233">
            <v>8957.81</v>
          </cell>
          <cell r="AY233">
            <v>0</v>
          </cell>
        </row>
        <row r="234">
          <cell r="C234">
            <v>296334.86</v>
          </cell>
          <cell r="E234">
            <v>296334.86</v>
          </cell>
          <cell r="F234">
            <v>0</v>
          </cell>
          <cell r="G234">
            <v>0</v>
          </cell>
          <cell r="H234">
            <v>0</v>
          </cell>
          <cell r="I234">
            <v>0</v>
          </cell>
          <cell r="J234">
            <v>0</v>
          </cell>
          <cell r="K234">
            <v>0</v>
          </cell>
          <cell r="L234">
            <v>296334.86</v>
          </cell>
          <cell r="N234">
            <v>296334.86</v>
          </cell>
          <cell r="O234">
            <v>0</v>
          </cell>
          <cell r="P234">
            <v>0</v>
          </cell>
          <cell r="Q234">
            <v>0</v>
          </cell>
          <cell r="R234">
            <v>0</v>
          </cell>
          <cell r="S234">
            <v>0</v>
          </cell>
          <cell r="T234">
            <v>0</v>
          </cell>
          <cell r="U234">
            <v>0</v>
          </cell>
          <cell r="V234">
            <v>0</v>
          </cell>
          <cell r="W234">
            <v>0</v>
          </cell>
          <cell r="X234">
            <v>0</v>
          </cell>
          <cell r="Y234">
            <v>0</v>
          </cell>
          <cell r="Z234">
            <v>0</v>
          </cell>
          <cell r="AA234">
            <v>64358.45</v>
          </cell>
          <cell r="AB234">
            <v>0</v>
          </cell>
          <cell r="AC234">
            <v>48334</v>
          </cell>
          <cell r="AD234">
            <v>0</v>
          </cell>
          <cell r="AE234">
            <v>0</v>
          </cell>
          <cell r="AF234">
            <v>0</v>
          </cell>
          <cell r="AG234">
            <v>0</v>
          </cell>
          <cell r="AH234">
            <v>0</v>
          </cell>
          <cell r="AI234">
            <v>10000</v>
          </cell>
          <cell r="AJ234">
            <v>5999.98</v>
          </cell>
          <cell r="AK234">
            <v>0</v>
          </cell>
          <cell r="AL234">
            <v>0</v>
          </cell>
          <cell r="AM234">
            <v>0</v>
          </cell>
          <cell r="AN234">
            <v>0</v>
          </cell>
          <cell r="AO234">
            <v>22663.35</v>
          </cell>
          <cell r="AP234">
            <v>129979.08</v>
          </cell>
          <cell r="AQ234">
            <v>0</v>
          </cell>
          <cell r="AR234">
            <v>15000</v>
          </cell>
          <cell r="AS234">
            <v>0</v>
          </cell>
          <cell r="AT234">
            <v>0</v>
          </cell>
          <cell r="AU234">
            <v>0</v>
          </cell>
          <cell r="AV234">
            <v>0</v>
          </cell>
          <cell r="AW234">
            <v>0</v>
          </cell>
          <cell r="AX234">
            <v>0</v>
          </cell>
          <cell r="AY234">
            <v>0</v>
          </cell>
        </row>
        <row r="235">
          <cell r="C235">
            <v>10290998.66</v>
          </cell>
          <cell r="E235">
            <v>10290998.66</v>
          </cell>
          <cell r="F235">
            <v>0</v>
          </cell>
          <cell r="G235">
            <v>0</v>
          </cell>
          <cell r="H235">
            <v>0</v>
          </cell>
          <cell r="I235">
            <v>0</v>
          </cell>
          <cell r="J235">
            <v>0</v>
          </cell>
          <cell r="K235">
            <v>47700</v>
          </cell>
          <cell r="L235">
            <v>10243298.66</v>
          </cell>
          <cell r="N235">
            <v>10243298.66</v>
          </cell>
          <cell r="O235">
            <v>0</v>
          </cell>
          <cell r="P235">
            <v>0</v>
          </cell>
          <cell r="Q235">
            <v>0</v>
          </cell>
          <cell r="R235">
            <v>0</v>
          </cell>
          <cell r="S235">
            <v>0</v>
          </cell>
          <cell r="T235">
            <v>291500</v>
          </cell>
          <cell r="U235">
            <v>0</v>
          </cell>
          <cell r="V235">
            <v>0</v>
          </cell>
          <cell r="W235">
            <v>0</v>
          </cell>
          <cell r="X235">
            <v>1392334.38</v>
          </cell>
          <cell r="Y235">
            <v>0</v>
          </cell>
          <cell r="Z235">
            <v>0</v>
          </cell>
          <cell r="AA235">
            <v>0</v>
          </cell>
          <cell r="AB235">
            <v>69436.399999999994</v>
          </cell>
          <cell r="AC235">
            <v>1615170.99</v>
          </cell>
          <cell r="AD235">
            <v>0</v>
          </cell>
          <cell r="AE235">
            <v>561025.05000000005</v>
          </cell>
          <cell r="AF235">
            <v>0</v>
          </cell>
          <cell r="AG235">
            <v>1180749.3</v>
          </cell>
          <cell r="AH235">
            <v>0</v>
          </cell>
          <cell r="AI235">
            <v>0</v>
          </cell>
          <cell r="AJ235">
            <v>0</v>
          </cell>
          <cell r="AK235">
            <v>0</v>
          </cell>
          <cell r="AL235">
            <v>100000</v>
          </cell>
          <cell r="AM235">
            <v>0</v>
          </cell>
          <cell r="AN235">
            <v>0</v>
          </cell>
          <cell r="AO235">
            <v>630321.54</v>
          </cell>
          <cell r="AP235">
            <v>515000</v>
          </cell>
          <cell r="AQ235">
            <v>0</v>
          </cell>
          <cell r="AR235">
            <v>130160</v>
          </cell>
          <cell r="AS235">
            <v>0</v>
          </cell>
          <cell r="AT235">
            <v>345000</v>
          </cell>
          <cell r="AU235">
            <v>0</v>
          </cell>
          <cell r="AV235">
            <v>1525001</v>
          </cell>
          <cell r="AW235">
            <v>0</v>
          </cell>
          <cell r="AX235">
            <v>1887600</v>
          </cell>
          <cell r="AY235">
            <v>0</v>
          </cell>
        </row>
        <row r="236">
          <cell r="C236">
            <v>0</v>
          </cell>
          <cell r="E236">
            <v>0</v>
          </cell>
          <cell r="F236">
            <v>0</v>
          </cell>
          <cell r="G236">
            <v>0</v>
          </cell>
          <cell r="H236">
            <v>0</v>
          </cell>
          <cell r="I236">
            <v>0</v>
          </cell>
          <cell r="J236">
            <v>0</v>
          </cell>
          <cell r="K236">
            <v>0</v>
          </cell>
          <cell r="L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row>
        <row r="237">
          <cell r="C237">
            <v>260000</v>
          </cell>
          <cell r="E237">
            <v>260000</v>
          </cell>
          <cell r="F237">
            <v>0</v>
          </cell>
          <cell r="G237">
            <v>0</v>
          </cell>
          <cell r="H237">
            <v>0</v>
          </cell>
          <cell r="I237">
            <v>260000</v>
          </cell>
          <cell r="J237">
            <v>0</v>
          </cell>
          <cell r="K237">
            <v>0</v>
          </cell>
          <cell r="L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row>
        <row r="238">
          <cell r="C238">
            <v>123667901.93000001</v>
          </cell>
          <cell r="E238">
            <v>123667901.93000001</v>
          </cell>
          <cell r="F238">
            <v>4045126.74</v>
          </cell>
          <cell r="G238">
            <v>7207752.8799999999</v>
          </cell>
          <cell r="H238">
            <v>5847231.7300000004</v>
          </cell>
          <cell r="I238">
            <v>4322903.29</v>
          </cell>
          <cell r="J238">
            <v>3347641.74</v>
          </cell>
          <cell r="K238">
            <v>5211527.74</v>
          </cell>
          <cell r="L238">
            <v>93685717.810000002</v>
          </cell>
          <cell r="N238">
            <v>93685717.810000002</v>
          </cell>
          <cell r="O238">
            <v>7651594.2599999998</v>
          </cell>
          <cell r="P238">
            <v>1380552.77</v>
          </cell>
          <cell r="Q238">
            <v>8825057.0099999998</v>
          </cell>
          <cell r="R238">
            <v>2508760.31</v>
          </cell>
          <cell r="S238">
            <v>423581.5</v>
          </cell>
          <cell r="T238">
            <v>1525600.94</v>
          </cell>
          <cell r="U238">
            <v>239496.26</v>
          </cell>
          <cell r="V238">
            <v>3096599.84</v>
          </cell>
          <cell r="W238">
            <v>1294951.4099999999</v>
          </cell>
          <cell r="X238">
            <v>2435896.14</v>
          </cell>
          <cell r="Y238">
            <v>4435434.99</v>
          </cell>
          <cell r="Z238">
            <v>2585008.1800000002</v>
          </cell>
          <cell r="AA238">
            <v>3785597.42</v>
          </cell>
          <cell r="AB238">
            <v>3028662.81</v>
          </cell>
          <cell r="AC238">
            <v>4450689.91</v>
          </cell>
          <cell r="AD238">
            <v>633323.02</v>
          </cell>
          <cell r="AE238">
            <v>4913412.3099999996</v>
          </cell>
          <cell r="AF238">
            <v>2069508.42</v>
          </cell>
          <cell r="AG238">
            <v>2616636.3199999998</v>
          </cell>
          <cell r="AH238">
            <v>277140.31</v>
          </cell>
          <cell r="AI238">
            <v>2983556.55</v>
          </cell>
          <cell r="AJ238">
            <v>2834669.63</v>
          </cell>
          <cell r="AK238">
            <v>2988937.61</v>
          </cell>
          <cell r="AL238">
            <v>2532876.84</v>
          </cell>
          <cell r="AM238">
            <v>126626.01</v>
          </cell>
          <cell r="AN238">
            <v>3524050.87</v>
          </cell>
          <cell r="AO238">
            <v>1640045.48</v>
          </cell>
          <cell r="AP238">
            <v>3243521.94</v>
          </cell>
          <cell r="AQ238">
            <v>1900819.26</v>
          </cell>
          <cell r="AR238">
            <v>980823.2</v>
          </cell>
          <cell r="AS238">
            <v>1010373.63</v>
          </cell>
          <cell r="AT238">
            <v>2318140.6</v>
          </cell>
          <cell r="AU238">
            <v>2549545.91</v>
          </cell>
          <cell r="AV238">
            <v>1577330.17</v>
          </cell>
          <cell r="AW238">
            <v>2167895.88</v>
          </cell>
          <cell r="AX238">
            <v>2428848.9500000002</v>
          </cell>
          <cell r="AY238">
            <v>700151.15</v>
          </cell>
        </row>
        <row r="239">
          <cell r="C239">
            <v>393741.16</v>
          </cell>
          <cell r="E239">
            <v>393741.16</v>
          </cell>
          <cell r="F239">
            <v>0</v>
          </cell>
          <cell r="G239">
            <v>0</v>
          </cell>
          <cell r="H239">
            <v>0</v>
          </cell>
          <cell r="I239">
            <v>27500</v>
          </cell>
          <cell r="J239">
            <v>0</v>
          </cell>
          <cell r="K239">
            <v>15540</v>
          </cell>
          <cell r="L239">
            <v>350701.16</v>
          </cell>
          <cell r="N239">
            <v>350701.16</v>
          </cell>
          <cell r="O239">
            <v>0</v>
          </cell>
          <cell r="P239">
            <v>0</v>
          </cell>
          <cell r="Q239">
            <v>0</v>
          </cell>
          <cell r="R239">
            <v>0</v>
          </cell>
          <cell r="S239">
            <v>0</v>
          </cell>
          <cell r="T239">
            <v>0</v>
          </cell>
          <cell r="U239">
            <v>0</v>
          </cell>
          <cell r="V239">
            <v>0</v>
          </cell>
          <cell r="W239">
            <v>0</v>
          </cell>
          <cell r="Y239">
            <v>0</v>
          </cell>
          <cell r="Z239">
            <v>0</v>
          </cell>
          <cell r="AA239">
            <v>0</v>
          </cell>
          <cell r="AB239">
            <v>3474.32</v>
          </cell>
          <cell r="AC239">
            <v>0</v>
          </cell>
          <cell r="AD239">
            <v>0</v>
          </cell>
          <cell r="AE239">
            <v>0</v>
          </cell>
          <cell r="AF239">
            <v>0</v>
          </cell>
          <cell r="AG239">
            <v>11000</v>
          </cell>
          <cell r="AH239">
            <v>0</v>
          </cell>
          <cell r="AI239">
            <v>176303.49</v>
          </cell>
          <cell r="AJ239">
            <v>0</v>
          </cell>
          <cell r="AK239">
            <v>0</v>
          </cell>
          <cell r="AL239">
            <v>0</v>
          </cell>
          <cell r="AM239">
            <v>0</v>
          </cell>
          <cell r="AN239">
            <v>0</v>
          </cell>
          <cell r="AO239">
            <v>10400</v>
          </cell>
          <cell r="AP239">
            <v>35328.31</v>
          </cell>
          <cell r="AQ239">
            <v>65770.17</v>
          </cell>
          <cell r="AR239">
            <v>0</v>
          </cell>
          <cell r="AS239">
            <v>0</v>
          </cell>
          <cell r="AT239">
            <v>0</v>
          </cell>
          <cell r="AU239">
            <v>41104.019999999997</v>
          </cell>
          <cell r="AV239">
            <v>0</v>
          </cell>
          <cell r="AW239">
            <v>0</v>
          </cell>
          <cell r="AX239">
            <v>7320.85</v>
          </cell>
          <cell r="AY239">
            <v>0</v>
          </cell>
        </row>
        <row r="240">
          <cell r="C240">
            <v>0</v>
          </cell>
          <cell r="E240">
            <v>0</v>
          </cell>
          <cell r="L240">
            <v>0</v>
          </cell>
          <cell r="N240">
            <v>0</v>
          </cell>
          <cell r="AY240">
            <v>0</v>
          </cell>
        </row>
        <row r="241">
          <cell r="C241">
            <v>135668989.75999999</v>
          </cell>
          <cell r="E241">
            <v>135668989.75999999</v>
          </cell>
          <cell r="F241">
            <v>4045126.74</v>
          </cell>
          <cell r="G241">
            <v>7207752.8799999999</v>
          </cell>
          <cell r="H241">
            <v>5942560.0800000001</v>
          </cell>
          <cell r="I241">
            <v>4652823.9400000004</v>
          </cell>
          <cell r="J241">
            <v>3429623.12</v>
          </cell>
          <cell r="K241">
            <v>5281970.8</v>
          </cell>
          <cell r="L241">
            <v>105109132.2</v>
          </cell>
          <cell r="N241">
            <v>105109132.2</v>
          </cell>
          <cell r="O241">
            <v>7666394.2599999998</v>
          </cell>
          <cell r="P241">
            <v>1380552.77</v>
          </cell>
          <cell r="Q241">
            <v>8842417.2599999998</v>
          </cell>
          <cell r="R241">
            <v>2678760.31</v>
          </cell>
          <cell r="S241">
            <v>477604.1</v>
          </cell>
          <cell r="T241">
            <v>1817100.94</v>
          </cell>
          <cell r="U241">
            <v>239496.26</v>
          </cell>
          <cell r="V241">
            <v>3096599.84</v>
          </cell>
          <cell r="W241">
            <v>1324434.03</v>
          </cell>
          <cell r="X241">
            <v>3837855.5</v>
          </cell>
          <cell r="Y241">
            <v>4435434.99</v>
          </cell>
          <cell r="Z241">
            <v>2585008.1800000002</v>
          </cell>
          <cell r="AA241">
            <v>3849955.87</v>
          </cell>
          <cell r="AB241">
            <v>3115411.01</v>
          </cell>
          <cell r="AC241">
            <v>6114194.9000000004</v>
          </cell>
          <cell r="AD241">
            <v>633323.02</v>
          </cell>
          <cell r="AE241">
            <v>5474437.3600000003</v>
          </cell>
          <cell r="AF241">
            <v>2069508.42</v>
          </cell>
          <cell r="AG241">
            <v>3821815.75</v>
          </cell>
          <cell r="AH241">
            <v>277140.31</v>
          </cell>
          <cell r="AI241">
            <v>3174095.04</v>
          </cell>
          <cell r="AJ241">
            <v>2840669.61</v>
          </cell>
          <cell r="AK241">
            <v>3014497.23</v>
          </cell>
          <cell r="AL241">
            <v>2645651.16</v>
          </cell>
          <cell r="AM241">
            <v>126626.01</v>
          </cell>
          <cell r="AN241">
            <v>3524050.87</v>
          </cell>
          <cell r="AO241">
            <v>2328061.79</v>
          </cell>
          <cell r="AP241">
            <v>3932957.21</v>
          </cell>
          <cell r="AQ241">
            <v>1966589.43</v>
          </cell>
          <cell r="AR241">
            <v>1133916.56</v>
          </cell>
          <cell r="AS241">
            <v>1018239.51</v>
          </cell>
          <cell r="AT241">
            <v>2664739.73</v>
          </cell>
          <cell r="AU241">
            <v>2593433.13</v>
          </cell>
          <cell r="AV241">
            <v>3102331.17</v>
          </cell>
          <cell r="AW241">
            <v>2272949.91</v>
          </cell>
          <cell r="AX241">
            <v>4332727.6100000003</v>
          </cell>
          <cell r="AY241">
            <v>700151.15</v>
          </cell>
        </row>
        <row r="242">
          <cell r="C242">
            <v>0</v>
          </cell>
          <cell r="E242">
            <v>0</v>
          </cell>
          <cell r="L242">
            <v>0</v>
          </cell>
          <cell r="N242">
            <v>0</v>
          </cell>
        </row>
        <row r="243">
          <cell r="C243">
            <v>0</v>
          </cell>
          <cell r="E243">
            <v>0</v>
          </cell>
          <cell r="L243">
            <v>0</v>
          </cell>
          <cell r="N243">
            <v>0</v>
          </cell>
        </row>
        <row r="244">
          <cell r="C244">
            <v>0</v>
          </cell>
          <cell r="E244">
            <v>0</v>
          </cell>
          <cell r="L244">
            <v>0</v>
          </cell>
          <cell r="N244">
            <v>0</v>
          </cell>
        </row>
        <row r="245">
          <cell r="C245">
            <v>0</v>
          </cell>
          <cell r="E245">
            <v>0</v>
          </cell>
          <cell r="L245">
            <v>0</v>
          </cell>
          <cell r="N245">
            <v>0</v>
          </cell>
          <cell r="AP245">
            <v>0</v>
          </cell>
        </row>
        <row r="246">
          <cell r="C246">
            <v>215512592.27000001</v>
          </cell>
          <cell r="D246">
            <v>-215512592.27000001</v>
          </cell>
          <cell r="E246">
            <v>0</v>
          </cell>
          <cell r="L246">
            <v>215512592.27000001</v>
          </cell>
          <cell r="N246">
            <v>215512592.27000001</v>
          </cell>
          <cell r="O246">
            <v>215512592.27000001</v>
          </cell>
          <cell r="AP246">
            <v>0</v>
          </cell>
        </row>
        <row r="247">
          <cell r="C247">
            <v>0</v>
          </cell>
          <cell r="E247">
            <v>0</v>
          </cell>
          <cell r="L247">
            <v>0</v>
          </cell>
          <cell r="N247">
            <v>0</v>
          </cell>
          <cell r="AP247">
            <v>0</v>
          </cell>
        </row>
        <row r="248">
          <cell r="C248">
            <v>0</v>
          </cell>
          <cell r="E248">
            <v>0</v>
          </cell>
          <cell r="L248">
            <v>0</v>
          </cell>
          <cell r="N248">
            <v>0</v>
          </cell>
          <cell r="AP248">
            <v>0</v>
          </cell>
        </row>
        <row r="249">
          <cell r="C249">
            <v>0</v>
          </cell>
          <cell r="E249">
            <v>0</v>
          </cell>
          <cell r="L249">
            <v>0</v>
          </cell>
          <cell r="N249">
            <v>0</v>
          </cell>
          <cell r="AP249">
            <v>0</v>
          </cell>
        </row>
        <row r="250">
          <cell r="C250">
            <v>3810264.44</v>
          </cell>
          <cell r="E250">
            <v>3810264.44</v>
          </cell>
          <cell r="L250">
            <v>3810264.44</v>
          </cell>
          <cell r="N250">
            <v>3810264.44</v>
          </cell>
          <cell r="O250">
            <v>3810264.44</v>
          </cell>
          <cell r="AP250">
            <v>0</v>
          </cell>
        </row>
        <row r="251">
          <cell r="C251">
            <v>219322856.71000001</v>
          </cell>
          <cell r="D251">
            <v>-215512592.27000001</v>
          </cell>
          <cell r="E251">
            <v>3810264.44</v>
          </cell>
          <cell r="F251">
            <v>0</v>
          </cell>
          <cell r="G251">
            <v>0</v>
          </cell>
          <cell r="H251">
            <v>0</v>
          </cell>
          <cell r="I251">
            <v>0</v>
          </cell>
          <cell r="J251">
            <v>0</v>
          </cell>
          <cell r="K251">
            <v>0</v>
          </cell>
          <cell r="L251">
            <v>219322856.71000001</v>
          </cell>
          <cell r="N251">
            <v>219322856.71000001</v>
          </cell>
          <cell r="O251">
            <v>219322856.71000001</v>
          </cell>
          <cell r="P251">
            <v>0</v>
          </cell>
          <cell r="Q251">
            <v>0</v>
          </cell>
          <cell r="R251">
            <v>0</v>
          </cell>
          <cell r="S251">
            <v>0</v>
          </cell>
          <cell r="T251">
            <v>0</v>
          </cell>
          <cell r="U251">
            <v>0</v>
          </cell>
          <cell r="V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row>
        <row r="252">
          <cell r="C252">
            <v>0</v>
          </cell>
          <cell r="E252">
            <v>0</v>
          </cell>
          <cell r="L252">
            <v>0</v>
          </cell>
          <cell r="N252">
            <v>0</v>
          </cell>
          <cell r="AP252">
            <v>0</v>
          </cell>
        </row>
        <row r="253">
          <cell r="C253">
            <v>124785098.47</v>
          </cell>
          <cell r="D253">
            <v>-124785098.47</v>
          </cell>
          <cell r="E253">
            <v>0</v>
          </cell>
          <cell r="L253">
            <v>124785098.47</v>
          </cell>
          <cell r="N253">
            <v>124785098.47</v>
          </cell>
          <cell r="O253">
            <v>124785098.47</v>
          </cell>
          <cell r="AP253">
            <v>0</v>
          </cell>
        </row>
        <row r="254">
          <cell r="C254">
            <v>0</v>
          </cell>
          <cell r="E254">
            <v>0</v>
          </cell>
          <cell r="L254">
            <v>0</v>
          </cell>
          <cell r="N254">
            <v>0</v>
          </cell>
          <cell r="AP254">
            <v>0</v>
          </cell>
        </row>
        <row r="255">
          <cell r="C255">
            <v>0</v>
          </cell>
          <cell r="E255">
            <v>0</v>
          </cell>
          <cell r="L255">
            <v>0</v>
          </cell>
          <cell r="N255">
            <v>0</v>
          </cell>
          <cell r="AP255">
            <v>0</v>
          </cell>
        </row>
        <row r="256">
          <cell r="C256">
            <v>0</v>
          </cell>
          <cell r="E256">
            <v>0</v>
          </cell>
          <cell r="L256">
            <v>0</v>
          </cell>
          <cell r="N256">
            <v>0</v>
          </cell>
          <cell r="AP256">
            <v>0</v>
          </cell>
        </row>
        <row r="257">
          <cell r="C257">
            <v>0</v>
          </cell>
          <cell r="E257">
            <v>0</v>
          </cell>
          <cell r="L257">
            <v>0</v>
          </cell>
          <cell r="N257">
            <v>0</v>
          </cell>
          <cell r="AP257">
            <v>0</v>
          </cell>
        </row>
        <row r="258">
          <cell r="C258">
            <v>124785098.47</v>
          </cell>
          <cell r="D258">
            <v>-124785098.47</v>
          </cell>
          <cell r="E258">
            <v>0</v>
          </cell>
          <cell r="F258">
            <v>0</v>
          </cell>
          <cell r="G258">
            <v>0</v>
          </cell>
          <cell r="H258">
            <v>0</v>
          </cell>
          <cell r="I258">
            <v>0</v>
          </cell>
          <cell r="J258">
            <v>0</v>
          </cell>
          <cell r="K258">
            <v>0</v>
          </cell>
          <cell r="L258">
            <v>124785098.47</v>
          </cell>
          <cell r="N258">
            <v>124785098.47</v>
          </cell>
          <cell r="O258">
            <v>124785098.47</v>
          </cell>
          <cell r="P258">
            <v>0</v>
          </cell>
          <cell r="Q258">
            <v>0</v>
          </cell>
          <cell r="R258">
            <v>0</v>
          </cell>
          <cell r="S258">
            <v>0</v>
          </cell>
          <cell r="T258">
            <v>0</v>
          </cell>
          <cell r="U258">
            <v>0</v>
          </cell>
          <cell r="V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row>
        <row r="259">
          <cell r="C259">
            <v>0</v>
          </cell>
          <cell r="E259">
            <v>0</v>
          </cell>
          <cell r="L259">
            <v>0</v>
          </cell>
          <cell r="N259">
            <v>0</v>
          </cell>
          <cell r="AP259">
            <v>0</v>
          </cell>
        </row>
        <row r="260">
          <cell r="C260">
            <v>0</v>
          </cell>
          <cell r="E260">
            <v>0</v>
          </cell>
          <cell r="L260">
            <v>0</v>
          </cell>
          <cell r="N260">
            <v>0</v>
          </cell>
          <cell r="AP260">
            <v>0</v>
          </cell>
        </row>
        <row r="261">
          <cell r="C261">
            <v>0</v>
          </cell>
          <cell r="E261">
            <v>0</v>
          </cell>
          <cell r="L261">
            <v>0</v>
          </cell>
          <cell r="N261">
            <v>0</v>
          </cell>
          <cell r="AP261">
            <v>0</v>
          </cell>
        </row>
        <row r="262">
          <cell r="C262">
            <v>0</v>
          </cell>
          <cell r="E262">
            <v>0</v>
          </cell>
          <cell r="L262">
            <v>0</v>
          </cell>
          <cell r="N262">
            <v>0</v>
          </cell>
          <cell r="AP262">
            <v>0</v>
          </cell>
        </row>
        <row r="263">
          <cell r="C263">
            <v>0</v>
          </cell>
          <cell r="E263">
            <v>0</v>
          </cell>
          <cell r="L263">
            <v>0</v>
          </cell>
          <cell r="N263">
            <v>0</v>
          </cell>
          <cell r="AP263">
            <v>0</v>
          </cell>
        </row>
        <row r="264">
          <cell r="C264">
            <v>191281.56</v>
          </cell>
          <cell r="E264">
            <v>191281.56</v>
          </cell>
          <cell r="L264">
            <v>191281.56</v>
          </cell>
          <cell r="N264">
            <v>191281.56</v>
          </cell>
          <cell r="O264">
            <v>191281.56</v>
          </cell>
          <cell r="AP264">
            <v>0</v>
          </cell>
        </row>
        <row r="265">
          <cell r="C265">
            <v>191281.56</v>
          </cell>
          <cell r="D265">
            <v>0</v>
          </cell>
          <cell r="E265">
            <v>191281.56</v>
          </cell>
          <cell r="F265">
            <v>0</v>
          </cell>
          <cell r="G265">
            <v>0</v>
          </cell>
          <cell r="H265">
            <v>0</v>
          </cell>
          <cell r="I265">
            <v>0</v>
          </cell>
          <cell r="J265">
            <v>0</v>
          </cell>
          <cell r="K265">
            <v>0</v>
          </cell>
          <cell r="L265">
            <v>191281.56</v>
          </cell>
          <cell r="N265">
            <v>191281.56</v>
          </cell>
          <cell r="O265">
            <v>191281.56</v>
          </cell>
          <cell r="P265">
            <v>0</v>
          </cell>
          <cell r="Q265">
            <v>0</v>
          </cell>
          <cell r="R265">
            <v>0</v>
          </cell>
          <cell r="S265">
            <v>0</v>
          </cell>
          <cell r="T265">
            <v>0</v>
          </cell>
          <cell r="U265">
            <v>0</v>
          </cell>
          <cell r="V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row>
        <row r="266">
          <cell r="C266">
            <v>0</v>
          </cell>
          <cell r="D266">
            <v>0</v>
          </cell>
          <cell r="E266">
            <v>0</v>
          </cell>
          <cell r="F266">
            <v>0</v>
          </cell>
          <cell r="G266">
            <v>0</v>
          </cell>
          <cell r="H266">
            <v>0</v>
          </cell>
          <cell r="I266">
            <v>0</v>
          </cell>
          <cell r="J266">
            <v>0</v>
          </cell>
          <cell r="K266">
            <v>0</v>
          </cell>
          <cell r="L266">
            <v>0</v>
          </cell>
          <cell r="N266">
            <v>0</v>
          </cell>
          <cell r="O266">
            <v>0</v>
          </cell>
          <cell r="P266">
            <v>0</v>
          </cell>
          <cell r="Q266">
            <v>0</v>
          </cell>
          <cell r="R266">
            <v>0</v>
          </cell>
          <cell r="S266">
            <v>0</v>
          </cell>
          <cell r="T266">
            <v>0</v>
          </cell>
          <cell r="U266">
            <v>0</v>
          </cell>
          <cell r="V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row>
        <row r="267">
          <cell r="C267">
            <v>340297690.74000001</v>
          </cell>
          <cell r="D267">
            <v>-340297690.74000001</v>
          </cell>
          <cell r="E267">
            <v>0</v>
          </cell>
          <cell r="F267">
            <v>0</v>
          </cell>
          <cell r="G267">
            <v>0</v>
          </cell>
          <cell r="H267">
            <v>0</v>
          </cell>
          <cell r="I267">
            <v>0</v>
          </cell>
          <cell r="J267">
            <v>0</v>
          </cell>
          <cell r="K267">
            <v>0</v>
          </cell>
          <cell r="L267">
            <v>340297690.74000001</v>
          </cell>
          <cell r="N267">
            <v>340297690.74000001</v>
          </cell>
          <cell r="O267">
            <v>340297690.74000001</v>
          </cell>
          <cell r="P267">
            <v>0</v>
          </cell>
          <cell r="Q267">
            <v>0</v>
          </cell>
          <cell r="R267">
            <v>0</v>
          </cell>
          <cell r="S267">
            <v>0</v>
          </cell>
          <cell r="T267">
            <v>0</v>
          </cell>
          <cell r="U267">
            <v>0</v>
          </cell>
          <cell r="V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row>
        <row r="268">
          <cell r="C268">
            <v>0</v>
          </cell>
          <cell r="D268">
            <v>0</v>
          </cell>
          <cell r="E268">
            <v>0</v>
          </cell>
          <cell r="F268">
            <v>0</v>
          </cell>
          <cell r="G268">
            <v>0</v>
          </cell>
          <cell r="H268">
            <v>0</v>
          </cell>
          <cell r="I268">
            <v>0</v>
          </cell>
          <cell r="J268">
            <v>0</v>
          </cell>
          <cell r="K268">
            <v>0</v>
          </cell>
          <cell r="L268">
            <v>0</v>
          </cell>
          <cell r="N268">
            <v>0</v>
          </cell>
          <cell r="O268">
            <v>0</v>
          </cell>
          <cell r="P268">
            <v>0</v>
          </cell>
          <cell r="Q268">
            <v>0</v>
          </cell>
          <cell r="R268">
            <v>0</v>
          </cell>
          <cell r="S268">
            <v>0</v>
          </cell>
          <cell r="T268">
            <v>0</v>
          </cell>
          <cell r="U268">
            <v>0</v>
          </cell>
          <cell r="V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row>
        <row r="269">
          <cell r="C269">
            <v>0</v>
          </cell>
          <cell r="D269">
            <v>0</v>
          </cell>
          <cell r="E269">
            <v>0</v>
          </cell>
          <cell r="F269">
            <v>0</v>
          </cell>
          <cell r="G269">
            <v>0</v>
          </cell>
          <cell r="H269">
            <v>0</v>
          </cell>
          <cell r="I269">
            <v>0</v>
          </cell>
          <cell r="J269">
            <v>0</v>
          </cell>
          <cell r="K269">
            <v>0</v>
          </cell>
          <cell r="L269">
            <v>0</v>
          </cell>
          <cell r="N269">
            <v>0</v>
          </cell>
          <cell r="O269">
            <v>0</v>
          </cell>
          <cell r="P269">
            <v>0</v>
          </cell>
          <cell r="Q269">
            <v>0</v>
          </cell>
          <cell r="R269">
            <v>0</v>
          </cell>
          <cell r="S269">
            <v>0</v>
          </cell>
          <cell r="T269">
            <v>0</v>
          </cell>
          <cell r="U269">
            <v>0</v>
          </cell>
          <cell r="V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row>
        <row r="270">
          <cell r="C270">
            <v>0</v>
          </cell>
          <cell r="D270">
            <v>0</v>
          </cell>
          <cell r="E270">
            <v>0</v>
          </cell>
          <cell r="F270">
            <v>0</v>
          </cell>
          <cell r="G270">
            <v>0</v>
          </cell>
          <cell r="H270">
            <v>0</v>
          </cell>
          <cell r="I270">
            <v>0</v>
          </cell>
          <cell r="J270">
            <v>0</v>
          </cell>
          <cell r="K270">
            <v>0</v>
          </cell>
          <cell r="L270">
            <v>0</v>
          </cell>
          <cell r="N270">
            <v>0</v>
          </cell>
          <cell r="O270">
            <v>0</v>
          </cell>
          <cell r="P270">
            <v>0</v>
          </cell>
          <cell r="Q270">
            <v>0</v>
          </cell>
          <cell r="R270">
            <v>0</v>
          </cell>
          <cell r="S270">
            <v>0</v>
          </cell>
          <cell r="T270">
            <v>0</v>
          </cell>
          <cell r="U270">
            <v>0</v>
          </cell>
          <cell r="V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row>
        <row r="271">
          <cell r="C271">
            <v>3618982.88</v>
          </cell>
          <cell r="D271">
            <v>0</v>
          </cell>
          <cell r="E271">
            <v>3618982.88</v>
          </cell>
          <cell r="F271">
            <v>0</v>
          </cell>
          <cell r="G271">
            <v>0</v>
          </cell>
          <cell r="H271">
            <v>0</v>
          </cell>
          <cell r="I271">
            <v>0</v>
          </cell>
          <cell r="J271">
            <v>0</v>
          </cell>
          <cell r="K271">
            <v>0</v>
          </cell>
          <cell r="L271">
            <v>3618982.88</v>
          </cell>
          <cell r="N271">
            <v>3618982.88</v>
          </cell>
          <cell r="O271">
            <v>3618982.88</v>
          </cell>
          <cell r="P271">
            <v>0</v>
          </cell>
          <cell r="Q271">
            <v>0</v>
          </cell>
          <cell r="R271">
            <v>0</v>
          </cell>
          <cell r="S271">
            <v>0</v>
          </cell>
          <cell r="T271">
            <v>0</v>
          </cell>
          <cell r="U271">
            <v>0</v>
          </cell>
          <cell r="V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row>
        <row r="272">
          <cell r="C272">
            <v>343916673.62</v>
          </cell>
          <cell r="D272">
            <v>-340297690.74000001</v>
          </cell>
          <cell r="E272">
            <v>3618982.88</v>
          </cell>
          <cell r="F272">
            <v>0</v>
          </cell>
          <cell r="G272">
            <v>0</v>
          </cell>
          <cell r="H272">
            <v>0</v>
          </cell>
          <cell r="I272">
            <v>0</v>
          </cell>
          <cell r="J272">
            <v>0</v>
          </cell>
          <cell r="K272">
            <v>0</v>
          </cell>
          <cell r="L272">
            <v>343916673.62</v>
          </cell>
          <cell r="N272">
            <v>343916673.62</v>
          </cell>
          <cell r="O272">
            <v>343916673.62</v>
          </cell>
          <cell r="P272">
            <v>0</v>
          </cell>
          <cell r="Q272">
            <v>0</v>
          </cell>
          <cell r="R272">
            <v>0</v>
          </cell>
          <cell r="S272">
            <v>0</v>
          </cell>
          <cell r="T272">
            <v>0</v>
          </cell>
          <cell r="U272">
            <v>0</v>
          </cell>
          <cell r="V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row>
        <row r="273">
          <cell r="C273">
            <v>0</v>
          </cell>
          <cell r="E273">
            <v>0</v>
          </cell>
          <cell r="L273">
            <v>0</v>
          </cell>
          <cell r="N273">
            <v>0</v>
          </cell>
        </row>
        <row r="274">
          <cell r="C274">
            <v>343916673.62</v>
          </cell>
          <cell r="D274">
            <v>-340297690.74000001</v>
          </cell>
          <cell r="E274">
            <v>3618982.88</v>
          </cell>
          <cell r="F274">
            <v>0</v>
          </cell>
          <cell r="G274">
            <v>0</v>
          </cell>
          <cell r="H274">
            <v>0</v>
          </cell>
          <cell r="I274">
            <v>0</v>
          </cell>
          <cell r="J274">
            <v>0</v>
          </cell>
          <cell r="K274">
            <v>0</v>
          </cell>
          <cell r="L274">
            <v>343916673.62</v>
          </cell>
          <cell r="N274">
            <v>343916673.62</v>
          </cell>
          <cell r="O274">
            <v>343916673.62</v>
          </cell>
          <cell r="P274">
            <v>0</v>
          </cell>
          <cell r="Q274">
            <v>0</v>
          </cell>
          <cell r="R274">
            <v>0</v>
          </cell>
          <cell r="S274">
            <v>0</v>
          </cell>
          <cell r="T274">
            <v>0</v>
          </cell>
          <cell r="U274">
            <v>0</v>
          </cell>
          <cell r="V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row>
        <row r="275">
          <cell r="C275">
            <v>0</v>
          </cell>
          <cell r="E275">
            <v>0</v>
          </cell>
          <cell r="L275">
            <v>0</v>
          </cell>
          <cell r="N275">
            <v>0</v>
          </cell>
        </row>
        <row r="276">
          <cell r="C276">
            <v>0</v>
          </cell>
          <cell r="E276">
            <v>0</v>
          </cell>
          <cell r="L276">
            <v>0</v>
          </cell>
          <cell r="N276">
            <v>0</v>
          </cell>
        </row>
        <row r="277">
          <cell r="C277">
            <v>0</v>
          </cell>
          <cell r="E277">
            <v>0</v>
          </cell>
          <cell r="L277">
            <v>0</v>
          </cell>
          <cell r="N277">
            <v>0</v>
          </cell>
          <cell r="AP277">
            <v>0</v>
          </cell>
        </row>
        <row r="278">
          <cell r="C278">
            <v>0</v>
          </cell>
          <cell r="E278">
            <v>0</v>
          </cell>
          <cell r="L278">
            <v>0</v>
          </cell>
          <cell r="N278">
            <v>0</v>
          </cell>
          <cell r="AP278">
            <v>0</v>
          </cell>
        </row>
        <row r="279">
          <cell r="C279">
            <v>0</v>
          </cell>
          <cell r="E279">
            <v>0</v>
          </cell>
          <cell r="L279">
            <v>0</v>
          </cell>
          <cell r="N279">
            <v>0</v>
          </cell>
          <cell r="AP279">
            <v>0</v>
          </cell>
        </row>
        <row r="280">
          <cell r="C280">
            <v>0</v>
          </cell>
          <cell r="E280">
            <v>0</v>
          </cell>
          <cell r="L280">
            <v>0</v>
          </cell>
          <cell r="N280">
            <v>0</v>
          </cell>
        </row>
        <row r="281">
          <cell r="C281">
            <v>0</v>
          </cell>
          <cell r="E281">
            <v>0</v>
          </cell>
          <cell r="F281">
            <v>0</v>
          </cell>
          <cell r="G281">
            <v>0</v>
          </cell>
          <cell r="H281">
            <v>0</v>
          </cell>
          <cell r="I281">
            <v>0</v>
          </cell>
          <cell r="J281">
            <v>0</v>
          </cell>
          <cell r="K281">
            <v>0</v>
          </cell>
          <cell r="L281">
            <v>0</v>
          </cell>
          <cell r="N281">
            <v>0</v>
          </cell>
          <cell r="O281">
            <v>0</v>
          </cell>
          <cell r="P281">
            <v>0</v>
          </cell>
          <cell r="Q281">
            <v>0</v>
          </cell>
          <cell r="R281">
            <v>0</v>
          </cell>
          <cell r="S281">
            <v>0</v>
          </cell>
          <cell r="T281">
            <v>0</v>
          </cell>
          <cell r="U281">
            <v>0</v>
          </cell>
          <cell r="V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row>
        <row r="282">
          <cell r="C282">
            <v>0</v>
          </cell>
          <cell r="E282">
            <v>0</v>
          </cell>
          <cell r="L282">
            <v>0</v>
          </cell>
          <cell r="N282">
            <v>0</v>
          </cell>
        </row>
        <row r="283">
          <cell r="C283">
            <v>0</v>
          </cell>
          <cell r="E283">
            <v>0</v>
          </cell>
          <cell r="L283">
            <v>0</v>
          </cell>
          <cell r="N283">
            <v>0</v>
          </cell>
          <cell r="AP283">
            <v>0</v>
          </cell>
        </row>
        <row r="284">
          <cell r="C284">
            <v>0</v>
          </cell>
          <cell r="E284">
            <v>0</v>
          </cell>
          <cell r="L284">
            <v>0</v>
          </cell>
          <cell r="N284">
            <v>0</v>
          </cell>
          <cell r="AP284">
            <v>0</v>
          </cell>
        </row>
        <row r="285">
          <cell r="C285">
            <v>0</v>
          </cell>
          <cell r="E285">
            <v>0</v>
          </cell>
          <cell r="L285">
            <v>0</v>
          </cell>
          <cell r="N285">
            <v>0</v>
          </cell>
          <cell r="AP285">
            <v>0</v>
          </cell>
        </row>
        <row r="286">
          <cell r="C286">
            <v>0</v>
          </cell>
          <cell r="E286">
            <v>0</v>
          </cell>
          <cell r="L286">
            <v>0</v>
          </cell>
          <cell r="N286">
            <v>0</v>
          </cell>
        </row>
        <row r="287">
          <cell r="C287">
            <v>0</v>
          </cell>
          <cell r="E287">
            <v>0</v>
          </cell>
          <cell r="F287">
            <v>0</v>
          </cell>
          <cell r="G287">
            <v>0</v>
          </cell>
          <cell r="H287">
            <v>0</v>
          </cell>
          <cell r="I287">
            <v>0</v>
          </cell>
          <cell r="J287">
            <v>0</v>
          </cell>
          <cell r="K287">
            <v>0</v>
          </cell>
          <cell r="L287">
            <v>0</v>
          </cell>
          <cell r="N287">
            <v>0</v>
          </cell>
          <cell r="O287">
            <v>0</v>
          </cell>
          <cell r="P287">
            <v>0</v>
          </cell>
          <cell r="Q287">
            <v>0</v>
          </cell>
          <cell r="R287">
            <v>0</v>
          </cell>
          <cell r="S287">
            <v>0</v>
          </cell>
          <cell r="T287">
            <v>0</v>
          </cell>
          <cell r="U287">
            <v>0</v>
          </cell>
          <cell r="V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row>
        <row r="288">
          <cell r="C288">
            <v>0</v>
          </cell>
          <cell r="E288">
            <v>0</v>
          </cell>
          <cell r="L288">
            <v>0</v>
          </cell>
          <cell r="N288">
            <v>0</v>
          </cell>
        </row>
        <row r="289">
          <cell r="C289">
            <v>0</v>
          </cell>
          <cell r="E289">
            <v>0</v>
          </cell>
          <cell r="L289">
            <v>0</v>
          </cell>
          <cell r="N289">
            <v>0</v>
          </cell>
          <cell r="AP289">
            <v>0</v>
          </cell>
        </row>
        <row r="290">
          <cell r="C290">
            <v>0</v>
          </cell>
          <cell r="E290">
            <v>0</v>
          </cell>
          <cell r="L290">
            <v>0</v>
          </cell>
          <cell r="N290">
            <v>0</v>
          </cell>
          <cell r="AP290">
            <v>0</v>
          </cell>
        </row>
        <row r="291">
          <cell r="C291">
            <v>0</v>
          </cell>
          <cell r="E291">
            <v>0</v>
          </cell>
          <cell r="L291">
            <v>0</v>
          </cell>
          <cell r="N291">
            <v>0</v>
          </cell>
          <cell r="AP291">
            <v>0</v>
          </cell>
        </row>
        <row r="292">
          <cell r="C292">
            <v>0</v>
          </cell>
          <cell r="E292">
            <v>0</v>
          </cell>
          <cell r="L292">
            <v>0</v>
          </cell>
          <cell r="N292">
            <v>0</v>
          </cell>
        </row>
        <row r="293">
          <cell r="C293">
            <v>0</v>
          </cell>
          <cell r="E293">
            <v>0</v>
          </cell>
          <cell r="F293">
            <v>0</v>
          </cell>
          <cell r="G293">
            <v>0</v>
          </cell>
          <cell r="H293">
            <v>0</v>
          </cell>
          <cell r="I293">
            <v>0</v>
          </cell>
          <cell r="J293">
            <v>0</v>
          </cell>
          <cell r="K293">
            <v>0</v>
          </cell>
          <cell r="L293">
            <v>0</v>
          </cell>
          <cell r="N293">
            <v>0</v>
          </cell>
          <cell r="O293">
            <v>0</v>
          </cell>
          <cell r="P293">
            <v>0</v>
          </cell>
          <cell r="Q293">
            <v>0</v>
          </cell>
          <cell r="R293">
            <v>0</v>
          </cell>
          <cell r="S293">
            <v>0</v>
          </cell>
          <cell r="T293">
            <v>0</v>
          </cell>
          <cell r="U293">
            <v>0</v>
          </cell>
          <cell r="V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row>
        <row r="294">
          <cell r="C294">
            <v>0</v>
          </cell>
          <cell r="E294">
            <v>0</v>
          </cell>
          <cell r="L294">
            <v>0</v>
          </cell>
          <cell r="N294">
            <v>0</v>
          </cell>
        </row>
        <row r="295">
          <cell r="C295">
            <v>0</v>
          </cell>
          <cell r="E295">
            <v>0</v>
          </cell>
          <cell r="F295">
            <v>0</v>
          </cell>
          <cell r="G295">
            <v>0</v>
          </cell>
          <cell r="H295">
            <v>0</v>
          </cell>
          <cell r="I295">
            <v>0</v>
          </cell>
          <cell r="J295">
            <v>0</v>
          </cell>
          <cell r="K295">
            <v>0</v>
          </cell>
          <cell r="L295">
            <v>0</v>
          </cell>
          <cell r="N295">
            <v>0</v>
          </cell>
          <cell r="O295">
            <v>0</v>
          </cell>
          <cell r="P295">
            <v>0</v>
          </cell>
          <cell r="Q295">
            <v>0</v>
          </cell>
          <cell r="R295">
            <v>0</v>
          </cell>
          <cell r="S295">
            <v>0</v>
          </cell>
          <cell r="T295">
            <v>0</v>
          </cell>
          <cell r="U295">
            <v>0</v>
          </cell>
          <cell r="V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row>
        <row r="296">
          <cell r="C296">
            <v>0</v>
          </cell>
          <cell r="E296">
            <v>0</v>
          </cell>
          <cell r="F296">
            <v>0</v>
          </cell>
          <cell r="G296">
            <v>0</v>
          </cell>
          <cell r="H296">
            <v>0</v>
          </cell>
          <cell r="I296">
            <v>0</v>
          </cell>
          <cell r="J296">
            <v>0</v>
          </cell>
          <cell r="K296">
            <v>0</v>
          </cell>
          <cell r="L296">
            <v>0</v>
          </cell>
          <cell r="N296">
            <v>0</v>
          </cell>
          <cell r="O296">
            <v>0</v>
          </cell>
          <cell r="P296">
            <v>0</v>
          </cell>
          <cell r="Q296">
            <v>0</v>
          </cell>
          <cell r="R296">
            <v>0</v>
          </cell>
          <cell r="S296">
            <v>0</v>
          </cell>
          <cell r="T296">
            <v>0</v>
          </cell>
          <cell r="U296">
            <v>0</v>
          </cell>
          <cell r="V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row>
        <row r="297">
          <cell r="C297">
            <v>0</v>
          </cell>
          <cell r="E297">
            <v>0</v>
          </cell>
          <cell r="F297">
            <v>0</v>
          </cell>
          <cell r="G297">
            <v>0</v>
          </cell>
          <cell r="H297">
            <v>0</v>
          </cell>
          <cell r="I297">
            <v>0</v>
          </cell>
          <cell r="J297">
            <v>0</v>
          </cell>
          <cell r="K297">
            <v>0</v>
          </cell>
          <cell r="L297">
            <v>0</v>
          </cell>
          <cell r="N297">
            <v>0</v>
          </cell>
          <cell r="O297">
            <v>0</v>
          </cell>
          <cell r="P297">
            <v>0</v>
          </cell>
          <cell r="Q297">
            <v>0</v>
          </cell>
          <cell r="R297">
            <v>0</v>
          </cell>
          <cell r="S297">
            <v>0</v>
          </cell>
          <cell r="T297">
            <v>0</v>
          </cell>
          <cell r="U297">
            <v>0</v>
          </cell>
          <cell r="V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row>
        <row r="298">
          <cell r="C298">
            <v>0</v>
          </cell>
          <cell r="E298">
            <v>0</v>
          </cell>
          <cell r="L298">
            <v>0</v>
          </cell>
          <cell r="N298">
            <v>0</v>
          </cell>
        </row>
        <row r="299">
          <cell r="C299">
            <v>0</v>
          </cell>
          <cell r="E299">
            <v>0</v>
          </cell>
          <cell r="F299">
            <v>0</v>
          </cell>
          <cell r="G299">
            <v>0</v>
          </cell>
          <cell r="H299">
            <v>0</v>
          </cell>
          <cell r="I299">
            <v>0</v>
          </cell>
          <cell r="J299">
            <v>0</v>
          </cell>
          <cell r="K299">
            <v>0</v>
          </cell>
          <cell r="L299">
            <v>0</v>
          </cell>
          <cell r="N299">
            <v>0</v>
          </cell>
          <cell r="O299">
            <v>0</v>
          </cell>
          <cell r="P299">
            <v>0</v>
          </cell>
          <cell r="Q299">
            <v>0</v>
          </cell>
          <cell r="R299">
            <v>0</v>
          </cell>
          <cell r="S299">
            <v>0</v>
          </cell>
          <cell r="T299">
            <v>0</v>
          </cell>
          <cell r="U299">
            <v>0</v>
          </cell>
          <cell r="V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row>
        <row r="300">
          <cell r="C300">
            <v>0</v>
          </cell>
          <cell r="E300">
            <v>0</v>
          </cell>
          <cell r="L300">
            <v>0</v>
          </cell>
          <cell r="N300">
            <v>0</v>
          </cell>
        </row>
        <row r="301">
          <cell r="C301">
            <v>0</v>
          </cell>
          <cell r="E301">
            <v>0</v>
          </cell>
          <cell r="L301">
            <v>0</v>
          </cell>
          <cell r="N301">
            <v>0</v>
          </cell>
        </row>
        <row r="302">
          <cell r="C302">
            <v>160597390.59999999</v>
          </cell>
          <cell r="E302">
            <v>160597390.59999999</v>
          </cell>
          <cell r="G302">
            <v>2818515.79</v>
          </cell>
          <cell r="H302">
            <v>72572371.609999999</v>
          </cell>
          <cell r="J302">
            <v>54310000</v>
          </cell>
          <cell r="L302">
            <v>30896503.199999999</v>
          </cell>
          <cell r="N302">
            <v>30896503.199999999</v>
          </cell>
          <cell r="V302">
            <v>30868503.199999999</v>
          </cell>
          <cell r="AJ302">
            <v>0</v>
          </cell>
          <cell r="AP302">
            <v>0</v>
          </cell>
          <cell r="AQ302">
            <v>28000</v>
          </cell>
        </row>
        <row r="303">
          <cell r="C303">
            <v>297012462.50999999</v>
          </cell>
          <cell r="E303">
            <v>297012462.50999999</v>
          </cell>
          <cell r="F303">
            <v>5694921.3899999997</v>
          </cell>
          <cell r="G303">
            <v>10194733.699999999</v>
          </cell>
          <cell r="H303">
            <v>15161962.18</v>
          </cell>
          <cell r="I303">
            <v>8598366.0500000007</v>
          </cell>
          <cell r="J303">
            <v>5887709</v>
          </cell>
          <cell r="K303">
            <v>7389806.9800000004</v>
          </cell>
          <cell r="L303">
            <v>244084963.21000001</v>
          </cell>
          <cell r="N303">
            <v>244084963.21000001</v>
          </cell>
          <cell r="O303">
            <v>6215532.7999999998</v>
          </cell>
          <cell r="Q303">
            <v>14804154.460000001</v>
          </cell>
          <cell r="R303">
            <v>6433650</v>
          </cell>
          <cell r="S303">
            <v>5277460</v>
          </cell>
          <cell r="T303">
            <v>6243595</v>
          </cell>
          <cell r="U303">
            <v>9819578.6999999993</v>
          </cell>
          <cell r="V303">
            <v>6832787.4000000004</v>
          </cell>
          <cell r="W303">
            <v>5632336</v>
          </cell>
          <cell r="X303">
            <v>5854568</v>
          </cell>
          <cell r="Y303">
            <v>8124965.2800000003</v>
          </cell>
          <cell r="Z303">
            <v>6058766.9100000001</v>
          </cell>
          <cell r="AA303">
            <v>12594401</v>
          </cell>
          <cell r="AB303">
            <v>1494500</v>
          </cell>
          <cell r="AC303">
            <v>8510635.1300000008</v>
          </cell>
          <cell r="AD303">
            <v>8598752.0399999991</v>
          </cell>
          <cell r="AE303">
            <v>10435000</v>
          </cell>
          <cell r="AF303">
            <v>7543900</v>
          </cell>
          <cell r="AG303">
            <v>5839308.0300000003</v>
          </cell>
          <cell r="AH303">
            <v>5863721</v>
          </cell>
          <cell r="AI303">
            <v>9224413.1999999993</v>
          </cell>
          <cell r="AJ303">
            <v>1212918.28</v>
          </cell>
          <cell r="AK303">
            <v>11591450</v>
          </cell>
          <cell r="AL303">
            <v>3355444.98</v>
          </cell>
          <cell r="AM303">
            <v>3690200</v>
          </cell>
          <cell r="AN303">
            <v>6152983</v>
          </cell>
          <cell r="AO303">
            <v>18409810</v>
          </cell>
          <cell r="AP303">
            <v>12039270</v>
          </cell>
          <cell r="AQ303">
            <v>22491332</v>
          </cell>
          <cell r="AR303">
            <v>3446380</v>
          </cell>
          <cell r="AS303">
            <v>10293150</v>
          </cell>
          <cell r="AT303">
            <v>0</v>
          </cell>
          <cell r="AU303">
            <v>0</v>
          </cell>
        </row>
        <row r="304">
          <cell r="C304">
            <v>19638906.829999998</v>
          </cell>
          <cell r="E304">
            <v>19638906.829999998</v>
          </cell>
          <cell r="G304">
            <v>1097758</v>
          </cell>
          <cell r="H304">
            <v>352460.2</v>
          </cell>
          <cell r="I304">
            <v>801790</v>
          </cell>
          <cell r="J304">
            <v>81000</v>
          </cell>
          <cell r="K304">
            <v>631459.19999999995</v>
          </cell>
          <cell r="L304">
            <v>16674439.43</v>
          </cell>
          <cell r="N304">
            <v>16674439.43</v>
          </cell>
          <cell r="O304">
            <v>7056492.7599999998</v>
          </cell>
          <cell r="Q304">
            <v>560100</v>
          </cell>
          <cell r="R304">
            <v>516482.91</v>
          </cell>
          <cell r="T304">
            <v>306000</v>
          </cell>
          <cell r="U304">
            <v>361165.6</v>
          </cell>
          <cell r="X304">
            <v>85491</v>
          </cell>
          <cell r="Y304">
            <v>68741.960000000006</v>
          </cell>
          <cell r="Z304">
            <v>391617.9</v>
          </cell>
          <cell r="AA304">
            <v>236700</v>
          </cell>
          <cell r="AB304">
            <v>382400</v>
          </cell>
          <cell r="AC304">
            <v>632333.4</v>
          </cell>
          <cell r="AD304">
            <v>613700</v>
          </cell>
          <cell r="AE304">
            <v>945516.5</v>
          </cell>
          <cell r="AF304">
            <v>88700</v>
          </cell>
          <cell r="AG304">
            <v>378800</v>
          </cell>
          <cell r="AH304">
            <v>0</v>
          </cell>
          <cell r="AI304">
            <v>0</v>
          </cell>
          <cell r="AJ304">
            <v>550500</v>
          </cell>
          <cell r="AK304">
            <v>590400</v>
          </cell>
          <cell r="AL304">
            <v>431577.4</v>
          </cell>
          <cell r="AM304">
            <v>0</v>
          </cell>
          <cell r="AN304">
            <v>205300</v>
          </cell>
          <cell r="AO304">
            <v>244000</v>
          </cell>
          <cell r="AP304">
            <v>725600</v>
          </cell>
          <cell r="AQ304">
            <v>1214660</v>
          </cell>
          <cell r="AR304">
            <v>0</v>
          </cell>
          <cell r="AS304">
            <v>88160</v>
          </cell>
          <cell r="AT304">
            <v>0</v>
          </cell>
          <cell r="AU304">
            <v>0</v>
          </cell>
          <cell r="AV304">
            <v>0</v>
          </cell>
          <cell r="AW304">
            <v>0</v>
          </cell>
          <cell r="AX304">
            <v>0</v>
          </cell>
          <cell r="AY304">
            <v>0</v>
          </cell>
        </row>
        <row r="305">
          <cell r="C305">
            <v>104942782.59999999</v>
          </cell>
          <cell r="E305">
            <v>104942782.59999999</v>
          </cell>
          <cell r="F305">
            <v>814835.29</v>
          </cell>
          <cell r="G305">
            <v>18003718.09</v>
          </cell>
          <cell r="H305">
            <v>1552187</v>
          </cell>
          <cell r="I305">
            <v>3277321.5</v>
          </cell>
          <cell r="J305">
            <v>912038</v>
          </cell>
          <cell r="K305">
            <v>4888144</v>
          </cell>
          <cell r="L305">
            <v>75494538.719999999</v>
          </cell>
          <cell r="N305">
            <v>75494538.719999999</v>
          </cell>
          <cell r="O305">
            <v>4719782.3</v>
          </cell>
          <cell r="P305">
            <v>8504.27</v>
          </cell>
          <cell r="Q305">
            <v>2615376</v>
          </cell>
          <cell r="R305">
            <v>1006853.4</v>
          </cell>
          <cell r="S305">
            <v>1863530</v>
          </cell>
          <cell r="T305">
            <v>493449</v>
          </cell>
          <cell r="U305">
            <v>493579.92</v>
          </cell>
          <cell r="V305">
            <v>2747305.6</v>
          </cell>
          <cell r="W305">
            <v>719486</v>
          </cell>
          <cell r="X305">
            <v>704720</v>
          </cell>
          <cell r="Y305">
            <v>454534.6</v>
          </cell>
          <cell r="Z305">
            <v>593190.51</v>
          </cell>
          <cell r="AA305">
            <v>1062575</v>
          </cell>
          <cell r="AB305">
            <v>8411590</v>
          </cell>
          <cell r="AC305">
            <v>819014.65</v>
          </cell>
          <cell r="AD305">
            <v>2720238</v>
          </cell>
          <cell r="AE305">
            <v>2897289</v>
          </cell>
          <cell r="AF305">
            <v>1420407</v>
          </cell>
          <cell r="AG305">
            <v>2909195.97</v>
          </cell>
          <cell r="AH305">
            <v>618713.44999999995</v>
          </cell>
          <cell r="AI305">
            <v>424650.42</v>
          </cell>
          <cell r="AJ305">
            <v>9357020</v>
          </cell>
          <cell r="AK305">
            <v>845288.28</v>
          </cell>
          <cell r="AL305">
            <v>8302958.3499999996</v>
          </cell>
          <cell r="AM305">
            <v>286200</v>
          </cell>
          <cell r="AN305">
            <v>2070029</v>
          </cell>
          <cell r="AO305">
            <v>2800320</v>
          </cell>
          <cell r="AP305">
            <v>1530548</v>
          </cell>
          <cell r="AQ305">
            <v>0</v>
          </cell>
          <cell r="AR305">
            <v>790910</v>
          </cell>
          <cell r="AS305">
            <v>11807280</v>
          </cell>
        </row>
        <row r="306">
          <cell r="C306">
            <v>0</v>
          </cell>
          <cell r="E306">
            <v>0</v>
          </cell>
          <cell r="L306">
            <v>0</v>
          </cell>
          <cell r="N306">
            <v>0</v>
          </cell>
        </row>
        <row r="307">
          <cell r="C307">
            <v>0</v>
          </cell>
          <cell r="E307">
            <v>0</v>
          </cell>
          <cell r="L307">
            <v>0</v>
          </cell>
          <cell r="N307">
            <v>0</v>
          </cell>
        </row>
        <row r="308">
          <cell r="C308">
            <v>582191542.53999996</v>
          </cell>
          <cell r="D308">
            <v>0</v>
          </cell>
          <cell r="E308">
            <v>582191542.53999996</v>
          </cell>
          <cell r="F308">
            <v>6509756.6799999997</v>
          </cell>
          <cell r="G308">
            <v>32114725.579999998</v>
          </cell>
          <cell r="H308">
            <v>89638980.989999995</v>
          </cell>
          <cell r="I308">
            <v>12677477.550000001</v>
          </cell>
          <cell r="J308">
            <v>61190747</v>
          </cell>
          <cell r="K308">
            <v>12909410.18</v>
          </cell>
          <cell r="L308">
            <v>367150444.56</v>
          </cell>
          <cell r="M308">
            <v>0</v>
          </cell>
          <cell r="N308">
            <v>367150444.56</v>
          </cell>
          <cell r="O308">
            <v>17991807.859999999</v>
          </cell>
          <cell r="P308">
            <v>8504.27</v>
          </cell>
          <cell r="Q308">
            <v>17979630.460000001</v>
          </cell>
          <cell r="R308">
            <v>7956986.3099999996</v>
          </cell>
          <cell r="S308">
            <v>7140990</v>
          </cell>
          <cell r="T308">
            <v>7043044</v>
          </cell>
          <cell r="U308">
            <v>10674324.220000001</v>
          </cell>
          <cell r="V308">
            <v>40448596.200000003</v>
          </cell>
          <cell r="W308">
            <v>6351822</v>
          </cell>
          <cell r="X308">
            <v>6644779</v>
          </cell>
          <cell r="Y308">
            <v>8648241.8399999999</v>
          </cell>
          <cell r="Z308">
            <v>7043575.3200000003</v>
          </cell>
          <cell r="AA308">
            <v>13893676</v>
          </cell>
          <cell r="AB308">
            <v>10288490</v>
          </cell>
          <cell r="AC308">
            <v>9961983.1799999997</v>
          </cell>
          <cell r="AD308">
            <v>11932690.039999999</v>
          </cell>
          <cell r="AE308">
            <v>14277805.5</v>
          </cell>
          <cell r="AF308">
            <v>9053007</v>
          </cell>
          <cell r="AG308">
            <v>9127304</v>
          </cell>
          <cell r="AH308">
            <v>6482434.4500000002</v>
          </cell>
          <cell r="AI308">
            <v>9649063.6199999992</v>
          </cell>
          <cell r="AJ308">
            <v>11120438.279999999</v>
          </cell>
          <cell r="AK308">
            <v>13027138.279999999</v>
          </cell>
          <cell r="AL308">
            <v>12089980.73</v>
          </cell>
          <cell r="AM308">
            <v>3976400</v>
          </cell>
          <cell r="AN308">
            <v>8428312</v>
          </cell>
          <cell r="AO308">
            <v>21454130</v>
          </cell>
          <cell r="AP308">
            <v>14295418</v>
          </cell>
          <cell r="AQ308">
            <v>23733992</v>
          </cell>
          <cell r="AR308">
            <v>4237290</v>
          </cell>
          <cell r="AS308">
            <v>22188590</v>
          </cell>
          <cell r="AT308">
            <v>0</v>
          </cell>
          <cell r="AU308">
            <v>0</v>
          </cell>
          <cell r="AV308">
            <v>0</v>
          </cell>
          <cell r="AW308">
            <v>0</v>
          </cell>
          <cell r="AX308">
            <v>0</v>
          </cell>
          <cell r="AY308">
            <v>0</v>
          </cell>
        </row>
        <row r="309">
          <cell r="C309">
            <v>238962334.90000001</v>
          </cell>
          <cell r="E309">
            <v>238962334.90000001</v>
          </cell>
          <cell r="H309">
            <v>0</v>
          </cell>
          <cell r="I309">
            <v>70216302.700000003</v>
          </cell>
          <cell r="L309">
            <v>168746032.19999999</v>
          </cell>
          <cell r="N309">
            <v>168746032.19999999</v>
          </cell>
          <cell r="AI309">
            <v>38168000</v>
          </cell>
          <cell r="AJ309">
            <v>69953300</v>
          </cell>
          <cell r="AP309">
            <v>0</v>
          </cell>
          <cell r="AQ309">
            <v>60624732.200000003</v>
          </cell>
          <cell r="AT309">
            <v>0</v>
          </cell>
        </row>
        <row r="310">
          <cell r="C310">
            <v>70800635.829999998</v>
          </cell>
          <cell r="E310">
            <v>70800635.829999998</v>
          </cell>
          <cell r="F310">
            <v>1037422.55</v>
          </cell>
          <cell r="G310">
            <v>2003248.79</v>
          </cell>
          <cell r="H310">
            <v>107825.79</v>
          </cell>
          <cell r="I310">
            <v>359721.75</v>
          </cell>
          <cell r="J310">
            <v>3050388</v>
          </cell>
          <cell r="K310">
            <v>188551.97</v>
          </cell>
          <cell r="L310">
            <v>64053476.979999997</v>
          </cell>
          <cell r="N310">
            <v>64053476.979999997</v>
          </cell>
          <cell r="O310">
            <v>887170</v>
          </cell>
          <cell r="Q310">
            <v>370260</v>
          </cell>
          <cell r="R310">
            <v>13450</v>
          </cell>
          <cell r="S310">
            <v>32684</v>
          </cell>
          <cell r="T310">
            <v>39680</v>
          </cell>
          <cell r="U310">
            <v>-810801.5</v>
          </cell>
          <cell r="W310">
            <v>303900</v>
          </cell>
          <cell r="X310">
            <v>45800</v>
          </cell>
          <cell r="Y310">
            <v>1160372.44</v>
          </cell>
          <cell r="Z310">
            <v>1842.85</v>
          </cell>
          <cell r="AB310">
            <v>28083</v>
          </cell>
          <cell r="AC310">
            <v>671008.31000000006</v>
          </cell>
          <cell r="AD310">
            <v>95647.64</v>
          </cell>
          <cell r="AE310">
            <v>937654.04</v>
          </cell>
          <cell r="AG310">
            <v>541603.77</v>
          </cell>
          <cell r="AH310">
            <v>2864375.28</v>
          </cell>
          <cell r="AI310">
            <v>533675.38</v>
          </cell>
          <cell r="AJ310">
            <v>176213</v>
          </cell>
          <cell r="AK310">
            <v>8650</v>
          </cell>
          <cell r="AL310">
            <v>507101.68</v>
          </cell>
          <cell r="AM310">
            <v>1450</v>
          </cell>
          <cell r="AN310">
            <v>544577.85</v>
          </cell>
          <cell r="AO310">
            <v>20500</v>
          </cell>
          <cell r="AP310">
            <v>235827.85</v>
          </cell>
          <cell r="AQ310">
            <v>49207</v>
          </cell>
          <cell r="AR310">
            <v>385600</v>
          </cell>
          <cell r="AT310">
            <v>13274234.9</v>
          </cell>
          <cell r="AU310">
            <v>8824524.0199999996</v>
          </cell>
          <cell r="AV310">
            <v>6683082.6500000004</v>
          </cell>
          <cell r="AW310">
            <v>13158311.699999999</v>
          </cell>
          <cell r="AX310">
            <v>6833197.6500000004</v>
          </cell>
          <cell r="AY310">
            <v>5634593.4699999997</v>
          </cell>
        </row>
        <row r="311">
          <cell r="C311">
            <v>1388224.83</v>
          </cell>
          <cell r="E311">
            <v>1388224.83</v>
          </cell>
          <cell r="G311">
            <v>364800</v>
          </cell>
          <cell r="L311">
            <v>1023424.83</v>
          </cell>
          <cell r="N311">
            <v>1023424.83</v>
          </cell>
          <cell r="U311">
            <v>0</v>
          </cell>
          <cell r="AB311">
            <v>165000</v>
          </cell>
          <cell r="AC311">
            <v>173305.1</v>
          </cell>
          <cell r="AD311">
            <v>0</v>
          </cell>
          <cell r="AI311">
            <v>158983</v>
          </cell>
          <cell r="AJ311">
            <v>0</v>
          </cell>
          <cell r="AK311">
            <v>51900</v>
          </cell>
          <cell r="AL311">
            <v>28830.1</v>
          </cell>
          <cell r="AO311">
            <v>0</v>
          </cell>
          <cell r="AP311">
            <v>56465</v>
          </cell>
          <cell r="AT311">
            <v>124403.63</v>
          </cell>
          <cell r="AW311">
            <v>199238</v>
          </cell>
          <cell r="AY311">
            <v>65300</v>
          </cell>
        </row>
        <row r="312">
          <cell r="C312">
            <v>9839593.3900000006</v>
          </cell>
          <cell r="E312">
            <v>9839593.3900000006</v>
          </cell>
          <cell r="F312">
            <v>521810.96</v>
          </cell>
          <cell r="G312">
            <v>994530</v>
          </cell>
          <cell r="H312">
            <v>38551</v>
          </cell>
          <cell r="I312">
            <v>25412.35</v>
          </cell>
          <cell r="K312">
            <v>72791.199999999997</v>
          </cell>
          <cell r="L312">
            <v>8186497.8799999999</v>
          </cell>
          <cell r="N312">
            <v>8186497.8799999999</v>
          </cell>
          <cell r="O312">
            <v>73850</v>
          </cell>
          <cell r="P312">
            <v>314600</v>
          </cell>
          <cell r="R312">
            <v>18000</v>
          </cell>
          <cell r="S312">
            <v>23330</v>
          </cell>
          <cell r="T312">
            <v>101871</v>
          </cell>
          <cell r="U312">
            <v>36713.050000000003</v>
          </cell>
          <cell r="V312">
            <v>19450</v>
          </cell>
          <cell r="X312">
            <v>88900</v>
          </cell>
          <cell r="Y312">
            <v>8372</v>
          </cell>
          <cell r="Z312">
            <v>3671.33</v>
          </cell>
          <cell r="AA312">
            <v>65368.28</v>
          </cell>
          <cell r="AB312">
            <v>24760</v>
          </cell>
          <cell r="AD312">
            <v>17300</v>
          </cell>
          <cell r="AE312">
            <v>312040</v>
          </cell>
          <cell r="AF312">
            <v>314417</v>
          </cell>
          <cell r="AG312">
            <v>0</v>
          </cell>
          <cell r="AH312">
            <v>3481.6</v>
          </cell>
          <cell r="AI312">
            <v>29340</v>
          </cell>
          <cell r="AJ312">
            <v>253258</v>
          </cell>
          <cell r="AK312">
            <v>23635</v>
          </cell>
          <cell r="AL312">
            <v>373107.03</v>
          </cell>
          <cell r="AM312">
            <v>0</v>
          </cell>
          <cell r="AN312">
            <v>64655.07</v>
          </cell>
          <cell r="AO312">
            <v>55700</v>
          </cell>
          <cell r="AP312">
            <v>161311.28</v>
          </cell>
          <cell r="AQ312">
            <v>0</v>
          </cell>
          <cell r="AR312">
            <v>0</v>
          </cell>
          <cell r="AS312">
            <v>129500</v>
          </cell>
          <cell r="AT312">
            <v>2209469.4</v>
          </cell>
          <cell r="AU312">
            <v>741807.2</v>
          </cell>
          <cell r="AV312">
            <v>0</v>
          </cell>
          <cell r="AW312">
            <v>295618.84000000003</v>
          </cell>
          <cell r="AX312">
            <v>2353836.75</v>
          </cell>
          <cell r="AY312">
            <v>69135.05</v>
          </cell>
        </row>
        <row r="313">
          <cell r="C313">
            <v>36408187.490000002</v>
          </cell>
          <cell r="E313">
            <v>36408187.490000002</v>
          </cell>
          <cell r="I313">
            <v>24174222.129999999</v>
          </cell>
          <cell r="L313">
            <v>12233965.359999999</v>
          </cell>
          <cell r="N313">
            <v>12233965.359999999</v>
          </cell>
          <cell r="AI313">
            <v>4977928.4000000004</v>
          </cell>
          <cell r="AQ313">
            <v>7256036.96</v>
          </cell>
        </row>
        <row r="314">
          <cell r="C314">
            <v>546239083.63999999</v>
          </cell>
          <cell r="E314">
            <v>546239083.63999999</v>
          </cell>
          <cell r="F314">
            <v>22260683.600000001</v>
          </cell>
          <cell r="G314">
            <v>26104424.600000001</v>
          </cell>
          <cell r="K314">
            <v>24688281.859999999</v>
          </cell>
          <cell r="L314">
            <v>473185693.57999998</v>
          </cell>
          <cell r="N314">
            <v>473185693.57999998</v>
          </cell>
          <cell r="O314">
            <v>130648800</v>
          </cell>
          <cell r="Q314">
            <v>12013781.17</v>
          </cell>
          <cell r="R314">
            <v>23729347.760000002</v>
          </cell>
          <cell r="S314">
            <v>18751414.219999999</v>
          </cell>
          <cell r="T314">
            <v>6207068.3399999999</v>
          </cell>
          <cell r="U314">
            <v>18392425.57</v>
          </cell>
          <cell r="W314">
            <v>5736187.1799999997</v>
          </cell>
          <cell r="X314">
            <v>1527223.48</v>
          </cell>
          <cell r="Y314">
            <v>11505945.42</v>
          </cell>
          <cell r="Z314">
            <v>26603882.579999998</v>
          </cell>
          <cell r="AA314">
            <v>19218041.960000001</v>
          </cell>
          <cell r="AB314">
            <v>15825373.460000001</v>
          </cell>
          <cell r="AC314">
            <v>9075916.5099999998</v>
          </cell>
          <cell r="AE314">
            <v>6430450.3899999997</v>
          </cell>
          <cell r="AF314">
            <v>6628654.1399999997</v>
          </cell>
          <cell r="AG314">
            <v>12982204.699999999</v>
          </cell>
          <cell r="AH314">
            <v>8835830.1500000004</v>
          </cell>
          <cell r="AI314">
            <v>0</v>
          </cell>
          <cell r="AJ314">
            <v>0</v>
          </cell>
          <cell r="AK314">
            <v>25035330.23</v>
          </cell>
          <cell r="AL314">
            <v>12768890.5</v>
          </cell>
          <cell r="AM314">
            <v>0</v>
          </cell>
          <cell r="AN314">
            <v>12739079.789999999</v>
          </cell>
          <cell r="AO314">
            <v>3686600.65</v>
          </cell>
          <cell r="AP314">
            <v>1707023.79</v>
          </cell>
          <cell r="AQ314">
            <v>0</v>
          </cell>
          <cell r="AR314">
            <v>1729364.85</v>
          </cell>
          <cell r="AS314">
            <v>2001817.82</v>
          </cell>
          <cell r="AT314">
            <v>15204808.060000001</v>
          </cell>
          <cell r="AU314">
            <v>30906093.16</v>
          </cell>
          <cell r="AV314">
            <v>8084170.2000000002</v>
          </cell>
          <cell r="AW314">
            <v>9464149.0500000007</v>
          </cell>
          <cell r="AX314">
            <v>14983972.449999999</v>
          </cell>
          <cell r="AY314">
            <v>761846</v>
          </cell>
        </row>
        <row r="315">
          <cell r="C315">
            <v>903638060.08000004</v>
          </cell>
          <cell r="D315">
            <v>0</v>
          </cell>
          <cell r="E315">
            <v>903638060.08000004</v>
          </cell>
          <cell r="F315">
            <v>23819917.109999999</v>
          </cell>
          <cell r="G315">
            <v>29467003.390000001</v>
          </cell>
          <cell r="H315">
            <v>146376.79</v>
          </cell>
          <cell r="I315">
            <v>94775658.930000007</v>
          </cell>
          <cell r="J315">
            <v>3050388</v>
          </cell>
          <cell r="K315">
            <v>24949625.030000001</v>
          </cell>
          <cell r="L315">
            <v>727429090.83000004</v>
          </cell>
          <cell r="M315">
            <v>0</v>
          </cell>
          <cell r="N315">
            <v>727429090.83000004</v>
          </cell>
          <cell r="O315">
            <v>131609820</v>
          </cell>
          <cell r="P315">
            <v>314600</v>
          </cell>
          <cell r="Q315">
            <v>12384041.17</v>
          </cell>
          <cell r="R315">
            <v>23760797.760000002</v>
          </cell>
          <cell r="S315">
            <v>18807428.219999999</v>
          </cell>
          <cell r="T315">
            <v>6348619.3399999999</v>
          </cell>
          <cell r="U315">
            <v>17618337.120000001</v>
          </cell>
          <cell r="V315">
            <v>19450</v>
          </cell>
          <cell r="W315">
            <v>6040087.1799999997</v>
          </cell>
          <cell r="X315">
            <v>1661923.48</v>
          </cell>
          <cell r="Y315">
            <v>12674689.859999999</v>
          </cell>
          <cell r="Z315">
            <v>26609396.760000002</v>
          </cell>
          <cell r="AA315">
            <v>19283410.239999998</v>
          </cell>
          <cell r="AB315">
            <v>16043216.460000001</v>
          </cell>
          <cell r="AC315">
            <v>9920229.9199999999</v>
          </cell>
          <cell r="AD315">
            <v>112947.64</v>
          </cell>
          <cell r="AE315">
            <v>7680144.4299999997</v>
          </cell>
          <cell r="AF315">
            <v>6943071.1399999997</v>
          </cell>
          <cell r="AG315">
            <v>13523808.470000001</v>
          </cell>
          <cell r="AH315">
            <v>11703687.029999999</v>
          </cell>
          <cell r="AI315">
            <v>43867926.780000001</v>
          </cell>
          <cell r="AJ315">
            <v>70382771</v>
          </cell>
          <cell r="AK315">
            <v>25119515.23</v>
          </cell>
          <cell r="AL315">
            <v>13677929.310000001</v>
          </cell>
          <cell r="AM315">
            <v>1450</v>
          </cell>
          <cell r="AN315">
            <v>13348312.710000001</v>
          </cell>
          <cell r="AO315">
            <v>3762800.65</v>
          </cell>
          <cell r="AP315">
            <v>2160627.92</v>
          </cell>
          <cell r="AQ315">
            <v>67929976.159999996</v>
          </cell>
          <cell r="AR315">
            <v>2114964.85</v>
          </cell>
          <cell r="AS315">
            <v>2131317.8199999998</v>
          </cell>
          <cell r="AT315">
            <v>30812915.989999998</v>
          </cell>
          <cell r="AU315">
            <v>40472424.380000003</v>
          </cell>
          <cell r="AV315">
            <v>14767252.85</v>
          </cell>
          <cell r="AW315">
            <v>23117317.59</v>
          </cell>
          <cell r="AX315">
            <v>24171006.850000001</v>
          </cell>
          <cell r="AY315">
            <v>6530874.5199999996</v>
          </cell>
        </row>
        <row r="316">
          <cell r="C316">
            <v>3055802.7</v>
          </cell>
          <cell r="E316">
            <v>3055802.7</v>
          </cell>
          <cell r="I316">
            <v>3055802.7</v>
          </cell>
          <cell r="L316">
            <v>0</v>
          </cell>
          <cell r="N316">
            <v>0</v>
          </cell>
          <cell r="AP316">
            <v>0</v>
          </cell>
          <cell r="AT316">
            <v>0</v>
          </cell>
        </row>
        <row r="317">
          <cell r="C317">
            <v>3849918</v>
          </cell>
          <cell r="E317">
            <v>3849918</v>
          </cell>
          <cell r="L317">
            <v>3849918</v>
          </cell>
          <cell r="N317">
            <v>3849918</v>
          </cell>
          <cell r="AC317">
            <v>209662</v>
          </cell>
          <cell r="AH317">
            <v>2340256</v>
          </cell>
          <cell r="AI317">
            <v>1300000</v>
          </cell>
          <cell r="AP317">
            <v>0</v>
          </cell>
          <cell r="AT317">
            <v>0</v>
          </cell>
        </row>
        <row r="318">
          <cell r="C318">
            <v>0</v>
          </cell>
          <cell r="E318">
            <v>0</v>
          </cell>
          <cell r="L318">
            <v>0</v>
          </cell>
          <cell r="N318">
            <v>0</v>
          </cell>
          <cell r="AP318">
            <v>0</v>
          </cell>
          <cell r="AT318">
            <v>0</v>
          </cell>
        </row>
        <row r="319">
          <cell r="C319">
            <v>0</v>
          </cell>
          <cell r="E319">
            <v>0</v>
          </cell>
          <cell r="L319">
            <v>0</v>
          </cell>
          <cell r="N319">
            <v>0</v>
          </cell>
          <cell r="AP319">
            <v>0</v>
          </cell>
          <cell r="AT319">
            <v>0</v>
          </cell>
        </row>
        <row r="320">
          <cell r="C320">
            <v>24174222.129999999</v>
          </cell>
          <cell r="E320">
            <v>24174222.129999999</v>
          </cell>
          <cell r="I320">
            <v>24174222.129999999</v>
          </cell>
          <cell r="L320">
            <v>0</v>
          </cell>
          <cell r="N320">
            <v>0</v>
          </cell>
        </row>
        <row r="321">
          <cell r="C321">
            <v>351457192.69999999</v>
          </cell>
          <cell r="E321">
            <v>351457192.69999999</v>
          </cell>
          <cell r="F321">
            <v>22260683.600000001</v>
          </cell>
          <cell r="G321">
            <v>26104424.600000001</v>
          </cell>
          <cell r="L321">
            <v>303092084.5</v>
          </cell>
          <cell r="N321">
            <v>303092084.5</v>
          </cell>
          <cell r="O321">
            <v>130648800</v>
          </cell>
          <cell r="Q321">
            <v>12013781.17</v>
          </cell>
          <cell r="S321">
            <v>18751414.219999999</v>
          </cell>
          <cell r="T321">
            <v>6207068.3399999999</v>
          </cell>
          <cell r="W321">
            <v>5736187.1799999997</v>
          </cell>
          <cell r="Y321">
            <v>11505945.42</v>
          </cell>
          <cell r="Z321">
            <v>26603882.579999998</v>
          </cell>
          <cell r="AA321">
            <v>19218041.960000001</v>
          </cell>
          <cell r="AC321">
            <v>9075916.5099999998</v>
          </cell>
          <cell r="AH321">
            <v>8835830.1500000004</v>
          </cell>
          <cell r="AK321">
            <v>25035330.23</v>
          </cell>
          <cell r="AL321">
            <v>12768890.5</v>
          </cell>
          <cell r="AP321">
            <v>1707023.79</v>
          </cell>
          <cell r="AX321">
            <v>14983972.449999999</v>
          </cell>
        </row>
        <row r="322">
          <cell r="C322">
            <v>382537135.52999997</v>
          </cell>
          <cell r="D322">
            <v>0</v>
          </cell>
          <cell r="E322">
            <v>382537135.52999997</v>
          </cell>
          <cell r="F322">
            <v>22260683.600000001</v>
          </cell>
          <cell r="G322">
            <v>26104424.600000001</v>
          </cell>
          <cell r="H322">
            <v>0</v>
          </cell>
          <cell r="I322">
            <v>27230024.829999998</v>
          </cell>
          <cell r="J322">
            <v>0</v>
          </cell>
          <cell r="K322">
            <v>0</v>
          </cell>
          <cell r="L322">
            <v>306942002.5</v>
          </cell>
          <cell r="M322">
            <v>0</v>
          </cell>
          <cell r="N322">
            <v>306942002.5</v>
          </cell>
          <cell r="O322">
            <v>130648800</v>
          </cell>
          <cell r="P322">
            <v>0</v>
          </cell>
          <cell r="Q322">
            <v>12013781.17</v>
          </cell>
          <cell r="R322">
            <v>0</v>
          </cell>
          <cell r="S322">
            <v>18751414.219999999</v>
          </cell>
          <cell r="T322">
            <v>6207068.3399999999</v>
          </cell>
          <cell r="U322">
            <v>0</v>
          </cell>
          <cell r="V322">
            <v>0</v>
          </cell>
          <cell r="W322">
            <v>5736187.1799999997</v>
          </cell>
          <cell r="X322">
            <v>0</v>
          </cell>
          <cell r="Y322">
            <v>11505945.42</v>
          </cell>
          <cell r="Z322">
            <v>26603882.579999998</v>
          </cell>
          <cell r="AA322">
            <v>19218041.960000001</v>
          </cell>
          <cell r="AB322">
            <v>0</v>
          </cell>
          <cell r="AC322">
            <v>9285578.5099999998</v>
          </cell>
          <cell r="AD322">
            <v>0</v>
          </cell>
          <cell r="AE322">
            <v>0</v>
          </cell>
          <cell r="AF322">
            <v>0</v>
          </cell>
          <cell r="AG322">
            <v>0</v>
          </cell>
          <cell r="AH322">
            <v>11176086.15</v>
          </cell>
          <cell r="AI322">
            <v>1300000</v>
          </cell>
          <cell r="AJ322">
            <v>0</v>
          </cell>
          <cell r="AK322">
            <v>25035330.23</v>
          </cell>
          <cell r="AL322">
            <v>12768890.5</v>
          </cell>
          <cell r="AM322">
            <v>0</v>
          </cell>
          <cell r="AN322">
            <v>0</v>
          </cell>
          <cell r="AO322">
            <v>0</v>
          </cell>
          <cell r="AP322">
            <v>1707023.79</v>
          </cell>
          <cell r="AQ322">
            <v>0</v>
          </cell>
          <cell r="AR322">
            <v>0</v>
          </cell>
          <cell r="AS322">
            <v>0</v>
          </cell>
          <cell r="AT322">
            <v>0</v>
          </cell>
          <cell r="AU322">
            <v>0</v>
          </cell>
          <cell r="AV322">
            <v>0</v>
          </cell>
          <cell r="AW322">
            <v>0</v>
          </cell>
          <cell r="AX322">
            <v>14983972.449999999</v>
          </cell>
          <cell r="AY322">
            <v>0</v>
          </cell>
        </row>
        <row r="323">
          <cell r="C323">
            <v>1991765.79</v>
          </cell>
          <cell r="E323">
            <v>1991765.79</v>
          </cell>
          <cell r="G323">
            <v>1991765.79</v>
          </cell>
          <cell r="L323">
            <v>0</v>
          </cell>
          <cell r="N323">
            <v>0</v>
          </cell>
          <cell r="AP323">
            <v>0</v>
          </cell>
          <cell r="AT323">
            <v>0</v>
          </cell>
        </row>
        <row r="324">
          <cell r="C324">
            <v>33996168.490000002</v>
          </cell>
          <cell r="E324">
            <v>33996168.490000002</v>
          </cell>
          <cell r="I324">
            <v>11520</v>
          </cell>
          <cell r="K324">
            <v>3160</v>
          </cell>
          <cell r="L324">
            <v>33981488.490000002</v>
          </cell>
          <cell r="N324">
            <v>33981488.490000002</v>
          </cell>
          <cell r="R324">
            <v>2852700</v>
          </cell>
          <cell r="S324">
            <v>57187.88</v>
          </cell>
          <cell r="U324">
            <v>7762281.2000000002</v>
          </cell>
          <cell r="W324">
            <v>1444876</v>
          </cell>
          <cell r="X324">
            <v>832640.31</v>
          </cell>
          <cell r="Z324">
            <v>9900</v>
          </cell>
          <cell r="AD324">
            <v>8469799.6799999997</v>
          </cell>
          <cell r="AE324">
            <v>441700</v>
          </cell>
          <cell r="AH324">
            <v>6387840.2800000003</v>
          </cell>
          <cell r="AI324">
            <v>17280</v>
          </cell>
          <cell r="AL324">
            <v>852043.14</v>
          </cell>
          <cell r="AM324">
            <v>3691650</v>
          </cell>
          <cell r="AO324">
            <v>166250</v>
          </cell>
          <cell r="AP324">
            <v>867000</v>
          </cell>
          <cell r="AR324">
            <v>60170</v>
          </cell>
          <cell r="AT324">
            <v>4900</v>
          </cell>
          <cell r="AW324">
            <v>63270</v>
          </cell>
        </row>
        <row r="325">
          <cell r="C325">
            <v>789977</v>
          </cell>
          <cell r="E325">
            <v>789977</v>
          </cell>
          <cell r="G325">
            <v>309849</v>
          </cell>
          <cell r="L325">
            <v>480128</v>
          </cell>
          <cell r="N325">
            <v>480128</v>
          </cell>
          <cell r="Z325">
            <v>198030</v>
          </cell>
          <cell r="AC325">
            <v>30498</v>
          </cell>
          <cell r="AO325">
            <v>0</v>
          </cell>
          <cell r="AP325">
            <v>0</v>
          </cell>
          <cell r="AQ325">
            <v>214000</v>
          </cell>
          <cell r="AS325">
            <v>37600</v>
          </cell>
          <cell r="AT325">
            <v>0</v>
          </cell>
        </row>
        <row r="326">
          <cell r="C326">
            <v>7517254.3799999999</v>
          </cell>
          <cell r="E326">
            <v>7517254.3799999999</v>
          </cell>
          <cell r="I326">
            <v>10080</v>
          </cell>
          <cell r="J326">
            <v>18000</v>
          </cell>
          <cell r="K326">
            <v>1902453</v>
          </cell>
          <cell r="L326">
            <v>5586721.3799999999</v>
          </cell>
          <cell r="N326">
            <v>5586721.3799999999</v>
          </cell>
          <cell r="R326">
            <v>3000</v>
          </cell>
          <cell r="S326">
            <v>26200</v>
          </cell>
          <cell r="T326">
            <v>1660</v>
          </cell>
          <cell r="U326">
            <v>332451.25</v>
          </cell>
          <cell r="V326">
            <v>238166.39999999999</v>
          </cell>
          <cell r="W326">
            <v>136466</v>
          </cell>
          <cell r="X326">
            <v>1470</v>
          </cell>
          <cell r="Z326">
            <v>5690</v>
          </cell>
          <cell r="AD326">
            <v>2080787</v>
          </cell>
          <cell r="AE326">
            <v>318553.84999999998</v>
          </cell>
          <cell r="AG326">
            <v>515000</v>
          </cell>
          <cell r="AH326">
            <v>603395.06000000006</v>
          </cell>
          <cell r="AL326">
            <v>619371.81999999995</v>
          </cell>
          <cell r="AM326">
            <v>286200</v>
          </cell>
          <cell r="AO326">
            <v>189000</v>
          </cell>
          <cell r="AP326">
            <v>0</v>
          </cell>
          <cell r="AR326">
            <v>176970</v>
          </cell>
          <cell r="AT326">
            <v>28340</v>
          </cell>
          <cell r="AW326">
            <v>24000</v>
          </cell>
        </row>
        <row r="327">
          <cell r="C327">
            <v>0</v>
          </cell>
          <cell r="E327">
            <v>0</v>
          </cell>
          <cell r="L327">
            <v>0</v>
          </cell>
          <cell r="N327">
            <v>0</v>
          </cell>
        </row>
        <row r="328">
          <cell r="C328">
            <v>0</v>
          </cell>
          <cell r="E328">
            <v>0</v>
          </cell>
          <cell r="L328">
            <v>0</v>
          </cell>
          <cell r="N328">
            <v>0</v>
          </cell>
        </row>
        <row r="329">
          <cell r="C329">
            <v>44295165.659999996</v>
          </cell>
          <cell r="D329">
            <v>0</v>
          </cell>
          <cell r="E329">
            <v>44295165.659999996</v>
          </cell>
          <cell r="F329">
            <v>0</v>
          </cell>
          <cell r="G329">
            <v>2301614.79</v>
          </cell>
          <cell r="H329">
            <v>0</v>
          </cell>
          <cell r="I329">
            <v>21600</v>
          </cell>
          <cell r="J329">
            <v>18000</v>
          </cell>
          <cell r="K329">
            <v>1905613</v>
          </cell>
          <cell r="L329">
            <v>40048337.869999997</v>
          </cell>
          <cell r="M329">
            <v>0</v>
          </cell>
          <cell r="N329">
            <v>40048337.869999997</v>
          </cell>
          <cell r="O329">
            <v>0</v>
          </cell>
          <cell r="P329">
            <v>0</v>
          </cell>
          <cell r="Q329">
            <v>0</v>
          </cell>
          <cell r="R329">
            <v>2855700</v>
          </cell>
          <cell r="S329">
            <v>83387.88</v>
          </cell>
          <cell r="T329">
            <v>1660</v>
          </cell>
          <cell r="U329">
            <v>8094732.4500000002</v>
          </cell>
          <cell r="V329">
            <v>238166.39999999999</v>
          </cell>
          <cell r="W329">
            <v>1581342</v>
          </cell>
          <cell r="X329">
            <v>834110.31</v>
          </cell>
          <cell r="Y329">
            <v>0</v>
          </cell>
          <cell r="Z329">
            <v>213620</v>
          </cell>
          <cell r="AA329">
            <v>0</v>
          </cell>
          <cell r="AB329">
            <v>0</v>
          </cell>
          <cell r="AC329">
            <v>30498</v>
          </cell>
          <cell r="AD329">
            <v>10550586.68</v>
          </cell>
          <cell r="AE329">
            <v>760253.85</v>
          </cell>
          <cell r="AF329">
            <v>0</v>
          </cell>
          <cell r="AG329">
            <v>515000</v>
          </cell>
          <cell r="AH329">
            <v>6991235.3399999999</v>
          </cell>
          <cell r="AI329">
            <v>17280</v>
          </cell>
          <cell r="AJ329">
            <v>0</v>
          </cell>
          <cell r="AK329">
            <v>0</v>
          </cell>
          <cell r="AL329">
            <v>1471414.96</v>
          </cell>
          <cell r="AM329">
            <v>3977850</v>
          </cell>
          <cell r="AN329">
            <v>0</v>
          </cell>
          <cell r="AO329">
            <v>355250</v>
          </cell>
          <cell r="AP329">
            <v>867000</v>
          </cell>
          <cell r="AQ329">
            <v>214000</v>
          </cell>
          <cell r="AR329">
            <v>237140</v>
          </cell>
          <cell r="AS329">
            <v>37600</v>
          </cell>
          <cell r="AT329">
            <v>33240</v>
          </cell>
          <cell r="AU329">
            <v>0</v>
          </cell>
          <cell r="AV329">
            <v>0</v>
          </cell>
          <cell r="AW329">
            <v>87270</v>
          </cell>
          <cell r="AX329">
            <v>0</v>
          </cell>
          <cell r="AY329">
            <v>0</v>
          </cell>
        </row>
        <row r="330">
          <cell r="C330">
            <v>397567959.70999998</v>
          </cell>
          <cell r="E330">
            <v>397567959.70999998</v>
          </cell>
          <cell r="F330">
            <v>0</v>
          </cell>
          <cell r="G330">
            <v>826750</v>
          </cell>
          <cell r="H330">
            <v>72572371.609999999</v>
          </cell>
          <cell r="I330">
            <v>70216302.700000003</v>
          </cell>
          <cell r="J330">
            <v>54310000</v>
          </cell>
          <cell r="K330">
            <v>0</v>
          </cell>
          <cell r="L330">
            <v>199642535.40000001</v>
          </cell>
          <cell r="N330">
            <v>199642535.40000001</v>
          </cell>
          <cell r="O330">
            <v>0</v>
          </cell>
          <cell r="P330">
            <v>0</v>
          </cell>
          <cell r="Q330">
            <v>0</v>
          </cell>
          <cell r="R330">
            <v>0</v>
          </cell>
          <cell r="S330">
            <v>0</v>
          </cell>
          <cell r="T330">
            <v>0</v>
          </cell>
          <cell r="U330">
            <v>0</v>
          </cell>
          <cell r="V330">
            <v>30868503.199999999</v>
          </cell>
          <cell r="W330">
            <v>0</v>
          </cell>
          <cell r="Y330">
            <v>0</v>
          </cell>
          <cell r="Z330">
            <v>0</v>
          </cell>
          <cell r="AA330">
            <v>0</v>
          </cell>
          <cell r="AB330">
            <v>0</v>
          </cell>
          <cell r="AC330">
            <v>0</v>
          </cell>
          <cell r="AD330">
            <v>0</v>
          </cell>
          <cell r="AE330">
            <v>0</v>
          </cell>
          <cell r="AF330">
            <v>0</v>
          </cell>
          <cell r="AG330">
            <v>0</v>
          </cell>
          <cell r="AH330">
            <v>0</v>
          </cell>
          <cell r="AI330">
            <v>38168000</v>
          </cell>
          <cell r="AJ330">
            <v>69953300</v>
          </cell>
          <cell r="AK330">
            <v>0</v>
          </cell>
          <cell r="AL330">
            <v>0</v>
          </cell>
          <cell r="AM330">
            <v>0</v>
          </cell>
          <cell r="AN330">
            <v>0</v>
          </cell>
          <cell r="AO330">
            <v>0</v>
          </cell>
          <cell r="AP330">
            <v>0</v>
          </cell>
          <cell r="AQ330">
            <v>60652732.200000003</v>
          </cell>
          <cell r="AR330">
            <v>0</v>
          </cell>
          <cell r="AS330">
            <v>0</v>
          </cell>
          <cell r="AT330">
            <v>0</v>
          </cell>
          <cell r="AU330">
            <v>0</v>
          </cell>
          <cell r="AV330">
            <v>0</v>
          </cell>
          <cell r="AW330">
            <v>0</v>
          </cell>
          <cell r="AX330">
            <v>0</v>
          </cell>
          <cell r="AY330">
            <v>0</v>
          </cell>
        </row>
        <row r="331">
          <cell r="C331">
            <v>333816929.85000002</v>
          </cell>
          <cell r="E331">
            <v>333816929.85000002</v>
          </cell>
          <cell r="F331">
            <v>6732343.9400000004</v>
          </cell>
          <cell r="G331">
            <v>12197982.49</v>
          </cell>
          <cell r="H331">
            <v>15269787.970000001</v>
          </cell>
          <cell r="I331">
            <v>8946567.8000000007</v>
          </cell>
          <cell r="J331">
            <v>8938097</v>
          </cell>
          <cell r="K331">
            <v>7575198.9500000002</v>
          </cell>
          <cell r="L331">
            <v>274156951.69999999</v>
          </cell>
          <cell r="N331">
            <v>274156951.69999999</v>
          </cell>
          <cell r="O331">
            <v>7102702.7999999998</v>
          </cell>
          <cell r="P331">
            <v>0</v>
          </cell>
          <cell r="Q331">
            <v>15174414.460000001</v>
          </cell>
          <cell r="R331">
            <v>3594400</v>
          </cell>
          <cell r="S331">
            <v>5252956.12</v>
          </cell>
          <cell r="T331">
            <v>6283275</v>
          </cell>
          <cell r="U331">
            <v>1246496</v>
          </cell>
          <cell r="V331">
            <v>6832787.4000000004</v>
          </cell>
          <cell r="W331">
            <v>4491360</v>
          </cell>
          <cell r="X331">
            <v>5067727.6900000004</v>
          </cell>
          <cell r="Y331">
            <v>9285337.7200000007</v>
          </cell>
          <cell r="Z331">
            <v>6050709.7599999998</v>
          </cell>
          <cell r="AA331">
            <v>12594401</v>
          </cell>
          <cell r="AB331">
            <v>1522583</v>
          </cell>
          <cell r="AC331">
            <v>9181643.4399999995</v>
          </cell>
          <cell r="AD331">
            <v>224600</v>
          </cell>
          <cell r="AE331">
            <v>10930954.039999999</v>
          </cell>
          <cell r="AF331">
            <v>7543900</v>
          </cell>
          <cell r="AG331">
            <v>6380911.7999999998</v>
          </cell>
          <cell r="AH331">
            <v>2340256</v>
          </cell>
          <cell r="AI331">
            <v>9740808.5800000001</v>
          </cell>
          <cell r="AJ331">
            <v>1389131.28</v>
          </cell>
          <cell r="AK331">
            <v>11600100</v>
          </cell>
          <cell r="AL331">
            <v>3010503.52</v>
          </cell>
          <cell r="AM331">
            <v>0</v>
          </cell>
          <cell r="AN331">
            <v>6697560.8499999996</v>
          </cell>
          <cell r="AO331">
            <v>18264060</v>
          </cell>
          <cell r="AP331">
            <v>11408097.85</v>
          </cell>
          <cell r="AQ331">
            <v>22540539</v>
          </cell>
          <cell r="AR331">
            <v>3771810</v>
          </cell>
          <cell r="AS331">
            <v>10293150</v>
          </cell>
          <cell r="AT331">
            <v>13269334.9</v>
          </cell>
          <cell r="AU331">
            <v>8824524.0199999996</v>
          </cell>
          <cell r="AV331">
            <v>6683082.6500000004</v>
          </cell>
          <cell r="AW331">
            <v>13095041.699999999</v>
          </cell>
          <cell r="AX331">
            <v>6833197.6500000004</v>
          </cell>
          <cell r="AY331">
            <v>5634593.4699999997</v>
          </cell>
        </row>
        <row r="332">
          <cell r="C332">
            <v>20237154.66</v>
          </cell>
          <cell r="E332">
            <v>20237154.66</v>
          </cell>
          <cell r="F332">
            <v>0</v>
          </cell>
          <cell r="G332">
            <v>1152709</v>
          </cell>
          <cell r="H332">
            <v>352460.2</v>
          </cell>
          <cell r="I332">
            <v>801790</v>
          </cell>
          <cell r="J332">
            <v>81000</v>
          </cell>
          <cell r="K332">
            <v>631459.19999999995</v>
          </cell>
          <cell r="L332">
            <v>17217736.260000002</v>
          </cell>
          <cell r="N332">
            <v>17217736.260000002</v>
          </cell>
          <cell r="O332">
            <v>7056492.7599999998</v>
          </cell>
          <cell r="P332">
            <v>0</v>
          </cell>
          <cell r="Q332">
            <v>560100</v>
          </cell>
          <cell r="R332">
            <v>516482.91</v>
          </cell>
          <cell r="S332">
            <v>0</v>
          </cell>
          <cell r="T332">
            <v>306000</v>
          </cell>
          <cell r="U332">
            <v>361165.6</v>
          </cell>
          <cell r="V332">
            <v>0</v>
          </cell>
          <cell r="W332">
            <v>0</v>
          </cell>
          <cell r="X332">
            <v>85491</v>
          </cell>
          <cell r="Y332">
            <v>68741.960000000006</v>
          </cell>
          <cell r="Z332">
            <v>193587.9</v>
          </cell>
          <cell r="AA332">
            <v>236700</v>
          </cell>
          <cell r="AB332">
            <v>547400</v>
          </cell>
          <cell r="AC332">
            <v>775140.5</v>
          </cell>
          <cell r="AD332">
            <v>613700</v>
          </cell>
          <cell r="AE332">
            <v>945516.5</v>
          </cell>
          <cell r="AF332">
            <v>88700</v>
          </cell>
          <cell r="AG332">
            <v>378800</v>
          </cell>
          <cell r="AH332">
            <v>0</v>
          </cell>
          <cell r="AI332">
            <v>158983</v>
          </cell>
          <cell r="AJ332">
            <v>550500</v>
          </cell>
          <cell r="AK332">
            <v>642300</v>
          </cell>
          <cell r="AL332">
            <v>460407.5</v>
          </cell>
          <cell r="AM332">
            <v>0</v>
          </cell>
          <cell r="AN332">
            <v>205300</v>
          </cell>
          <cell r="AO332">
            <v>244000</v>
          </cell>
          <cell r="AP332">
            <v>782065</v>
          </cell>
          <cell r="AQ332">
            <v>1000660</v>
          </cell>
          <cell r="AR332">
            <v>0</v>
          </cell>
          <cell r="AS332">
            <v>50560</v>
          </cell>
          <cell r="AT332">
            <v>124403.63</v>
          </cell>
          <cell r="AU332">
            <v>0</v>
          </cell>
          <cell r="AV332">
            <v>0</v>
          </cell>
          <cell r="AW332">
            <v>199238</v>
          </cell>
          <cell r="AX332">
            <v>0</v>
          </cell>
          <cell r="AY332">
            <v>65300</v>
          </cell>
        </row>
        <row r="333">
          <cell r="C333">
            <v>107265121.61</v>
          </cell>
          <cell r="E333">
            <v>107265121.61</v>
          </cell>
          <cell r="F333">
            <v>1336646.25</v>
          </cell>
          <cell r="G333">
            <v>18998248.09</v>
          </cell>
          <cell r="H333">
            <v>1590738</v>
          </cell>
          <cell r="I333">
            <v>3292653.85</v>
          </cell>
          <cell r="J333">
            <v>894038</v>
          </cell>
          <cell r="K333">
            <v>3058482.2</v>
          </cell>
          <cell r="L333">
            <v>78094315.219999999</v>
          </cell>
          <cell r="N333">
            <v>78094315.219999999</v>
          </cell>
          <cell r="O333">
            <v>4793632.3</v>
          </cell>
          <cell r="P333">
            <v>323104.27</v>
          </cell>
          <cell r="Q333">
            <v>2615376</v>
          </cell>
          <cell r="R333">
            <v>1021853.4</v>
          </cell>
          <cell r="S333">
            <v>1860660</v>
          </cell>
          <cell r="T333">
            <v>593660</v>
          </cell>
          <cell r="U333">
            <v>197841.72</v>
          </cell>
          <cell r="V333">
            <v>2528589.2000000002</v>
          </cell>
          <cell r="W333">
            <v>583020</v>
          </cell>
          <cell r="X333">
            <v>792150</v>
          </cell>
          <cell r="Y333">
            <v>462906.6</v>
          </cell>
          <cell r="Z333">
            <v>591171.83999999997</v>
          </cell>
          <cell r="AA333">
            <v>1127943.28</v>
          </cell>
          <cell r="AB333">
            <v>8436350</v>
          </cell>
          <cell r="AC333">
            <v>819014.65</v>
          </cell>
          <cell r="AD333">
            <v>656751</v>
          </cell>
          <cell r="AE333">
            <v>2890775.15</v>
          </cell>
          <cell r="AF333">
            <v>1734824</v>
          </cell>
          <cell r="AG333">
            <v>2394195.9700000002</v>
          </cell>
          <cell r="AH333">
            <v>18799.990000000002</v>
          </cell>
          <cell r="AI333">
            <v>453990.42</v>
          </cell>
          <cell r="AJ333">
            <v>9610278</v>
          </cell>
          <cell r="AK333">
            <v>868923.28</v>
          </cell>
          <cell r="AL333">
            <v>8056693.5599999996</v>
          </cell>
          <cell r="AM333">
            <v>0</v>
          </cell>
          <cell r="AN333">
            <v>2134684.0699999998</v>
          </cell>
          <cell r="AO333">
            <v>2667020</v>
          </cell>
          <cell r="AP333">
            <v>1691859.28</v>
          </cell>
          <cell r="AQ333">
            <v>0</v>
          </cell>
          <cell r="AR333">
            <v>613940</v>
          </cell>
          <cell r="AS333">
            <v>11936780</v>
          </cell>
          <cell r="AT333">
            <v>2181129.4</v>
          </cell>
          <cell r="AU333">
            <v>741807.2</v>
          </cell>
          <cell r="AV333">
            <v>0</v>
          </cell>
          <cell r="AW333">
            <v>271618.84000000003</v>
          </cell>
          <cell r="AX333">
            <v>2353836.75</v>
          </cell>
          <cell r="AY333">
            <v>69135.05</v>
          </cell>
        </row>
        <row r="334">
          <cell r="C334">
            <v>36408187.490000002</v>
          </cell>
          <cell r="D334">
            <v>0</v>
          </cell>
          <cell r="E334">
            <v>36408187.490000002</v>
          </cell>
          <cell r="F334">
            <v>0</v>
          </cell>
          <cell r="G334">
            <v>0</v>
          </cell>
          <cell r="H334">
            <v>0</v>
          </cell>
          <cell r="I334">
            <v>24174222.129999999</v>
          </cell>
          <cell r="J334">
            <v>0</v>
          </cell>
          <cell r="K334">
            <v>0</v>
          </cell>
          <cell r="L334">
            <v>12233965.359999999</v>
          </cell>
          <cell r="M334">
            <v>0</v>
          </cell>
          <cell r="N334">
            <v>12233965.359999999</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4977928.4000000004</v>
          </cell>
          <cell r="AJ334">
            <v>0</v>
          </cell>
          <cell r="AK334">
            <v>0</v>
          </cell>
          <cell r="AL334">
            <v>0</v>
          </cell>
          <cell r="AM334">
            <v>0</v>
          </cell>
          <cell r="AN334">
            <v>0</v>
          </cell>
          <cell r="AO334">
            <v>0</v>
          </cell>
          <cell r="AP334">
            <v>0</v>
          </cell>
          <cell r="AQ334">
            <v>7256036.96</v>
          </cell>
          <cell r="AR334">
            <v>0</v>
          </cell>
          <cell r="AS334">
            <v>0</v>
          </cell>
          <cell r="AT334">
            <v>0</v>
          </cell>
          <cell r="AU334">
            <v>0</v>
          </cell>
          <cell r="AV334">
            <v>0</v>
          </cell>
          <cell r="AW334">
            <v>0</v>
          </cell>
          <cell r="AX334">
            <v>0</v>
          </cell>
          <cell r="AY334">
            <v>0</v>
          </cell>
        </row>
        <row r="335">
          <cell r="C335">
            <v>546239083.63999999</v>
          </cell>
          <cell r="D335">
            <v>0</v>
          </cell>
          <cell r="E335">
            <v>546239083.63999999</v>
          </cell>
          <cell r="F335">
            <v>22260683.600000001</v>
          </cell>
          <cell r="G335">
            <v>26104424.600000001</v>
          </cell>
          <cell r="H335">
            <v>0</v>
          </cell>
          <cell r="I335">
            <v>0</v>
          </cell>
          <cell r="J335">
            <v>0</v>
          </cell>
          <cell r="K335">
            <v>24688281.859999999</v>
          </cell>
          <cell r="L335">
            <v>473185693.57999998</v>
          </cell>
          <cell r="M335">
            <v>0</v>
          </cell>
          <cell r="N335">
            <v>473185693.57999998</v>
          </cell>
          <cell r="O335">
            <v>130648800</v>
          </cell>
          <cell r="P335">
            <v>0</v>
          </cell>
          <cell r="Q335">
            <v>12013781.17</v>
          </cell>
          <cell r="R335">
            <v>23729347.760000002</v>
          </cell>
          <cell r="S335">
            <v>18751414.219999999</v>
          </cell>
          <cell r="T335">
            <v>6207068.3399999999</v>
          </cell>
          <cell r="U335">
            <v>18392425.57</v>
          </cell>
          <cell r="V335">
            <v>0</v>
          </cell>
          <cell r="W335">
            <v>5736187.1799999997</v>
          </cell>
          <cell r="X335">
            <v>1527223.48</v>
          </cell>
          <cell r="Y335">
            <v>11505945.42</v>
          </cell>
          <cell r="Z335">
            <v>26603882.579999998</v>
          </cell>
          <cell r="AA335">
            <v>19218041.960000001</v>
          </cell>
          <cell r="AB335">
            <v>15825373.460000001</v>
          </cell>
          <cell r="AC335">
            <v>9075916.5099999998</v>
          </cell>
          <cell r="AD335">
            <v>0</v>
          </cell>
          <cell r="AE335">
            <v>6430450.3899999997</v>
          </cell>
          <cell r="AF335">
            <v>6628654.1399999997</v>
          </cell>
          <cell r="AG335">
            <v>12982204.699999999</v>
          </cell>
          <cell r="AH335">
            <v>8835830.1500000004</v>
          </cell>
          <cell r="AI335">
            <v>0</v>
          </cell>
          <cell r="AJ335">
            <v>0</v>
          </cell>
          <cell r="AK335">
            <v>25035330.23</v>
          </cell>
          <cell r="AL335">
            <v>12768890.5</v>
          </cell>
          <cell r="AM335">
            <v>0</v>
          </cell>
          <cell r="AN335">
            <v>12739079.789999999</v>
          </cell>
          <cell r="AO335">
            <v>3686600.65</v>
          </cell>
          <cell r="AP335">
            <v>1707023.79</v>
          </cell>
          <cell r="AQ335">
            <v>0</v>
          </cell>
          <cell r="AR335">
            <v>1729364.85</v>
          </cell>
          <cell r="AS335">
            <v>2001817.82</v>
          </cell>
          <cell r="AT335">
            <v>15204808.060000001</v>
          </cell>
          <cell r="AU335">
            <v>30906093.16</v>
          </cell>
          <cell r="AV335">
            <v>8084170.2000000002</v>
          </cell>
          <cell r="AW335">
            <v>9464149.0500000007</v>
          </cell>
          <cell r="AX335">
            <v>14983972.449999999</v>
          </cell>
          <cell r="AY335">
            <v>761846</v>
          </cell>
        </row>
        <row r="336">
          <cell r="C336">
            <v>1441534436.96</v>
          </cell>
          <cell r="D336">
            <v>0</v>
          </cell>
          <cell r="E336">
            <v>1441534436.96</v>
          </cell>
          <cell r="F336">
            <v>30329673.789999999</v>
          </cell>
          <cell r="G336">
            <v>59280114.18</v>
          </cell>
          <cell r="H336">
            <v>89785357.780000001</v>
          </cell>
          <cell r="I336">
            <v>107431536.48</v>
          </cell>
          <cell r="J336">
            <v>64223135</v>
          </cell>
          <cell r="K336">
            <v>35953422.210000001</v>
          </cell>
          <cell r="L336">
            <v>1054531197.52</v>
          </cell>
          <cell r="M336">
            <v>0</v>
          </cell>
          <cell r="N336">
            <v>1054531197.52</v>
          </cell>
          <cell r="O336">
            <v>149601627.86000001</v>
          </cell>
          <cell r="P336">
            <v>323104.27</v>
          </cell>
          <cell r="Q336">
            <v>30363671.629999999</v>
          </cell>
          <cell r="R336">
            <v>28862084.07</v>
          </cell>
          <cell r="S336">
            <v>25865030.34</v>
          </cell>
          <cell r="T336">
            <v>13390003.34</v>
          </cell>
          <cell r="U336">
            <v>20197928.890000001</v>
          </cell>
          <cell r="V336">
            <v>40229879.799999997</v>
          </cell>
          <cell r="W336">
            <v>10810567.18</v>
          </cell>
          <cell r="X336">
            <v>7472592.1699999999</v>
          </cell>
          <cell r="Y336">
            <v>21322931.699999999</v>
          </cell>
          <cell r="Z336">
            <v>33439352.079999998</v>
          </cell>
          <cell r="AA336">
            <v>33177086.239999998</v>
          </cell>
          <cell r="AB336">
            <v>26331706.460000001</v>
          </cell>
          <cell r="AC336">
            <v>19851715.100000001</v>
          </cell>
          <cell r="AD336">
            <v>1495051</v>
          </cell>
          <cell r="AE336">
            <v>21197696.079999998</v>
          </cell>
          <cell r="AF336">
            <v>15996078.140000001</v>
          </cell>
          <cell r="AG336">
            <v>22136112.469999999</v>
          </cell>
          <cell r="AH336">
            <v>11194886.140000001</v>
          </cell>
          <cell r="AI336">
            <v>53499710.399999999</v>
          </cell>
          <cell r="AJ336">
            <v>81503209.280000001</v>
          </cell>
          <cell r="AK336">
            <v>38146653.509999998</v>
          </cell>
          <cell r="AL336">
            <v>24296495.079999998</v>
          </cell>
          <cell r="AM336">
            <v>0</v>
          </cell>
          <cell r="AN336">
            <v>21776624.710000001</v>
          </cell>
          <cell r="AO336">
            <v>24861680.649999999</v>
          </cell>
          <cell r="AP336">
            <v>15589045.92</v>
          </cell>
          <cell r="AQ336">
            <v>91449968.159999996</v>
          </cell>
          <cell r="AR336">
            <v>6115114.8499999996</v>
          </cell>
          <cell r="AS336">
            <v>24282307.82</v>
          </cell>
          <cell r="AT336">
            <v>30779675.989999998</v>
          </cell>
          <cell r="AU336">
            <v>40472424.380000003</v>
          </cell>
          <cell r="AV336">
            <v>14767252.85</v>
          </cell>
          <cell r="AW336">
            <v>23030047.59</v>
          </cell>
          <cell r="AX336">
            <v>24171006.850000001</v>
          </cell>
          <cell r="AY336">
            <v>6530874.5199999996</v>
          </cell>
        </row>
        <row r="337">
          <cell r="C337">
            <v>0</v>
          </cell>
          <cell r="E337">
            <v>0</v>
          </cell>
          <cell r="L337">
            <v>0</v>
          </cell>
          <cell r="N337">
            <v>0</v>
          </cell>
        </row>
        <row r="338">
          <cell r="C338">
            <v>0</v>
          </cell>
          <cell r="E338">
            <v>0</v>
          </cell>
          <cell r="L338">
            <v>0</v>
          </cell>
          <cell r="N338">
            <v>0</v>
          </cell>
        </row>
        <row r="339">
          <cell r="C339">
            <v>7802614.1100000003</v>
          </cell>
          <cell r="E339">
            <v>7802614.1100000003</v>
          </cell>
          <cell r="G339">
            <v>14883.34</v>
          </cell>
          <cell r="H339">
            <v>4781347.7300000004</v>
          </cell>
          <cell r="J339">
            <v>716590.28</v>
          </cell>
          <cell r="L339">
            <v>2289792.7599999998</v>
          </cell>
          <cell r="N339">
            <v>2289792.7599999998</v>
          </cell>
          <cell r="V339">
            <v>2288019.44</v>
          </cell>
          <cell r="AJ339">
            <v>0</v>
          </cell>
          <cell r="AQ339">
            <v>1773.32</v>
          </cell>
          <cell r="AT339">
            <v>0</v>
          </cell>
        </row>
        <row r="340">
          <cell r="C340">
            <v>66245367.079999998</v>
          </cell>
          <cell r="E340">
            <v>66245367.079999998</v>
          </cell>
          <cell r="F340">
            <v>1330497.83</v>
          </cell>
          <cell r="G340">
            <v>7798972.04</v>
          </cell>
          <cell r="H340">
            <v>4549588.03</v>
          </cell>
          <cell r="I340">
            <v>1553515.57</v>
          </cell>
          <cell r="J340">
            <v>139972.32999999999</v>
          </cell>
          <cell r="K340">
            <v>2249644.9900000002</v>
          </cell>
          <cell r="L340">
            <v>48623176.289999999</v>
          </cell>
          <cell r="N340">
            <v>48623176.289999999</v>
          </cell>
          <cell r="O340">
            <v>4670017.53</v>
          </cell>
          <cell r="Q340">
            <v>7515409.6699999999</v>
          </cell>
          <cell r="S340">
            <v>1044174.29</v>
          </cell>
          <cell r="T340">
            <v>968261.94</v>
          </cell>
          <cell r="U340">
            <v>175014.31</v>
          </cell>
          <cell r="V340">
            <v>1542886.29</v>
          </cell>
          <cell r="W340">
            <v>1023610.36</v>
          </cell>
          <cell r="X340">
            <v>394525.84</v>
          </cell>
          <cell r="Y340">
            <v>360805.36</v>
          </cell>
          <cell r="Z340">
            <v>881768.41</v>
          </cell>
          <cell r="AA340">
            <v>1993985.82</v>
          </cell>
          <cell r="AB340">
            <v>369122.14</v>
          </cell>
          <cell r="AC340">
            <v>410142.28</v>
          </cell>
          <cell r="AD340">
            <v>573610.17000000004</v>
          </cell>
          <cell r="AE340">
            <v>2019356.34</v>
          </cell>
          <cell r="AF340">
            <v>1083012.57</v>
          </cell>
          <cell r="AG340">
            <v>44349.19</v>
          </cell>
          <cell r="AH340">
            <v>300588.15999999997</v>
          </cell>
          <cell r="AI340">
            <v>1601595.59</v>
          </cell>
          <cell r="AJ340">
            <v>364561.68</v>
          </cell>
          <cell r="AK340">
            <v>2818685.52</v>
          </cell>
          <cell r="AL340">
            <v>20365.04</v>
          </cell>
          <cell r="AM340">
            <v>660197.98</v>
          </cell>
          <cell r="AN340">
            <v>1141821.25</v>
          </cell>
          <cell r="AO340">
            <v>3487228.48</v>
          </cell>
          <cell r="AP340">
            <v>3241154.45</v>
          </cell>
          <cell r="AQ340">
            <v>5794889.6900000004</v>
          </cell>
          <cell r="AR340">
            <v>703882.15</v>
          </cell>
          <cell r="AS340">
            <v>3418153.79</v>
          </cell>
          <cell r="AT340">
            <v>0</v>
          </cell>
          <cell r="AU340">
            <v>0</v>
          </cell>
          <cell r="AV340">
            <v>0</v>
          </cell>
          <cell r="AW340">
            <v>0</v>
          </cell>
        </row>
        <row r="341">
          <cell r="C341">
            <v>9953656.1799999997</v>
          </cell>
          <cell r="E341">
            <v>9953656.1799999997</v>
          </cell>
          <cell r="G341">
            <v>725896.12</v>
          </cell>
          <cell r="H341">
            <v>154005.76999999999</v>
          </cell>
          <cell r="I341">
            <v>253892.04</v>
          </cell>
          <cell r="J341">
            <v>14679.71</v>
          </cell>
          <cell r="K341">
            <v>454862.49</v>
          </cell>
          <cell r="L341">
            <v>8350320.0499999998</v>
          </cell>
          <cell r="N341">
            <v>8350320.0499999998</v>
          </cell>
          <cell r="O341">
            <v>6159474.5599999996</v>
          </cell>
          <cell r="Q341">
            <v>289135.59999999998</v>
          </cell>
          <cell r="T341">
            <v>58046.68</v>
          </cell>
          <cell r="U341">
            <v>17048.91</v>
          </cell>
          <cell r="X341">
            <v>9475.27</v>
          </cell>
          <cell r="Y341">
            <v>2176.8200000000002</v>
          </cell>
          <cell r="Z341">
            <v>69377.23</v>
          </cell>
          <cell r="AA341">
            <v>37821.06</v>
          </cell>
          <cell r="AB341">
            <v>56716.56</v>
          </cell>
          <cell r="AC341">
            <v>47021.82</v>
          </cell>
          <cell r="AD341">
            <v>48537.11</v>
          </cell>
          <cell r="AE341">
            <v>243795.37</v>
          </cell>
          <cell r="AF341">
            <v>15152.92</v>
          </cell>
          <cell r="AG341">
            <v>0</v>
          </cell>
          <cell r="AH341">
            <v>0</v>
          </cell>
          <cell r="AI341">
            <v>0</v>
          </cell>
          <cell r="AJ341">
            <v>262737.09999999998</v>
          </cell>
          <cell r="AK341">
            <v>155174.96</v>
          </cell>
          <cell r="AL341">
            <v>127910.1</v>
          </cell>
          <cell r="AM341">
            <v>0</v>
          </cell>
          <cell r="AN341">
            <v>31284.04</v>
          </cell>
          <cell r="AO341">
            <v>61903.31</v>
          </cell>
          <cell r="AP341">
            <v>174614.7</v>
          </cell>
          <cell r="AQ341">
            <v>446592.86</v>
          </cell>
          <cell r="AR341">
            <v>0</v>
          </cell>
          <cell r="AS341">
            <v>36323.07</v>
          </cell>
          <cell r="AT341">
            <v>0</v>
          </cell>
          <cell r="AU341">
            <v>0</v>
          </cell>
          <cell r="AV341">
            <v>0</v>
          </cell>
          <cell r="AW341">
            <v>0</v>
          </cell>
          <cell r="AX341">
            <v>0</v>
          </cell>
          <cell r="AY341">
            <v>0</v>
          </cell>
        </row>
        <row r="342">
          <cell r="C342">
            <v>28982422.390000001</v>
          </cell>
          <cell r="E342">
            <v>28982422.390000001</v>
          </cell>
          <cell r="F342">
            <v>312585.18</v>
          </cell>
          <cell r="G342">
            <v>1385808.38</v>
          </cell>
          <cell r="H342">
            <v>587893.76000000001</v>
          </cell>
          <cell r="I342">
            <v>985822.01</v>
          </cell>
          <cell r="J342">
            <v>165756.73000000001</v>
          </cell>
          <cell r="K342">
            <v>1208818.6200000001</v>
          </cell>
          <cell r="L342">
            <v>24335737.710000001</v>
          </cell>
          <cell r="N342">
            <v>24335737.710000001</v>
          </cell>
          <cell r="O342">
            <v>3228705.64</v>
          </cell>
          <cell r="P342">
            <v>134.65</v>
          </cell>
          <cell r="Q342">
            <v>1325791.93</v>
          </cell>
          <cell r="R342">
            <v>1317653.8999999999</v>
          </cell>
          <cell r="S342">
            <v>542450.78</v>
          </cell>
          <cell r="T342">
            <v>109557.63</v>
          </cell>
          <cell r="U342">
            <v>26538.02</v>
          </cell>
          <cell r="V342">
            <v>1063411.95</v>
          </cell>
          <cell r="W342">
            <v>101867.04</v>
          </cell>
          <cell r="X342">
            <v>76829.86</v>
          </cell>
          <cell r="Y342">
            <v>20941.39</v>
          </cell>
          <cell r="Z342">
            <v>97168.93</v>
          </cell>
          <cell r="AA342">
            <v>246065.96</v>
          </cell>
          <cell r="AB342">
            <v>1532234.88</v>
          </cell>
          <cell r="AC342">
            <v>37439.730000000003</v>
          </cell>
          <cell r="AD342">
            <v>47854.18</v>
          </cell>
          <cell r="AE342">
            <v>950031.06</v>
          </cell>
          <cell r="AF342">
            <v>155350.01</v>
          </cell>
          <cell r="AG342">
            <v>45216.07</v>
          </cell>
          <cell r="AH342">
            <v>35665.58</v>
          </cell>
          <cell r="AI342">
            <v>72500.070000000007</v>
          </cell>
          <cell r="AJ342">
            <v>2854542.15</v>
          </cell>
          <cell r="AK342">
            <v>346423.82</v>
          </cell>
          <cell r="AL342">
            <v>2065682.85</v>
          </cell>
          <cell r="AM342">
            <v>66001.72</v>
          </cell>
          <cell r="AN342">
            <v>514750.32</v>
          </cell>
          <cell r="AO342">
            <v>656668.03</v>
          </cell>
          <cell r="AP342">
            <v>533008.41</v>
          </cell>
          <cell r="AQ342">
            <v>0</v>
          </cell>
          <cell r="AR342">
            <v>172332.41</v>
          </cell>
          <cell r="AS342">
            <v>6092918.7400000002</v>
          </cell>
          <cell r="AT342">
            <v>0</v>
          </cell>
        </row>
        <row r="343">
          <cell r="C343">
            <v>0</v>
          </cell>
          <cell r="E343">
            <v>0</v>
          </cell>
          <cell r="L343">
            <v>0</v>
          </cell>
          <cell r="N343">
            <v>0</v>
          </cell>
        </row>
        <row r="344">
          <cell r="C344">
            <v>0</v>
          </cell>
          <cell r="E344">
            <v>0</v>
          </cell>
          <cell r="L344">
            <v>0</v>
          </cell>
          <cell r="N344">
            <v>0</v>
          </cell>
        </row>
        <row r="345">
          <cell r="C345">
            <v>112984059.76000001</v>
          </cell>
          <cell r="D345">
            <v>0</v>
          </cell>
          <cell r="E345">
            <v>112984059.76000001</v>
          </cell>
          <cell r="F345">
            <v>1643083.01</v>
          </cell>
          <cell r="G345">
            <v>9925559.8800000008</v>
          </cell>
          <cell r="H345">
            <v>10072835.289999999</v>
          </cell>
          <cell r="I345">
            <v>2793229.62</v>
          </cell>
          <cell r="J345">
            <v>1036999.05</v>
          </cell>
          <cell r="K345">
            <v>3913326.1</v>
          </cell>
          <cell r="L345">
            <v>83599026.810000002</v>
          </cell>
          <cell r="M345">
            <v>0</v>
          </cell>
          <cell r="N345">
            <v>83599026.810000002</v>
          </cell>
          <cell r="O345">
            <v>14058197.73</v>
          </cell>
          <cell r="P345">
            <v>134.65</v>
          </cell>
          <cell r="Q345">
            <v>9130337.1999999993</v>
          </cell>
          <cell r="R345">
            <v>1317653.8999999999</v>
          </cell>
          <cell r="S345">
            <v>1586625.07</v>
          </cell>
          <cell r="T345">
            <v>1135866.25</v>
          </cell>
          <cell r="U345">
            <v>218601.24</v>
          </cell>
          <cell r="V345">
            <v>4894317.68</v>
          </cell>
          <cell r="W345">
            <v>1125477.3999999999</v>
          </cell>
          <cell r="X345">
            <v>480830.97</v>
          </cell>
          <cell r="Y345">
            <v>383923.57</v>
          </cell>
          <cell r="Z345">
            <v>1048314.57</v>
          </cell>
          <cell r="AA345">
            <v>2277872.84</v>
          </cell>
          <cell r="AB345">
            <v>1958073.58</v>
          </cell>
          <cell r="AC345">
            <v>494603.83</v>
          </cell>
          <cell r="AD345">
            <v>670001.46</v>
          </cell>
          <cell r="AE345">
            <v>3213182.77</v>
          </cell>
          <cell r="AF345">
            <v>1253515.5</v>
          </cell>
          <cell r="AG345">
            <v>89565.26</v>
          </cell>
          <cell r="AH345">
            <v>336253.74</v>
          </cell>
          <cell r="AI345">
            <v>1674095.66</v>
          </cell>
          <cell r="AJ345">
            <v>3481840.93</v>
          </cell>
          <cell r="AK345">
            <v>3320284.3</v>
          </cell>
          <cell r="AL345">
            <v>2213957.9900000002</v>
          </cell>
          <cell r="AM345">
            <v>726199.7</v>
          </cell>
          <cell r="AN345">
            <v>1687855.61</v>
          </cell>
          <cell r="AO345">
            <v>4205799.82</v>
          </cell>
          <cell r="AP345">
            <v>3948777.56</v>
          </cell>
          <cell r="AQ345">
            <v>6243255.8700000001</v>
          </cell>
          <cell r="AR345">
            <v>876214.56</v>
          </cell>
          <cell r="AS345">
            <v>9547395.5999999996</v>
          </cell>
          <cell r="AT345">
            <v>0</v>
          </cell>
          <cell r="AU345">
            <v>0</v>
          </cell>
          <cell r="AV345">
            <v>0</v>
          </cell>
          <cell r="AW345">
            <v>0</v>
          </cell>
          <cell r="AX345">
            <v>0</v>
          </cell>
          <cell r="AY345">
            <v>0</v>
          </cell>
        </row>
        <row r="346">
          <cell r="C346">
            <v>8433532.6500000004</v>
          </cell>
          <cell r="E346">
            <v>8433532.6500000004</v>
          </cell>
          <cell r="G346">
            <v>11162.52</v>
          </cell>
          <cell r="H346">
            <v>2566755.56</v>
          </cell>
          <cell r="I346">
            <v>926465.1</v>
          </cell>
          <cell r="J346">
            <v>1719816.72</v>
          </cell>
          <cell r="L346">
            <v>3209332.75</v>
          </cell>
          <cell r="N346">
            <v>3209332.75</v>
          </cell>
          <cell r="V346">
            <v>977502.6</v>
          </cell>
          <cell r="AI346">
            <v>503605.56</v>
          </cell>
          <cell r="AJ346">
            <v>922994.93</v>
          </cell>
          <cell r="AQ346">
            <v>805229.66</v>
          </cell>
          <cell r="AT346">
            <v>0</v>
          </cell>
        </row>
        <row r="347">
          <cell r="C347">
            <v>47375685.25</v>
          </cell>
          <cell r="E347">
            <v>47375685.25</v>
          </cell>
          <cell r="F347">
            <v>627967.97</v>
          </cell>
          <cell r="G347">
            <v>3049816.21</v>
          </cell>
          <cell r="H347">
            <v>2934515.42</v>
          </cell>
          <cell r="I347">
            <v>1243219.6299999999</v>
          </cell>
          <cell r="J347">
            <v>1698636.9</v>
          </cell>
          <cell r="K347">
            <v>1173152.5</v>
          </cell>
          <cell r="L347">
            <v>36648376.619999997</v>
          </cell>
          <cell r="N347">
            <v>36648376.619999997</v>
          </cell>
          <cell r="O347">
            <v>514900.18</v>
          </cell>
          <cell r="Q347">
            <v>2522552.4300000002</v>
          </cell>
          <cell r="S347">
            <v>731834.62</v>
          </cell>
          <cell r="T347">
            <v>916718.39</v>
          </cell>
          <cell r="U347">
            <v>462541.38</v>
          </cell>
          <cell r="V347">
            <v>59047.8</v>
          </cell>
          <cell r="W347">
            <v>266560.99</v>
          </cell>
          <cell r="X347">
            <v>844414.89</v>
          </cell>
          <cell r="Y347">
            <v>1431846.59</v>
          </cell>
          <cell r="Z347">
            <v>1148197.6200000001</v>
          </cell>
          <cell r="AA347">
            <v>1604086.57</v>
          </cell>
          <cell r="AB347">
            <v>287036</v>
          </cell>
          <cell r="AC347">
            <v>1597890.73</v>
          </cell>
          <cell r="AD347">
            <v>697048.8</v>
          </cell>
          <cell r="AE347">
            <v>1302025.6499999999</v>
          </cell>
          <cell r="AF347">
            <v>1211673.98</v>
          </cell>
          <cell r="AG347">
            <v>1154362.82</v>
          </cell>
          <cell r="AH347">
            <v>648189.86</v>
          </cell>
          <cell r="AI347">
            <v>1820354.47</v>
          </cell>
          <cell r="AJ347">
            <v>241584.16</v>
          </cell>
          <cell r="AK347">
            <v>1384634.18</v>
          </cell>
          <cell r="AL347">
            <v>840856.36</v>
          </cell>
          <cell r="AM347">
            <v>286817.93</v>
          </cell>
          <cell r="AN347">
            <v>623688.13</v>
          </cell>
          <cell r="AO347">
            <v>2158486</v>
          </cell>
          <cell r="AP347">
            <v>1565180.08</v>
          </cell>
          <cell r="AQ347">
            <v>2698689.79</v>
          </cell>
          <cell r="AR347">
            <v>511176.16</v>
          </cell>
          <cell r="AS347">
            <v>1420962.48</v>
          </cell>
          <cell r="AT347">
            <v>1855731.12</v>
          </cell>
          <cell r="AU347">
            <v>1005589.64</v>
          </cell>
          <cell r="AV347">
            <v>821435.44</v>
          </cell>
          <cell r="AW347">
            <v>1703424.05</v>
          </cell>
          <cell r="AX347">
            <v>292320.62</v>
          </cell>
          <cell r="AY347">
            <v>16516.71</v>
          </cell>
        </row>
        <row r="348">
          <cell r="C348">
            <v>2254344.7799999998</v>
          </cell>
          <cell r="E348">
            <v>2254344.7799999998</v>
          </cell>
          <cell r="G348">
            <v>286730.49</v>
          </cell>
          <cell r="H348">
            <v>66967.56</v>
          </cell>
          <cell r="I348">
            <v>152019.35999999999</v>
          </cell>
          <cell r="J348">
            <v>4557.83</v>
          </cell>
          <cell r="K348">
            <v>102228.9</v>
          </cell>
          <cell r="L348">
            <v>1641840.6399999999</v>
          </cell>
          <cell r="N348">
            <v>1641840.6399999999</v>
          </cell>
          <cell r="O348">
            <v>-112303.88</v>
          </cell>
          <cell r="Q348">
            <v>106418.88</v>
          </cell>
          <cell r="T348">
            <v>58140</v>
          </cell>
          <cell r="U348">
            <v>68621.460000000006</v>
          </cell>
          <cell r="X348">
            <v>16243.32</v>
          </cell>
          <cell r="Y348">
            <v>13060.92</v>
          </cell>
          <cell r="Z348">
            <v>61865.52</v>
          </cell>
          <cell r="AA348">
            <v>44973</v>
          </cell>
          <cell r="AB348">
            <v>119557.52</v>
          </cell>
          <cell r="AC348">
            <v>127182.74</v>
          </cell>
          <cell r="AD348">
            <v>58301.53</v>
          </cell>
          <cell r="AE348">
            <v>179648.16</v>
          </cell>
          <cell r="AF348">
            <v>16853.04</v>
          </cell>
          <cell r="AG348">
            <v>65885.679999999993</v>
          </cell>
          <cell r="AH348">
            <v>0</v>
          </cell>
          <cell r="AI348">
            <v>8104.45</v>
          </cell>
          <cell r="AJ348">
            <v>112772.7</v>
          </cell>
          <cell r="AK348">
            <v>122037</v>
          </cell>
          <cell r="AL348">
            <v>111100.06</v>
          </cell>
          <cell r="AM348">
            <v>0</v>
          </cell>
          <cell r="AN348">
            <v>19503.5</v>
          </cell>
          <cell r="AO348">
            <v>46359.96</v>
          </cell>
          <cell r="AP348">
            <v>137863.94</v>
          </cell>
          <cell r="AQ348">
            <v>210455.4</v>
          </cell>
          <cell r="AR348">
            <v>0</v>
          </cell>
          <cell r="AS348">
            <v>13178.46</v>
          </cell>
          <cell r="AT348">
            <v>0</v>
          </cell>
          <cell r="AU348">
            <v>0</v>
          </cell>
          <cell r="AV348">
            <v>0</v>
          </cell>
          <cell r="AW348">
            <v>34983.360000000001</v>
          </cell>
          <cell r="AX348">
            <v>0</v>
          </cell>
          <cell r="AY348">
            <v>1033.92</v>
          </cell>
        </row>
        <row r="349">
          <cell r="C349">
            <v>16411831.279999999</v>
          </cell>
          <cell r="E349">
            <v>16411831.279999999</v>
          </cell>
          <cell r="F349">
            <v>173847.82</v>
          </cell>
          <cell r="G349">
            <v>523042.78</v>
          </cell>
          <cell r="H349">
            <v>296412.36</v>
          </cell>
          <cell r="I349">
            <v>623431.81000000006</v>
          </cell>
          <cell r="J349">
            <v>23760.84</v>
          </cell>
          <cell r="K349">
            <v>939358.46</v>
          </cell>
          <cell r="L349">
            <v>13831977.210000001</v>
          </cell>
          <cell r="N349">
            <v>13831977.210000001</v>
          </cell>
          <cell r="O349">
            <v>498194.61</v>
          </cell>
          <cell r="P349">
            <v>51427.5</v>
          </cell>
          <cell r="Q349">
            <v>392783.4</v>
          </cell>
          <cell r="R349">
            <v>1202618.8999999999</v>
          </cell>
          <cell r="S349">
            <v>354416.31</v>
          </cell>
          <cell r="T349">
            <v>98755.13</v>
          </cell>
          <cell r="U349">
            <v>63415.51</v>
          </cell>
          <cell r="V349">
            <v>1143342.3899999999</v>
          </cell>
          <cell r="W349">
            <v>99970.26</v>
          </cell>
          <cell r="X349">
            <v>138597.51</v>
          </cell>
          <cell r="Y349">
            <v>117776.53</v>
          </cell>
          <cell r="Z349">
            <v>115554.77</v>
          </cell>
          <cell r="AA349">
            <v>207599.2</v>
          </cell>
          <cell r="AB349">
            <v>1079628.02</v>
          </cell>
          <cell r="AC349">
            <v>155612.81</v>
          </cell>
          <cell r="AD349">
            <v>170026.89</v>
          </cell>
          <cell r="AE349">
            <v>579543.91</v>
          </cell>
          <cell r="AF349">
            <v>278509.71000000002</v>
          </cell>
          <cell r="AG349">
            <v>276442.43</v>
          </cell>
          <cell r="AH349">
            <v>58771.71</v>
          </cell>
          <cell r="AI349">
            <v>82018.210000000006</v>
          </cell>
          <cell r="AJ349">
            <v>1813551.69</v>
          </cell>
          <cell r="AK349">
            <v>163657.37</v>
          </cell>
          <cell r="AL349">
            <v>1471635.52</v>
          </cell>
          <cell r="AM349">
            <v>27188.7</v>
          </cell>
          <cell r="AN349">
            <v>242849.82</v>
          </cell>
          <cell r="AO349">
            <v>455588.11</v>
          </cell>
          <cell r="AP349">
            <v>312852.92</v>
          </cell>
          <cell r="AQ349">
            <v>0</v>
          </cell>
          <cell r="AR349">
            <v>122237.14</v>
          </cell>
          <cell r="AS349">
            <v>1677471.35</v>
          </cell>
          <cell r="AT349">
            <v>0</v>
          </cell>
          <cell r="AU349">
            <v>136142.01999999999</v>
          </cell>
          <cell r="AW349">
            <v>47298.8</v>
          </cell>
          <cell r="AX349">
            <v>143588.75</v>
          </cell>
          <cell r="AY349">
            <v>52909.31</v>
          </cell>
        </row>
        <row r="350">
          <cell r="C350">
            <v>5426335.04</v>
          </cell>
          <cell r="E350">
            <v>5426335.04</v>
          </cell>
          <cell r="I350">
            <v>4230488.88</v>
          </cell>
          <cell r="L350">
            <v>1195846.1599999999</v>
          </cell>
          <cell r="N350">
            <v>1195846.1599999999</v>
          </cell>
          <cell r="AI350">
            <v>477051.48</v>
          </cell>
          <cell r="AQ350">
            <v>718794.68</v>
          </cell>
        </row>
        <row r="351">
          <cell r="C351">
            <v>99368951.810000002</v>
          </cell>
          <cell r="E351">
            <v>99368951.810000002</v>
          </cell>
          <cell r="F351">
            <v>3988374.12</v>
          </cell>
          <cell r="G351">
            <v>4965663.24</v>
          </cell>
          <cell r="K351">
            <v>5866425.25</v>
          </cell>
          <cell r="L351">
            <v>84548489.200000003</v>
          </cell>
          <cell r="N351">
            <v>84548489.200000003</v>
          </cell>
          <cell r="O351">
            <v>38973303.810000002</v>
          </cell>
          <cell r="Q351">
            <v>2615184.34</v>
          </cell>
          <cell r="R351">
            <v>5263571.42</v>
          </cell>
          <cell r="S351">
            <v>4172518.03</v>
          </cell>
          <cell r="T351">
            <v>1071288.3999999999</v>
          </cell>
          <cell r="U351">
            <v>1223287.53</v>
          </cell>
          <cell r="W351">
            <v>549717.93999999994</v>
          </cell>
          <cell r="X351">
            <v>127258.62</v>
          </cell>
          <cell r="Y351">
            <v>771522.7</v>
          </cell>
          <cell r="Z351">
            <v>2390790.33</v>
          </cell>
          <cell r="AA351">
            <v>1504020.72</v>
          </cell>
          <cell r="AB351">
            <v>5220563.46</v>
          </cell>
          <cell r="AC351">
            <v>642877.43000000005</v>
          </cell>
          <cell r="AE351">
            <v>943225.98</v>
          </cell>
          <cell r="AF351">
            <v>840081.78</v>
          </cell>
          <cell r="AG351">
            <v>757243.59</v>
          </cell>
          <cell r="AH351">
            <v>589055.32999999996</v>
          </cell>
          <cell r="AI351">
            <v>0</v>
          </cell>
          <cell r="AJ351">
            <v>0</v>
          </cell>
          <cell r="AK351">
            <v>3237580.98</v>
          </cell>
          <cell r="AL351">
            <v>4763422.41</v>
          </cell>
          <cell r="AM351">
            <v>0</v>
          </cell>
          <cell r="AN351">
            <v>1682299.97</v>
          </cell>
          <cell r="AO351">
            <v>859451.71</v>
          </cell>
          <cell r="AP351">
            <v>367907.17</v>
          </cell>
          <cell r="AQ351">
            <v>0</v>
          </cell>
          <cell r="AR351">
            <v>424183.89</v>
          </cell>
          <cell r="AS351">
            <v>2001817.82</v>
          </cell>
          <cell r="AT351">
            <v>760240.4</v>
          </cell>
          <cell r="AU351">
            <v>1545304.65</v>
          </cell>
          <cell r="AV351">
            <v>404208.5</v>
          </cell>
          <cell r="AW351">
            <v>473207.45</v>
          </cell>
          <cell r="AX351">
            <v>367004.12</v>
          </cell>
          <cell r="AY351">
            <v>6348.72</v>
          </cell>
        </row>
        <row r="352">
          <cell r="C352">
            <v>179270680.81</v>
          </cell>
          <cell r="D352">
            <v>0</v>
          </cell>
          <cell r="E352">
            <v>179270680.81</v>
          </cell>
          <cell r="F352">
            <v>4790189.91</v>
          </cell>
          <cell r="G352">
            <v>8836415.2400000002</v>
          </cell>
          <cell r="H352">
            <v>5864650.9000000004</v>
          </cell>
          <cell r="I352">
            <v>7175624.7800000003</v>
          </cell>
          <cell r="J352">
            <v>3446772.29</v>
          </cell>
          <cell r="K352">
            <v>8081165.1100000003</v>
          </cell>
          <cell r="L352">
            <v>141075862.58000001</v>
          </cell>
          <cell r="M352">
            <v>0</v>
          </cell>
          <cell r="N352">
            <v>141075862.58000001</v>
          </cell>
          <cell r="O352">
            <v>39874094.719999999</v>
          </cell>
          <cell r="P352">
            <v>51427.5</v>
          </cell>
          <cell r="Q352">
            <v>5636939.0499999998</v>
          </cell>
          <cell r="R352">
            <v>6466190.3200000003</v>
          </cell>
          <cell r="S352">
            <v>5258768.96</v>
          </cell>
          <cell r="T352">
            <v>2144901.92</v>
          </cell>
          <cell r="U352">
            <v>1817865.88</v>
          </cell>
          <cell r="V352">
            <v>2179892.79</v>
          </cell>
          <cell r="W352">
            <v>916249.19</v>
          </cell>
          <cell r="X352">
            <v>1126514.3400000001</v>
          </cell>
          <cell r="Y352">
            <v>2334206.7400000002</v>
          </cell>
          <cell r="Z352">
            <v>3716408.24</v>
          </cell>
          <cell r="AA352">
            <v>3360679.49</v>
          </cell>
          <cell r="AB352">
            <v>6706785</v>
          </cell>
          <cell r="AC352">
            <v>2523563.71</v>
          </cell>
          <cell r="AD352">
            <v>925377.22</v>
          </cell>
          <cell r="AE352">
            <v>3004443.7</v>
          </cell>
          <cell r="AF352">
            <v>2347118.5099999998</v>
          </cell>
          <cell r="AG352">
            <v>2253934.52</v>
          </cell>
          <cell r="AH352">
            <v>1296016.8999999999</v>
          </cell>
          <cell r="AI352">
            <v>2891134.17</v>
          </cell>
          <cell r="AJ352">
            <v>3090903.48</v>
          </cell>
          <cell r="AK352">
            <v>4907909.53</v>
          </cell>
          <cell r="AL352">
            <v>7187014.3499999996</v>
          </cell>
          <cell r="AM352">
            <v>314006.63</v>
          </cell>
          <cell r="AN352">
            <v>2568341.42</v>
          </cell>
          <cell r="AO352">
            <v>3519885.78</v>
          </cell>
          <cell r="AP352">
            <v>2383804.11</v>
          </cell>
          <cell r="AQ352">
            <v>4433169.53</v>
          </cell>
          <cell r="AR352">
            <v>1057597.19</v>
          </cell>
          <cell r="AS352">
            <v>5113430.1100000003</v>
          </cell>
          <cell r="AT352">
            <v>2615971.52</v>
          </cell>
          <cell r="AU352">
            <v>2687036.31</v>
          </cell>
          <cell r="AV352">
            <v>1225643.94</v>
          </cell>
          <cell r="AW352">
            <v>2258913.66</v>
          </cell>
          <cell r="AX352">
            <v>802913.49</v>
          </cell>
          <cell r="AY352">
            <v>76808.66</v>
          </cell>
        </row>
        <row r="353">
          <cell r="C353">
            <v>0</v>
          </cell>
          <cell r="E353">
            <v>0</v>
          </cell>
          <cell r="L353">
            <v>0</v>
          </cell>
          <cell r="N353">
            <v>0</v>
          </cell>
          <cell r="AT353">
            <v>0</v>
          </cell>
        </row>
        <row r="354">
          <cell r="C354">
            <v>4343472.17</v>
          </cell>
          <cell r="E354">
            <v>4343472.17</v>
          </cell>
          <cell r="I354">
            <v>2616.91</v>
          </cell>
          <cell r="K354">
            <v>2601.7600000000002</v>
          </cell>
          <cell r="L354">
            <v>4338253.5</v>
          </cell>
          <cell r="N354">
            <v>4338253.5</v>
          </cell>
          <cell r="S354">
            <v>23353.41</v>
          </cell>
          <cell r="U354">
            <v>507555.99</v>
          </cell>
          <cell r="Z354">
            <v>2978.25</v>
          </cell>
          <cell r="AD354">
            <v>1231541.1100000001</v>
          </cell>
          <cell r="AE354">
            <v>172636.46</v>
          </cell>
          <cell r="AH354">
            <v>743946.42</v>
          </cell>
          <cell r="AL354">
            <v>182972.83</v>
          </cell>
          <cell r="AM354">
            <v>947015.91</v>
          </cell>
          <cell r="AO354">
            <v>77725.399999999994</v>
          </cell>
          <cell r="AP354">
            <v>408573.75</v>
          </cell>
          <cell r="AR354">
            <v>27169.19</v>
          </cell>
          <cell r="AT354">
            <v>2631.5</v>
          </cell>
          <cell r="AW354">
            <v>10153.280000000001</v>
          </cell>
        </row>
        <row r="355">
          <cell r="C355">
            <v>391295.48</v>
          </cell>
          <cell r="E355">
            <v>391295.48</v>
          </cell>
          <cell r="G355">
            <v>206049.54</v>
          </cell>
          <cell r="L355">
            <v>185245.94</v>
          </cell>
          <cell r="N355">
            <v>185245.94</v>
          </cell>
          <cell r="Z355">
            <v>60317.57</v>
          </cell>
          <cell r="AC355">
            <v>1448.64</v>
          </cell>
          <cell r="AQ355">
            <v>101828.42</v>
          </cell>
          <cell r="AS355">
            <v>21651.31</v>
          </cell>
          <cell r="AT355">
            <v>0</v>
          </cell>
        </row>
        <row r="356">
          <cell r="C356">
            <v>2692167.54</v>
          </cell>
          <cell r="E356">
            <v>2692167.54</v>
          </cell>
          <cell r="I356">
            <v>3581.6</v>
          </cell>
          <cell r="K356">
            <v>993588.41</v>
          </cell>
          <cell r="L356">
            <v>1694997.53</v>
          </cell>
          <cell r="N356">
            <v>1694997.53</v>
          </cell>
          <cell r="R356">
            <v>789285.5</v>
          </cell>
          <cell r="S356">
            <v>16212.08</v>
          </cell>
          <cell r="T356">
            <v>157.68</v>
          </cell>
          <cell r="U356">
            <v>46588.3</v>
          </cell>
          <cell r="V356">
            <v>94238.75</v>
          </cell>
          <cell r="Z356">
            <v>2294.3200000000002</v>
          </cell>
          <cell r="AD356">
            <v>115842.28</v>
          </cell>
          <cell r="AE356">
            <v>167229.5</v>
          </cell>
          <cell r="AG356">
            <v>44847.88</v>
          </cell>
          <cell r="AI356">
            <v>3456</v>
          </cell>
          <cell r="AL356">
            <v>166956.60999999999</v>
          </cell>
          <cell r="AM356">
            <v>93190.42</v>
          </cell>
          <cell r="AO356">
            <v>71097.259999999995</v>
          </cell>
          <cell r="AR356">
            <v>83220.95</v>
          </cell>
          <cell r="AT356">
            <v>0</v>
          </cell>
          <cell r="AW356">
            <v>380</v>
          </cell>
        </row>
        <row r="357">
          <cell r="C357">
            <v>0</v>
          </cell>
          <cell r="E357">
            <v>0</v>
          </cell>
          <cell r="L357">
            <v>0</v>
          </cell>
          <cell r="N357">
            <v>0</v>
          </cell>
        </row>
        <row r="358">
          <cell r="C358">
            <v>0</v>
          </cell>
          <cell r="E358">
            <v>0</v>
          </cell>
          <cell r="L358">
            <v>0</v>
          </cell>
          <cell r="N358">
            <v>0</v>
          </cell>
        </row>
        <row r="359">
          <cell r="C359">
            <v>7426935.1900000004</v>
          </cell>
          <cell r="D359">
            <v>0</v>
          </cell>
          <cell r="E359">
            <v>7426935.1900000004</v>
          </cell>
          <cell r="F359">
            <v>0</v>
          </cell>
          <cell r="G359">
            <v>206049.54</v>
          </cell>
          <cell r="H359">
            <v>0</v>
          </cell>
          <cell r="I359">
            <v>6198.51</v>
          </cell>
          <cell r="J359">
            <v>0</v>
          </cell>
          <cell r="K359">
            <v>996190.17</v>
          </cell>
          <cell r="L359">
            <v>6218496.9699999997</v>
          </cell>
          <cell r="M359">
            <v>0</v>
          </cell>
          <cell r="N359">
            <v>6218496.9699999997</v>
          </cell>
          <cell r="O359">
            <v>0</v>
          </cell>
          <cell r="P359">
            <v>0</v>
          </cell>
          <cell r="Q359">
            <v>0</v>
          </cell>
          <cell r="R359">
            <v>789285.5</v>
          </cell>
          <cell r="S359">
            <v>39565.49</v>
          </cell>
          <cell r="T359">
            <v>157.68</v>
          </cell>
          <cell r="U359">
            <v>554144.29</v>
          </cell>
          <cell r="V359">
            <v>94238.75</v>
          </cell>
          <cell r="W359">
            <v>0</v>
          </cell>
          <cell r="X359">
            <v>0</v>
          </cell>
          <cell r="Y359">
            <v>0</v>
          </cell>
          <cell r="Z359">
            <v>65590.14</v>
          </cell>
          <cell r="AA359">
            <v>0</v>
          </cell>
          <cell r="AB359">
            <v>0</v>
          </cell>
          <cell r="AC359">
            <v>1448.64</v>
          </cell>
          <cell r="AD359">
            <v>1347383.39</v>
          </cell>
          <cell r="AE359">
            <v>339865.96</v>
          </cell>
          <cell r="AF359">
            <v>0</v>
          </cell>
          <cell r="AG359">
            <v>44847.88</v>
          </cell>
          <cell r="AH359">
            <v>743946.42</v>
          </cell>
          <cell r="AI359">
            <v>3456</v>
          </cell>
          <cell r="AJ359">
            <v>0</v>
          </cell>
          <cell r="AK359">
            <v>0</v>
          </cell>
          <cell r="AL359">
            <v>349929.44</v>
          </cell>
          <cell r="AM359">
            <v>1040206.33</v>
          </cell>
          <cell r="AN359">
            <v>0</v>
          </cell>
          <cell r="AO359">
            <v>148822.66</v>
          </cell>
          <cell r="AP359">
            <v>408573.75</v>
          </cell>
          <cell r="AQ359">
            <v>101828.42</v>
          </cell>
          <cell r="AR359">
            <v>110390.14</v>
          </cell>
          <cell r="AS359">
            <v>21651.31</v>
          </cell>
          <cell r="AT359">
            <v>2631.5</v>
          </cell>
          <cell r="AU359">
            <v>0</v>
          </cell>
          <cell r="AV359">
            <v>0</v>
          </cell>
          <cell r="AW359">
            <v>10533.28</v>
          </cell>
          <cell r="AX359">
            <v>0</v>
          </cell>
          <cell r="AY359">
            <v>0</v>
          </cell>
        </row>
        <row r="360">
          <cell r="C360">
            <v>16236146.76</v>
          </cell>
          <cell r="D360">
            <v>0</v>
          </cell>
          <cell r="E360">
            <v>16236146.76</v>
          </cell>
          <cell r="F360">
            <v>0</v>
          </cell>
          <cell r="G360">
            <v>26045.86</v>
          </cell>
          <cell r="H360">
            <v>7348103.29</v>
          </cell>
          <cell r="I360">
            <v>926465.1</v>
          </cell>
          <cell r="J360">
            <v>2436407</v>
          </cell>
          <cell r="K360">
            <v>0</v>
          </cell>
          <cell r="L360">
            <v>5499125.5099999998</v>
          </cell>
          <cell r="M360">
            <v>0</v>
          </cell>
          <cell r="N360">
            <v>5499125.5099999998</v>
          </cell>
          <cell r="O360">
            <v>0</v>
          </cell>
          <cell r="P360">
            <v>0</v>
          </cell>
          <cell r="Q360">
            <v>0</v>
          </cell>
          <cell r="R360">
            <v>0</v>
          </cell>
          <cell r="S360">
            <v>0</v>
          </cell>
          <cell r="T360">
            <v>0</v>
          </cell>
          <cell r="U360">
            <v>0</v>
          </cell>
          <cell r="V360">
            <v>3265522.04</v>
          </cell>
          <cell r="W360">
            <v>0</v>
          </cell>
          <cell r="X360">
            <v>0</v>
          </cell>
          <cell r="Y360">
            <v>0</v>
          </cell>
          <cell r="Z360">
            <v>0</v>
          </cell>
          <cell r="AA360">
            <v>0</v>
          </cell>
          <cell r="AB360">
            <v>0</v>
          </cell>
          <cell r="AC360">
            <v>0</v>
          </cell>
          <cell r="AD360">
            <v>0</v>
          </cell>
          <cell r="AE360">
            <v>0</v>
          </cell>
          <cell r="AF360">
            <v>0</v>
          </cell>
          <cell r="AG360">
            <v>0</v>
          </cell>
          <cell r="AH360">
            <v>0</v>
          </cell>
          <cell r="AI360">
            <v>503605.56</v>
          </cell>
          <cell r="AJ360">
            <v>922994.93</v>
          </cell>
          <cell r="AK360">
            <v>0</v>
          </cell>
          <cell r="AL360">
            <v>0</v>
          </cell>
          <cell r="AM360">
            <v>0</v>
          </cell>
          <cell r="AN360">
            <v>0</v>
          </cell>
          <cell r="AO360">
            <v>0</v>
          </cell>
          <cell r="AP360">
            <v>0</v>
          </cell>
          <cell r="AQ360">
            <v>807002.98</v>
          </cell>
          <cell r="AR360">
            <v>0</v>
          </cell>
          <cell r="AS360">
            <v>0</v>
          </cell>
          <cell r="AT360">
            <v>0</v>
          </cell>
          <cell r="AU360">
            <v>0</v>
          </cell>
          <cell r="AV360">
            <v>0</v>
          </cell>
          <cell r="AW360">
            <v>0</v>
          </cell>
          <cell r="AX360">
            <v>0</v>
          </cell>
          <cell r="AY360">
            <v>0</v>
          </cell>
        </row>
        <row r="361">
          <cell r="C361">
            <v>109277580.16</v>
          </cell>
          <cell r="D361">
            <v>0</v>
          </cell>
          <cell r="E361">
            <v>109277580.16</v>
          </cell>
          <cell r="F361">
            <v>1958465.8</v>
          </cell>
          <cell r="G361">
            <v>10848788.25</v>
          </cell>
          <cell r="H361">
            <v>7484103.4500000002</v>
          </cell>
          <cell r="I361">
            <v>2794118.29</v>
          </cell>
          <cell r="J361">
            <v>1838609.23</v>
          </cell>
          <cell r="K361">
            <v>3420195.73</v>
          </cell>
          <cell r="L361">
            <v>80933299.409999996</v>
          </cell>
          <cell r="M361">
            <v>0</v>
          </cell>
          <cell r="N361">
            <v>80933299.409999996</v>
          </cell>
          <cell r="O361">
            <v>5184917.71</v>
          </cell>
          <cell r="P361">
            <v>0</v>
          </cell>
          <cell r="Q361">
            <v>10037962.1</v>
          </cell>
          <cell r="R361">
            <v>0</v>
          </cell>
          <cell r="S361">
            <v>1752655.5</v>
          </cell>
          <cell r="T361">
            <v>1884980.33</v>
          </cell>
          <cell r="U361">
            <v>129999.7</v>
          </cell>
          <cell r="V361">
            <v>1601934.09</v>
          </cell>
          <cell r="W361">
            <v>1290171.3500000001</v>
          </cell>
          <cell r="X361">
            <v>1238940.73</v>
          </cell>
          <cell r="Y361">
            <v>1792651.95</v>
          </cell>
          <cell r="Z361">
            <v>2026987.78</v>
          </cell>
          <cell r="AA361">
            <v>3598072.39</v>
          </cell>
          <cell r="AB361">
            <v>656158.14</v>
          </cell>
          <cell r="AC361">
            <v>2008033.01</v>
          </cell>
          <cell r="AD361">
            <v>39117.86</v>
          </cell>
          <cell r="AE361">
            <v>3148745.53</v>
          </cell>
          <cell r="AF361">
            <v>2294686.5499999998</v>
          </cell>
          <cell r="AG361">
            <v>1198712.01</v>
          </cell>
          <cell r="AH361">
            <v>204831.6</v>
          </cell>
          <cell r="AI361">
            <v>3421950.06</v>
          </cell>
          <cell r="AJ361">
            <v>606145.84</v>
          </cell>
          <cell r="AK361">
            <v>4203319.7</v>
          </cell>
          <cell r="AL361">
            <v>678248.57</v>
          </cell>
          <cell r="AM361">
            <v>0</v>
          </cell>
          <cell r="AN361">
            <v>1765509.38</v>
          </cell>
          <cell r="AO361">
            <v>5567989.0800000001</v>
          </cell>
          <cell r="AP361">
            <v>4397760.78</v>
          </cell>
          <cell r="AQ361">
            <v>8493579.4800000004</v>
          </cell>
          <cell r="AR361">
            <v>1187889.1200000001</v>
          </cell>
          <cell r="AS361">
            <v>4839116.2699999996</v>
          </cell>
          <cell r="AT361">
            <v>1853099.62</v>
          </cell>
          <cell r="AU361">
            <v>1005589.64</v>
          </cell>
          <cell r="AV361">
            <v>821435.44</v>
          </cell>
          <cell r="AW361">
            <v>1693270.77</v>
          </cell>
          <cell r="AX361">
            <v>292320.62</v>
          </cell>
          <cell r="AY361">
            <v>16516.71</v>
          </cell>
        </row>
        <row r="362">
          <cell r="C362">
            <v>11816705.48</v>
          </cell>
          <cell r="D362">
            <v>0</v>
          </cell>
          <cell r="E362">
            <v>11816705.48</v>
          </cell>
          <cell r="F362">
            <v>0</v>
          </cell>
          <cell r="G362">
            <v>806577.07</v>
          </cell>
          <cell r="H362">
            <v>220973.33</v>
          </cell>
          <cell r="I362">
            <v>405911.4</v>
          </cell>
          <cell r="J362">
            <v>19237.54</v>
          </cell>
          <cell r="K362">
            <v>557091.39</v>
          </cell>
          <cell r="L362">
            <v>9806914.75</v>
          </cell>
          <cell r="M362">
            <v>0</v>
          </cell>
          <cell r="N362">
            <v>9806914.75</v>
          </cell>
          <cell r="O362">
            <v>6047170.6799999997</v>
          </cell>
          <cell r="P362">
            <v>0</v>
          </cell>
          <cell r="Q362">
            <v>395554.48</v>
          </cell>
          <cell r="R362">
            <v>0</v>
          </cell>
          <cell r="S362">
            <v>0</v>
          </cell>
          <cell r="T362">
            <v>116186.68</v>
          </cell>
          <cell r="U362">
            <v>85670.37</v>
          </cell>
          <cell r="V362">
            <v>0</v>
          </cell>
          <cell r="W362">
            <v>0</v>
          </cell>
          <cell r="X362">
            <v>25718.59</v>
          </cell>
          <cell r="Y362">
            <v>15237.74</v>
          </cell>
          <cell r="Z362">
            <v>70925.179999999993</v>
          </cell>
          <cell r="AA362">
            <v>82794.06</v>
          </cell>
          <cell r="AB362">
            <v>176274.08</v>
          </cell>
          <cell r="AC362">
            <v>172755.92</v>
          </cell>
          <cell r="AD362">
            <v>106838.64</v>
          </cell>
          <cell r="AE362">
            <v>423443.53</v>
          </cell>
          <cell r="AF362">
            <v>32005.96</v>
          </cell>
          <cell r="AG362">
            <v>65885.679999999993</v>
          </cell>
          <cell r="AH362">
            <v>0</v>
          </cell>
          <cell r="AI362">
            <v>8104.45</v>
          </cell>
          <cell r="AJ362">
            <v>375509.8</v>
          </cell>
          <cell r="AK362">
            <v>277211.96000000002</v>
          </cell>
          <cell r="AL362">
            <v>239010.16</v>
          </cell>
          <cell r="AM362">
            <v>0</v>
          </cell>
          <cell r="AN362">
            <v>50787.54</v>
          </cell>
          <cell r="AO362">
            <v>108263.27</v>
          </cell>
          <cell r="AP362">
            <v>312478.64</v>
          </cell>
          <cell r="AQ362">
            <v>555219.84</v>
          </cell>
          <cell r="AR362">
            <v>0</v>
          </cell>
          <cell r="AS362">
            <v>27850.22</v>
          </cell>
          <cell r="AT362">
            <v>0</v>
          </cell>
          <cell r="AU362">
            <v>0</v>
          </cell>
          <cell r="AV362">
            <v>0</v>
          </cell>
          <cell r="AW362">
            <v>34983.360000000001</v>
          </cell>
          <cell r="AX362">
            <v>0</v>
          </cell>
          <cell r="AY362">
            <v>1033.92</v>
          </cell>
        </row>
        <row r="363">
          <cell r="C363">
            <v>42702086.130000003</v>
          </cell>
          <cell r="D363">
            <v>0</v>
          </cell>
          <cell r="E363">
            <v>42702086.130000003</v>
          </cell>
          <cell r="F363">
            <v>486433</v>
          </cell>
          <cell r="G363">
            <v>1908851.16</v>
          </cell>
          <cell r="H363">
            <v>884306.12</v>
          </cell>
          <cell r="I363">
            <v>1605672.22</v>
          </cell>
          <cell r="J363">
            <v>189517.57</v>
          </cell>
          <cell r="K363">
            <v>1154588.67</v>
          </cell>
          <cell r="L363">
            <v>36472717.390000001</v>
          </cell>
          <cell r="M363">
            <v>0</v>
          </cell>
          <cell r="N363">
            <v>36472717.390000001</v>
          </cell>
          <cell r="O363">
            <v>3726900.25</v>
          </cell>
          <cell r="P363">
            <v>51562.15</v>
          </cell>
          <cell r="Q363">
            <v>1718575.33</v>
          </cell>
          <cell r="R363">
            <v>1730987.3</v>
          </cell>
          <cell r="S363">
            <v>880655.01</v>
          </cell>
          <cell r="T363">
            <v>208155.08</v>
          </cell>
          <cell r="U363">
            <v>43365.23</v>
          </cell>
          <cell r="V363">
            <v>2112515.59</v>
          </cell>
          <cell r="W363">
            <v>201837.3</v>
          </cell>
          <cell r="X363">
            <v>215427.37</v>
          </cell>
          <cell r="Y363">
            <v>138717.92000000001</v>
          </cell>
          <cell r="Z363">
            <v>210429.38</v>
          </cell>
          <cell r="AA363">
            <v>453665.16</v>
          </cell>
          <cell r="AB363">
            <v>2611862.9</v>
          </cell>
          <cell r="AC363">
            <v>193052.54</v>
          </cell>
          <cell r="AD363">
            <v>102038.79</v>
          </cell>
          <cell r="AE363">
            <v>1362345.47</v>
          </cell>
          <cell r="AF363">
            <v>433859.72</v>
          </cell>
          <cell r="AG363">
            <v>276810.62</v>
          </cell>
          <cell r="AH363">
            <v>94437.29</v>
          </cell>
          <cell r="AI363">
            <v>151062.28</v>
          </cell>
          <cell r="AJ363">
            <v>4668093.84</v>
          </cell>
          <cell r="AK363">
            <v>510081.19</v>
          </cell>
          <cell r="AL363">
            <v>3370361.76</v>
          </cell>
          <cell r="AM363">
            <v>0</v>
          </cell>
          <cell r="AN363">
            <v>757600.14</v>
          </cell>
          <cell r="AO363">
            <v>1041158.88</v>
          </cell>
          <cell r="AP363">
            <v>845861.33</v>
          </cell>
          <cell r="AQ363">
            <v>0</v>
          </cell>
          <cell r="AR363">
            <v>211348.6</v>
          </cell>
          <cell r="AS363">
            <v>7770390.0899999999</v>
          </cell>
          <cell r="AT363">
            <v>0</v>
          </cell>
          <cell r="AU363">
            <v>136142.01999999999</v>
          </cell>
          <cell r="AV363">
            <v>0</v>
          </cell>
          <cell r="AW363">
            <v>46918.8</v>
          </cell>
          <cell r="AX363">
            <v>143588.75</v>
          </cell>
          <cell r="AY363">
            <v>52909.31</v>
          </cell>
        </row>
        <row r="364">
          <cell r="C364">
            <v>5426335.04</v>
          </cell>
          <cell r="D364">
            <v>0</v>
          </cell>
          <cell r="E364">
            <v>5426335.04</v>
          </cell>
          <cell r="F364">
            <v>0</v>
          </cell>
          <cell r="G364">
            <v>0</v>
          </cell>
          <cell r="H364">
            <v>0</v>
          </cell>
          <cell r="I364">
            <v>4230488.88</v>
          </cell>
          <cell r="J364">
            <v>0</v>
          </cell>
          <cell r="K364">
            <v>0</v>
          </cell>
          <cell r="L364">
            <v>1195846.1599999999</v>
          </cell>
          <cell r="M364">
            <v>0</v>
          </cell>
          <cell r="N364">
            <v>1195846.1599999999</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477051.48</v>
          </cell>
          <cell r="AJ364">
            <v>0</v>
          </cell>
          <cell r="AK364">
            <v>0</v>
          </cell>
          <cell r="AL364">
            <v>0</v>
          </cell>
          <cell r="AM364">
            <v>0</v>
          </cell>
          <cell r="AN364">
            <v>0</v>
          </cell>
          <cell r="AO364">
            <v>0</v>
          </cell>
          <cell r="AP364">
            <v>0</v>
          </cell>
          <cell r="AQ364">
            <v>718794.68</v>
          </cell>
          <cell r="AR364">
            <v>0</v>
          </cell>
          <cell r="AS364">
            <v>0</v>
          </cell>
          <cell r="AT364">
            <v>0</v>
          </cell>
          <cell r="AU364">
            <v>0</v>
          </cell>
          <cell r="AV364">
            <v>0</v>
          </cell>
          <cell r="AW364">
            <v>0</v>
          </cell>
          <cell r="AX364">
            <v>0</v>
          </cell>
          <cell r="AY364">
            <v>0</v>
          </cell>
        </row>
        <row r="365">
          <cell r="C365">
            <v>99368951.810000002</v>
          </cell>
          <cell r="D365">
            <v>0</v>
          </cell>
          <cell r="E365">
            <v>99368951.810000002</v>
          </cell>
          <cell r="F365">
            <v>3988374.12</v>
          </cell>
          <cell r="G365">
            <v>4965663.24</v>
          </cell>
          <cell r="H365">
            <v>0</v>
          </cell>
          <cell r="I365">
            <v>0</v>
          </cell>
          <cell r="J365">
            <v>0</v>
          </cell>
          <cell r="K365">
            <v>5866425.25</v>
          </cell>
          <cell r="L365">
            <v>84548489.200000003</v>
          </cell>
          <cell r="M365">
            <v>0</v>
          </cell>
          <cell r="N365">
            <v>84548489.200000003</v>
          </cell>
          <cell r="O365">
            <v>38973303.810000002</v>
          </cell>
          <cell r="P365">
            <v>0</v>
          </cell>
          <cell r="Q365">
            <v>2615184.34</v>
          </cell>
          <cell r="R365">
            <v>5263571.42</v>
          </cell>
          <cell r="S365">
            <v>4172518.03</v>
          </cell>
          <cell r="T365">
            <v>1071288.3999999999</v>
          </cell>
          <cell r="U365">
            <v>1223287.53</v>
          </cell>
          <cell r="V365">
            <v>0</v>
          </cell>
          <cell r="W365">
            <v>549717.93999999994</v>
          </cell>
          <cell r="X365">
            <v>127258.62</v>
          </cell>
          <cell r="Y365">
            <v>771522.7</v>
          </cell>
          <cell r="Z365">
            <v>2390790.33</v>
          </cell>
          <cell r="AA365">
            <v>1504020.72</v>
          </cell>
          <cell r="AB365">
            <v>5220563.46</v>
          </cell>
          <cell r="AC365">
            <v>642877.43000000005</v>
          </cell>
          <cell r="AD365">
            <v>0</v>
          </cell>
          <cell r="AE365">
            <v>943225.98</v>
          </cell>
          <cell r="AF365">
            <v>840081.78</v>
          </cell>
          <cell r="AG365">
            <v>757243.59</v>
          </cell>
          <cell r="AH365">
            <v>589055.32999999996</v>
          </cell>
          <cell r="AI365">
            <v>0</v>
          </cell>
          <cell r="AJ365">
            <v>0</v>
          </cell>
          <cell r="AK365">
            <v>3237580.98</v>
          </cell>
          <cell r="AL365">
            <v>4763422.41</v>
          </cell>
          <cell r="AM365">
            <v>0</v>
          </cell>
          <cell r="AN365">
            <v>1682299.97</v>
          </cell>
          <cell r="AO365">
            <v>859451.71</v>
          </cell>
          <cell r="AP365">
            <v>367907.17</v>
          </cell>
          <cell r="AQ365">
            <v>0</v>
          </cell>
          <cell r="AR365">
            <v>424183.89</v>
          </cell>
          <cell r="AS365">
            <v>2001817.82</v>
          </cell>
          <cell r="AT365">
            <v>760240.4</v>
          </cell>
          <cell r="AU365">
            <v>1545304.65</v>
          </cell>
          <cell r="AV365">
            <v>404208.5</v>
          </cell>
          <cell r="AW365">
            <v>473207.45</v>
          </cell>
          <cell r="AX365">
            <v>367004.12</v>
          </cell>
          <cell r="AY365">
            <v>6348.72</v>
          </cell>
        </row>
        <row r="366">
          <cell r="C366">
            <v>284827805.38</v>
          </cell>
          <cell r="D366">
            <v>0</v>
          </cell>
          <cell r="E366">
            <v>284827805.38</v>
          </cell>
          <cell r="F366">
            <v>6433272.9199999999</v>
          </cell>
          <cell r="G366">
            <v>18555925.579999998</v>
          </cell>
          <cell r="H366">
            <v>15937486.189999999</v>
          </cell>
          <cell r="I366">
            <v>9962655.8900000006</v>
          </cell>
          <cell r="J366">
            <v>4483771.34</v>
          </cell>
          <cell r="K366">
            <v>10998301.039999999</v>
          </cell>
          <cell r="L366">
            <v>218456392.41999999</v>
          </cell>
          <cell r="M366">
            <v>0</v>
          </cell>
          <cell r="N366">
            <v>218456392.41999999</v>
          </cell>
          <cell r="O366">
            <v>53932292.450000003</v>
          </cell>
          <cell r="P366">
            <v>51562.15</v>
          </cell>
          <cell r="Q366">
            <v>14767276.25</v>
          </cell>
          <cell r="R366">
            <v>6994558.7199999997</v>
          </cell>
          <cell r="S366">
            <v>6805828.54</v>
          </cell>
          <cell r="T366">
            <v>3280610.49</v>
          </cell>
          <cell r="U366">
            <v>1482322.83</v>
          </cell>
          <cell r="V366">
            <v>6979971.7199999997</v>
          </cell>
          <cell r="W366">
            <v>2041726.59</v>
          </cell>
          <cell r="X366">
            <v>1607345.31</v>
          </cell>
          <cell r="Y366">
            <v>2718130.31</v>
          </cell>
          <cell r="Z366">
            <v>4699132.67</v>
          </cell>
          <cell r="AA366">
            <v>5638552.3300000001</v>
          </cell>
          <cell r="AB366">
            <v>8664858.5800000001</v>
          </cell>
          <cell r="AC366">
            <v>3016718.9</v>
          </cell>
          <cell r="AD366">
            <v>247995.29</v>
          </cell>
          <cell r="AE366">
            <v>5877760.5099999998</v>
          </cell>
          <cell r="AF366">
            <v>3600634.01</v>
          </cell>
          <cell r="AG366">
            <v>2298651.9</v>
          </cell>
          <cell r="AH366">
            <v>888324.22</v>
          </cell>
          <cell r="AI366">
            <v>4561773.83</v>
          </cell>
          <cell r="AJ366">
            <v>6572744.4100000001</v>
          </cell>
          <cell r="AK366">
            <v>8228193.8300000001</v>
          </cell>
          <cell r="AL366">
            <v>9051042.9000000004</v>
          </cell>
          <cell r="AM366">
            <v>0</v>
          </cell>
          <cell r="AN366">
            <v>4256197.03</v>
          </cell>
          <cell r="AO366">
            <v>7576862.9400000004</v>
          </cell>
          <cell r="AP366">
            <v>5924007.9199999999</v>
          </cell>
          <cell r="AQ366">
            <v>10574596.98</v>
          </cell>
          <cell r="AR366">
            <v>1823421.61</v>
          </cell>
          <cell r="AS366">
            <v>14639174.4</v>
          </cell>
          <cell r="AT366">
            <v>2613340.02</v>
          </cell>
          <cell r="AU366">
            <v>2687036.31</v>
          </cell>
          <cell r="AV366">
            <v>1225643.94</v>
          </cell>
          <cell r="AW366">
            <v>2248380.38</v>
          </cell>
          <cell r="AX366">
            <v>802913.49</v>
          </cell>
          <cell r="AY366">
            <v>76808.66</v>
          </cell>
        </row>
        <row r="367">
          <cell r="C367">
            <v>0</v>
          </cell>
          <cell r="E367">
            <v>0</v>
          </cell>
          <cell r="L367">
            <v>0</v>
          </cell>
          <cell r="N367">
            <v>0</v>
          </cell>
        </row>
        <row r="368">
          <cell r="C368">
            <v>0</v>
          </cell>
          <cell r="E368">
            <v>0</v>
          </cell>
          <cell r="L368">
            <v>0</v>
          </cell>
          <cell r="N368">
            <v>0</v>
          </cell>
          <cell r="AP368">
            <v>0</v>
          </cell>
        </row>
        <row r="369">
          <cell r="C369">
            <v>3772055.31</v>
          </cell>
          <cell r="E369">
            <v>3772055.31</v>
          </cell>
          <cell r="G369">
            <v>1693063.45</v>
          </cell>
          <cell r="L369">
            <v>2078991.86</v>
          </cell>
          <cell r="N369">
            <v>2078991.86</v>
          </cell>
          <cell r="O369">
            <v>1186525.1100000001</v>
          </cell>
          <cell r="Q369">
            <v>892466.75</v>
          </cell>
          <cell r="AP369">
            <v>0</v>
          </cell>
        </row>
        <row r="370">
          <cell r="C370">
            <v>0</v>
          </cell>
          <cell r="E370">
            <v>0</v>
          </cell>
          <cell r="L370">
            <v>0</v>
          </cell>
          <cell r="N370">
            <v>0</v>
          </cell>
          <cell r="AP370">
            <v>0</v>
          </cell>
        </row>
        <row r="371">
          <cell r="C371">
            <v>1160310.3700000001</v>
          </cell>
          <cell r="E371">
            <v>1160310.3700000001</v>
          </cell>
          <cell r="G371">
            <v>194412.34</v>
          </cell>
          <cell r="L371">
            <v>965898.03</v>
          </cell>
          <cell r="N371">
            <v>965898.03</v>
          </cell>
          <cell r="Q371">
            <v>315817.33</v>
          </cell>
          <cell r="V371">
            <v>650080.69999999995</v>
          </cell>
          <cell r="AP371">
            <v>0</v>
          </cell>
        </row>
        <row r="372">
          <cell r="C372">
            <v>4932365.68</v>
          </cell>
          <cell r="E372">
            <v>4932365.68</v>
          </cell>
          <cell r="F372">
            <v>0</v>
          </cell>
          <cell r="G372">
            <v>1887475.79</v>
          </cell>
          <cell r="H372">
            <v>0</v>
          </cell>
          <cell r="I372">
            <v>0</v>
          </cell>
          <cell r="J372">
            <v>0</v>
          </cell>
          <cell r="K372">
            <v>0</v>
          </cell>
          <cell r="L372">
            <v>3044889.89</v>
          </cell>
          <cell r="N372">
            <v>3044889.89</v>
          </cell>
          <cell r="O372">
            <v>1186525.1100000001</v>
          </cell>
          <cell r="P372">
            <v>0</v>
          </cell>
          <cell r="Q372">
            <v>1208284.08</v>
          </cell>
          <cell r="R372">
            <v>0</v>
          </cell>
          <cell r="S372">
            <v>0</v>
          </cell>
          <cell r="T372">
            <v>0</v>
          </cell>
          <cell r="U372">
            <v>0</v>
          </cell>
          <cell r="V372">
            <v>650080.69999999995</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row>
        <row r="373">
          <cell r="C373">
            <v>0</v>
          </cell>
          <cell r="E373">
            <v>0</v>
          </cell>
          <cell r="L373">
            <v>0</v>
          </cell>
          <cell r="N373">
            <v>0</v>
          </cell>
          <cell r="AP373">
            <v>0</v>
          </cell>
        </row>
        <row r="374">
          <cell r="C374">
            <v>187520.77</v>
          </cell>
          <cell r="E374">
            <v>187520.77</v>
          </cell>
          <cell r="L374">
            <v>187520.77</v>
          </cell>
          <cell r="N374">
            <v>187520.77</v>
          </cell>
          <cell r="AO374">
            <v>187520.77</v>
          </cell>
          <cell r="AP374">
            <v>0</v>
          </cell>
        </row>
        <row r="375">
          <cell r="C375">
            <v>0</v>
          </cell>
          <cell r="E375">
            <v>0</v>
          </cell>
          <cell r="L375">
            <v>0</v>
          </cell>
          <cell r="N375">
            <v>0</v>
          </cell>
          <cell r="AP375">
            <v>0</v>
          </cell>
        </row>
        <row r="376">
          <cell r="C376">
            <v>0</v>
          </cell>
          <cell r="E376">
            <v>0</v>
          </cell>
          <cell r="L376">
            <v>0</v>
          </cell>
          <cell r="N376">
            <v>0</v>
          </cell>
          <cell r="AP376">
            <v>0</v>
          </cell>
        </row>
        <row r="377">
          <cell r="C377">
            <v>187520.77</v>
          </cell>
          <cell r="E377">
            <v>187520.77</v>
          </cell>
          <cell r="F377">
            <v>0</v>
          </cell>
          <cell r="G377">
            <v>0</v>
          </cell>
          <cell r="H377">
            <v>0</v>
          </cell>
          <cell r="I377">
            <v>0</v>
          </cell>
          <cell r="J377">
            <v>0</v>
          </cell>
          <cell r="K377">
            <v>0</v>
          </cell>
          <cell r="L377">
            <v>187520.77</v>
          </cell>
          <cell r="N377">
            <v>187520.77</v>
          </cell>
          <cell r="O377">
            <v>0</v>
          </cell>
          <cell r="P377">
            <v>0</v>
          </cell>
          <cell r="Q377">
            <v>0</v>
          </cell>
          <cell r="R377">
            <v>0</v>
          </cell>
          <cell r="S377">
            <v>0</v>
          </cell>
          <cell r="T377">
            <v>0</v>
          </cell>
          <cell r="U377">
            <v>0</v>
          </cell>
          <cell r="V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187520.77</v>
          </cell>
          <cell r="AP377">
            <v>0</v>
          </cell>
          <cell r="AQ377">
            <v>0</v>
          </cell>
          <cell r="AR377">
            <v>0</v>
          </cell>
          <cell r="AS377">
            <v>0</v>
          </cell>
          <cell r="AT377">
            <v>0</v>
          </cell>
          <cell r="AU377">
            <v>0</v>
          </cell>
          <cell r="AV377">
            <v>0</v>
          </cell>
          <cell r="AW377">
            <v>0</v>
          </cell>
          <cell r="AX377">
            <v>0</v>
          </cell>
          <cell r="AY377">
            <v>0</v>
          </cell>
        </row>
        <row r="378">
          <cell r="C378">
            <v>0</v>
          </cell>
          <cell r="E378">
            <v>0</v>
          </cell>
          <cell r="L378">
            <v>0</v>
          </cell>
          <cell r="N378">
            <v>0</v>
          </cell>
          <cell r="AP378">
            <v>0</v>
          </cell>
        </row>
        <row r="379">
          <cell r="C379">
            <v>0</v>
          </cell>
          <cell r="E379">
            <v>0</v>
          </cell>
          <cell r="L379">
            <v>0</v>
          </cell>
          <cell r="N379">
            <v>0</v>
          </cell>
          <cell r="AP379">
            <v>0</v>
          </cell>
        </row>
        <row r="380">
          <cell r="C380">
            <v>0</v>
          </cell>
          <cell r="E380">
            <v>0</v>
          </cell>
          <cell r="L380">
            <v>0</v>
          </cell>
          <cell r="N380">
            <v>0</v>
          </cell>
          <cell r="AP380">
            <v>0</v>
          </cell>
        </row>
        <row r="381">
          <cell r="C381">
            <v>0</v>
          </cell>
          <cell r="E381">
            <v>0</v>
          </cell>
          <cell r="L381">
            <v>0</v>
          </cell>
          <cell r="N381">
            <v>0</v>
          </cell>
          <cell r="AP381">
            <v>0</v>
          </cell>
        </row>
        <row r="382">
          <cell r="C382">
            <v>0</v>
          </cell>
          <cell r="E382">
            <v>0</v>
          </cell>
          <cell r="F382">
            <v>0</v>
          </cell>
          <cell r="G382">
            <v>0</v>
          </cell>
          <cell r="H382">
            <v>0</v>
          </cell>
          <cell r="I382">
            <v>0</v>
          </cell>
          <cell r="J382">
            <v>0</v>
          </cell>
          <cell r="K382">
            <v>0</v>
          </cell>
          <cell r="L382">
            <v>0</v>
          </cell>
          <cell r="N382">
            <v>0</v>
          </cell>
          <cell r="O382">
            <v>0</v>
          </cell>
          <cell r="P382">
            <v>0</v>
          </cell>
          <cell r="Q382">
            <v>0</v>
          </cell>
          <cell r="R382">
            <v>0</v>
          </cell>
          <cell r="S382">
            <v>0</v>
          </cell>
          <cell r="T382">
            <v>0</v>
          </cell>
          <cell r="U382">
            <v>0</v>
          </cell>
          <cell r="V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row>
        <row r="383">
          <cell r="C383">
            <v>0</v>
          </cell>
          <cell r="E383">
            <v>0</v>
          </cell>
          <cell r="L383">
            <v>0</v>
          </cell>
          <cell r="N383">
            <v>0</v>
          </cell>
          <cell r="AP383">
            <v>0</v>
          </cell>
        </row>
        <row r="384">
          <cell r="C384">
            <v>0</v>
          </cell>
          <cell r="E384">
            <v>0</v>
          </cell>
          <cell r="L384">
            <v>0</v>
          </cell>
          <cell r="N384">
            <v>0</v>
          </cell>
          <cell r="AP384">
            <v>0</v>
          </cell>
        </row>
        <row r="385">
          <cell r="C385">
            <v>0</v>
          </cell>
          <cell r="E385">
            <v>0</v>
          </cell>
          <cell r="L385">
            <v>0</v>
          </cell>
          <cell r="N385">
            <v>0</v>
          </cell>
          <cell r="AP385">
            <v>0</v>
          </cell>
        </row>
        <row r="386">
          <cell r="C386">
            <v>0</v>
          </cell>
          <cell r="E386">
            <v>0</v>
          </cell>
          <cell r="L386">
            <v>0</v>
          </cell>
          <cell r="N386">
            <v>0</v>
          </cell>
          <cell r="AP386">
            <v>0</v>
          </cell>
        </row>
        <row r="387">
          <cell r="C387">
            <v>0</v>
          </cell>
          <cell r="E387">
            <v>0</v>
          </cell>
          <cell r="F387">
            <v>0</v>
          </cell>
          <cell r="G387">
            <v>0</v>
          </cell>
          <cell r="H387">
            <v>0</v>
          </cell>
          <cell r="I387">
            <v>0</v>
          </cell>
          <cell r="J387">
            <v>0</v>
          </cell>
          <cell r="K387">
            <v>0</v>
          </cell>
          <cell r="L387">
            <v>0</v>
          </cell>
          <cell r="N387">
            <v>0</v>
          </cell>
          <cell r="O387">
            <v>0</v>
          </cell>
          <cell r="P387">
            <v>0</v>
          </cell>
          <cell r="Q387">
            <v>0</v>
          </cell>
          <cell r="R387">
            <v>0</v>
          </cell>
          <cell r="S387">
            <v>0</v>
          </cell>
          <cell r="T387">
            <v>0</v>
          </cell>
          <cell r="U387">
            <v>0</v>
          </cell>
          <cell r="V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row>
        <row r="388">
          <cell r="C388">
            <v>0</v>
          </cell>
          <cell r="E388">
            <v>0</v>
          </cell>
          <cell r="F388">
            <v>0</v>
          </cell>
          <cell r="G388">
            <v>0</v>
          </cell>
          <cell r="H388">
            <v>0</v>
          </cell>
          <cell r="I388">
            <v>0</v>
          </cell>
          <cell r="J388">
            <v>0</v>
          </cell>
          <cell r="K388">
            <v>0</v>
          </cell>
          <cell r="L388">
            <v>0</v>
          </cell>
          <cell r="N388">
            <v>0</v>
          </cell>
          <cell r="O388">
            <v>0</v>
          </cell>
          <cell r="P388">
            <v>0</v>
          </cell>
          <cell r="Q388">
            <v>0</v>
          </cell>
          <cell r="R388">
            <v>0</v>
          </cell>
          <cell r="S388">
            <v>0</v>
          </cell>
          <cell r="T388">
            <v>0</v>
          </cell>
          <cell r="U388">
            <v>0</v>
          </cell>
          <cell r="V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row>
        <row r="389">
          <cell r="C389">
            <v>3959576.08</v>
          </cell>
          <cell r="E389">
            <v>3959576.08</v>
          </cell>
          <cell r="F389">
            <v>0</v>
          </cell>
          <cell r="G389">
            <v>1693063.45</v>
          </cell>
          <cell r="H389">
            <v>0</v>
          </cell>
          <cell r="I389">
            <v>0</v>
          </cell>
          <cell r="J389">
            <v>0</v>
          </cell>
          <cell r="K389">
            <v>0</v>
          </cell>
          <cell r="L389">
            <v>2266512.63</v>
          </cell>
          <cell r="N389">
            <v>2266512.63</v>
          </cell>
          <cell r="O389">
            <v>1186525.1100000001</v>
          </cell>
          <cell r="P389">
            <v>0</v>
          </cell>
          <cell r="Q389">
            <v>892466.75</v>
          </cell>
          <cell r="R389">
            <v>0</v>
          </cell>
          <cell r="S389">
            <v>0</v>
          </cell>
          <cell r="T389">
            <v>0</v>
          </cell>
          <cell r="U389">
            <v>0</v>
          </cell>
          <cell r="V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187520.77</v>
          </cell>
          <cell r="AP389">
            <v>0</v>
          </cell>
          <cell r="AQ389">
            <v>0</v>
          </cell>
          <cell r="AR389">
            <v>0</v>
          </cell>
          <cell r="AS389">
            <v>0</v>
          </cell>
          <cell r="AT389">
            <v>0</v>
          </cell>
          <cell r="AU389">
            <v>0</v>
          </cell>
          <cell r="AV389">
            <v>0</v>
          </cell>
          <cell r="AW389">
            <v>0</v>
          </cell>
          <cell r="AX389">
            <v>0</v>
          </cell>
          <cell r="AY389">
            <v>0</v>
          </cell>
        </row>
        <row r="390">
          <cell r="C390">
            <v>0</v>
          </cell>
          <cell r="E390">
            <v>0</v>
          </cell>
          <cell r="F390">
            <v>0</v>
          </cell>
          <cell r="G390">
            <v>0</v>
          </cell>
          <cell r="H390">
            <v>0</v>
          </cell>
          <cell r="I390">
            <v>0</v>
          </cell>
          <cell r="J390">
            <v>0</v>
          </cell>
          <cell r="K390">
            <v>0</v>
          </cell>
          <cell r="L390">
            <v>0</v>
          </cell>
          <cell r="N390">
            <v>0</v>
          </cell>
          <cell r="O390">
            <v>0</v>
          </cell>
          <cell r="P390">
            <v>0</v>
          </cell>
          <cell r="Q390">
            <v>0</v>
          </cell>
          <cell r="R390">
            <v>0</v>
          </cell>
          <cell r="S390">
            <v>0</v>
          </cell>
          <cell r="T390">
            <v>0</v>
          </cell>
          <cell r="U390">
            <v>0</v>
          </cell>
          <cell r="V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row>
        <row r="391">
          <cell r="C391">
            <v>1160310.3700000001</v>
          </cell>
          <cell r="E391">
            <v>1160310.3700000001</v>
          </cell>
          <cell r="F391">
            <v>0</v>
          </cell>
          <cell r="G391">
            <v>194412.34</v>
          </cell>
          <cell r="H391">
            <v>0</v>
          </cell>
          <cell r="I391">
            <v>0</v>
          </cell>
          <cell r="J391">
            <v>0</v>
          </cell>
          <cell r="K391">
            <v>0</v>
          </cell>
          <cell r="L391">
            <v>965898.03</v>
          </cell>
          <cell r="N391">
            <v>965898.03</v>
          </cell>
          <cell r="O391">
            <v>0</v>
          </cell>
          <cell r="P391">
            <v>0</v>
          </cell>
          <cell r="Q391">
            <v>315817.33</v>
          </cell>
          <cell r="R391">
            <v>0</v>
          </cell>
          <cell r="S391">
            <v>0</v>
          </cell>
          <cell r="T391">
            <v>0</v>
          </cell>
          <cell r="U391">
            <v>0</v>
          </cell>
          <cell r="V391">
            <v>650080.69999999995</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row>
        <row r="392">
          <cell r="C392">
            <v>5119886.45</v>
          </cell>
          <cell r="E392">
            <v>5119886.45</v>
          </cell>
          <cell r="F392">
            <v>0</v>
          </cell>
          <cell r="G392">
            <v>1887475.79</v>
          </cell>
          <cell r="H392">
            <v>0</v>
          </cell>
          <cell r="I392">
            <v>0</v>
          </cell>
          <cell r="J392">
            <v>0</v>
          </cell>
          <cell r="K392">
            <v>0</v>
          </cell>
          <cell r="L392">
            <v>3232410.66</v>
          </cell>
          <cell r="N392">
            <v>3232410.66</v>
          </cell>
          <cell r="O392">
            <v>1186525.1100000001</v>
          </cell>
          <cell r="P392">
            <v>0</v>
          </cell>
          <cell r="Q392">
            <v>1208284.08</v>
          </cell>
          <cell r="R392">
            <v>0</v>
          </cell>
          <cell r="S392">
            <v>0</v>
          </cell>
          <cell r="T392">
            <v>0</v>
          </cell>
          <cell r="U392">
            <v>0</v>
          </cell>
          <cell r="V392">
            <v>650080.69999999995</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187520.77</v>
          </cell>
          <cell r="AP392">
            <v>0</v>
          </cell>
          <cell r="AQ392">
            <v>0</v>
          </cell>
          <cell r="AR392">
            <v>0</v>
          </cell>
          <cell r="AS392">
            <v>0</v>
          </cell>
          <cell r="AT392">
            <v>0</v>
          </cell>
          <cell r="AU392">
            <v>0</v>
          </cell>
          <cell r="AV392">
            <v>0</v>
          </cell>
          <cell r="AW392">
            <v>0</v>
          </cell>
          <cell r="AX392">
            <v>0</v>
          </cell>
          <cell r="AY392">
            <v>0</v>
          </cell>
        </row>
        <row r="393">
          <cell r="C393">
            <v>0</v>
          </cell>
          <cell r="E393">
            <v>0</v>
          </cell>
          <cell r="L393">
            <v>0</v>
          </cell>
          <cell r="N393">
            <v>0</v>
          </cell>
        </row>
        <row r="394">
          <cell r="C394">
            <v>0</v>
          </cell>
          <cell r="E394">
            <v>0</v>
          </cell>
          <cell r="L394">
            <v>0</v>
          </cell>
          <cell r="N394">
            <v>0</v>
          </cell>
        </row>
        <row r="395">
          <cell r="C395">
            <v>0</v>
          </cell>
          <cell r="E395">
            <v>0</v>
          </cell>
          <cell r="L395">
            <v>0</v>
          </cell>
          <cell r="N395">
            <v>0</v>
          </cell>
          <cell r="AP395">
            <v>0</v>
          </cell>
        </row>
        <row r="396">
          <cell r="C396">
            <v>0</v>
          </cell>
          <cell r="E396">
            <v>0</v>
          </cell>
          <cell r="L396">
            <v>0</v>
          </cell>
          <cell r="N396">
            <v>0</v>
          </cell>
          <cell r="AP396">
            <v>0</v>
          </cell>
        </row>
        <row r="397">
          <cell r="C397">
            <v>0</v>
          </cell>
          <cell r="E397">
            <v>0</v>
          </cell>
          <cell r="L397">
            <v>0</v>
          </cell>
          <cell r="N397">
            <v>0</v>
          </cell>
          <cell r="AP397">
            <v>0</v>
          </cell>
        </row>
        <row r="398">
          <cell r="C398">
            <v>200000000</v>
          </cell>
          <cell r="E398">
            <v>200000000</v>
          </cell>
          <cell r="L398">
            <v>200000000</v>
          </cell>
          <cell r="N398">
            <v>200000000</v>
          </cell>
          <cell r="O398">
            <v>200000000</v>
          </cell>
          <cell r="AP398">
            <v>0</v>
          </cell>
        </row>
        <row r="399">
          <cell r="C399">
            <v>200000000</v>
          </cell>
          <cell r="E399">
            <v>200000000</v>
          </cell>
          <cell r="L399">
            <v>200000000</v>
          </cell>
          <cell r="N399">
            <v>200000000</v>
          </cell>
          <cell r="O399">
            <v>200000000</v>
          </cell>
          <cell r="AP399">
            <v>0</v>
          </cell>
        </row>
        <row r="400">
          <cell r="C400">
            <v>0</v>
          </cell>
          <cell r="E400">
            <v>0</v>
          </cell>
          <cell r="L400">
            <v>0</v>
          </cell>
          <cell r="N400">
            <v>0</v>
          </cell>
          <cell r="AP400">
            <v>0</v>
          </cell>
        </row>
        <row r="401">
          <cell r="C401">
            <v>0</v>
          </cell>
          <cell r="E401">
            <v>0</v>
          </cell>
          <cell r="L401">
            <v>0</v>
          </cell>
          <cell r="N401">
            <v>0</v>
          </cell>
          <cell r="AP401">
            <v>0</v>
          </cell>
        </row>
        <row r="402">
          <cell r="C402">
            <v>200000000</v>
          </cell>
          <cell r="E402">
            <v>200000000</v>
          </cell>
          <cell r="F402">
            <v>0</v>
          </cell>
          <cell r="G402">
            <v>0</v>
          </cell>
          <cell r="H402">
            <v>0</v>
          </cell>
          <cell r="I402">
            <v>0</v>
          </cell>
          <cell r="J402">
            <v>0</v>
          </cell>
          <cell r="K402">
            <v>0</v>
          </cell>
          <cell r="L402">
            <v>200000000</v>
          </cell>
          <cell r="N402">
            <v>200000000</v>
          </cell>
          <cell r="O402">
            <v>200000000</v>
          </cell>
          <cell r="P402">
            <v>0</v>
          </cell>
          <cell r="Q402">
            <v>0</v>
          </cell>
          <cell r="R402">
            <v>0</v>
          </cell>
          <cell r="S402">
            <v>0</v>
          </cell>
          <cell r="T402">
            <v>0</v>
          </cell>
          <cell r="U402">
            <v>0</v>
          </cell>
          <cell r="V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row>
        <row r="403">
          <cell r="C403">
            <v>0</v>
          </cell>
          <cell r="E403">
            <v>0</v>
          </cell>
          <cell r="L403">
            <v>0</v>
          </cell>
          <cell r="N403">
            <v>0</v>
          </cell>
        </row>
        <row r="404">
          <cell r="C404">
            <v>0</v>
          </cell>
          <cell r="E404">
            <v>0</v>
          </cell>
          <cell r="L404">
            <v>0</v>
          </cell>
          <cell r="N404">
            <v>0</v>
          </cell>
        </row>
        <row r="405">
          <cell r="C405">
            <v>48205582.280000001</v>
          </cell>
          <cell r="E405">
            <v>48205582.280000001</v>
          </cell>
          <cell r="F405">
            <v>8972894</v>
          </cell>
          <cell r="G405">
            <v>557520</v>
          </cell>
          <cell r="H405">
            <v>3750000</v>
          </cell>
          <cell r="L405">
            <v>34925168.280000001</v>
          </cell>
          <cell r="N405">
            <v>34925168.280000001</v>
          </cell>
          <cell r="O405">
            <v>34925168.280000001</v>
          </cell>
          <cell r="AP405">
            <v>0</v>
          </cell>
        </row>
        <row r="406">
          <cell r="C406">
            <v>0</v>
          </cell>
          <cell r="E406">
            <v>0</v>
          </cell>
          <cell r="L406">
            <v>0</v>
          </cell>
          <cell r="N406">
            <v>0</v>
          </cell>
          <cell r="AP406">
            <v>0</v>
          </cell>
        </row>
        <row r="407">
          <cell r="C407">
            <v>0</v>
          </cell>
          <cell r="E407">
            <v>0</v>
          </cell>
          <cell r="L407">
            <v>0</v>
          </cell>
          <cell r="N407">
            <v>0</v>
          </cell>
          <cell r="AP407">
            <v>0</v>
          </cell>
        </row>
        <row r="408">
          <cell r="C408">
            <v>48205582.280000001</v>
          </cell>
          <cell r="E408">
            <v>48205582.280000001</v>
          </cell>
          <cell r="F408">
            <v>8972894</v>
          </cell>
          <cell r="G408">
            <v>557520</v>
          </cell>
          <cell r="H408">
            <v>3750000</v>
          </cell>
          <cell r="I408">
            <v>0</v>
          </cell>
          <cell r="J408">
            <v>0</v>
          </cell>
          <cell r="K408">
            <v>0</v>
          </cell>
          <cell r="L408">
            <v>34925168.280000001</v>
          </cell>
          <cell r="N408">
            <v>34925168.280000001</v>
          </cell>
          <cell r="O408">
            <v>34925168.280000001</v>
          </cell>
          <cell r="P408">
            <v>0</v>
          </cell>
          <cell r="Q408">
            <v>0</v>
          </cell>
          <cell r="R408">
            <v>0</v>
          </cell>
          <cell r="S408">
            <v>0</v>
          </cell>
          <cell r="T408">
            <v>0</v>
          </cell>
          <cell r="U408">
            <v>0</v>
          </cell>
          <cell r="V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row>
        <row r="409">
          <cell r="C409">
            <v>0</v>
          </cell>
          <cell r="E409">
            <v>0</v>
          </cell>
          <cell r="L409">
            <v>0</v>
          </cell>
          <cell r="N409">
            <v>0</v>
          </cell>
        </row>
        <row r="410">
          <cell r="C410">
            <v>0</v>
          </cell>
          <cell r="E410">
            <v>0</v>
          </cell>
          <cell r="L410">
            <v>0</v>
          </cell>
          <cell r="N410">
            <v>0</v>
          </cell>
        </row>
        <row r="411">
          <cell r="C411">
            <v>8910178.8200000003</v>
          </cell>
          <cell r="E411">
            <v>8910178.8200000003</v>
          </cell>
          <cell r="F411">
            <v>-965413.44</v>
          </cell>
          <cell r="G411">
            <v>-721086.1</v>
          </cell>
          <cell r="H411">
            <v>514407.86</v>
          </cell>
          <cell r="I411">
            <v>-119731.9</v>
          </cell>
          <cell r="J411">
            <v>-267893.76000000001</v>
          </cell>
          <cell r="K411">
            <v>604618</v>
          </cell>
          <cell r="L411">
            <v>9865278.1600000001</v>
          </cell>
          <cell r="N411">
            <v>9865278.1600000001</v>
          </cell>
          <cell r="O411">
            <v>1328138.82</v>
          </cell>
          <cell r="P411">
            <v>13422426.27</v>
          </cell>
          <cell r="Q411">
            <v>287622.15000000002</v>
          </cell>
          <cell r="R411">
            <v>7049.31</v>
          </cell>
          <cell r="S411">
            <v>-131466.6</v>
          </cell>
          <cell r="T411">
            <v>5004.67</v>
          </cell>
          <cell r="U411">
            <v>-553691.51</v>
          </cell>
          <cell r="V411">
            <v>28956.9</v>
          </cell>
          <cell r="W411">
            <v>154316.51999999999</v>
          </cell>
          <cell r="X411">
            <v>280033.82</v>
          </cell>
          <cell r="Y411">
            <v>-422391.12</v>
          </cell>
          <cell r="Z411">
            <v>-45731.66</v>
          </cell>
          <cell r="AA411">
            <v>-351502.05</v>
          </cell>
          <cell r="AB411">
            <v>-1633820.98</v>
          </cell>
          <cell r="AC411">
            <v>-132803.17000000001</v>
          </cell>
          <cell r="AD411">
            <v>-1008118.6</v>
          </cell>
          <cell r="AE411">
            <v>643079.75</v>
          </cell>
          <cell r="AF411">
            <v>-294481.68</v>
          </cell>
          <cell r="AG411">
            <v>-544873.43999999994</v>
          </cell>
          <cell r="AH411">
            <v>-639872.12</v>
          </cell>
          <cell r="AI411">
            <v>-51924.35</v>
          </cell>
          <cell r="AJ411">
            <v>-169148.11</v>
          </cell>
          <cell r="AK411">
            <v>633216.42000000004</v>
          </cell>
          <cell r="AL411">
            <v>-258513.57</v>
          </cell>
          <cell r="AM411">
            <v>57093.3</v>
          </cell>
          <cell r="AN411">
            <v>140168.74</v>
          </cell>
          <cell r="AO411">
            <v>-316778.90000000002</v>
          </cell>
          <cell r="AP411">
            <v>-172284.34</v>
          </cell>
          <cell r="AQ411">
            <v>2496.34</v>
          </cell>
          <cell r="AR411">
            <v>12874.16</v>
          </cell>
          <cell r="AS411">
            <v>2062.9</v>
          </cell>
          <cell r="AT411">
            <v>5335.86</v>
          </cell>
          <cell r="AU411">
            <v>154506.66</v>
          </cell>
          <cell r="AV411">
            <v>-87023.55</v>
          </cell>
          <cell r="AW411">
            <v>-567831.23</v>
          </cell>
          <cell r="AX411">
            <v>-222969.63</v>
          </cell>
          <cell r="AY411">
            <v>306122.18</v>
          </cell>
        </row>
        <row r="412">
          <cell r="C412">
            <v>80398.13</v>
          </cell>
          <cell r="E412">
            <v>80398.13</v>
          </cell>
          <cell r="F412">
            <v>0</v>
          </cell>
          <cell r="L412">
            <v>80398.13</v>
          </cell>
          <cell r="N412">
            <v>80398.13</v>
          </cell>
          <cell r="O412">
            <v>80398.13</v>
          </cell>
          <cell r="U412">
            <v>0</v>
          </cell>
          <cell r="AJ412">
            <v>0</v>
          </cell>
          <cell r="AP412">
            <v>0</v>
          </cell>
          <cell r="AQ412">
            <v>0</v>
          </cell>
          <cell r="AT412">
            <v>0</v>
          </cell>
        </row>
        <row r="413">
          <cell r="C413">
            <v>1205564.06</v>
          </cell>
          <cell r="E413">
            <v>1205564.06</v>
          </cell>
          <cell r="F413">
            <v>31073.84</v>
          </cell>
          <cell r="G413">
            <v>112691.49</v>
          </cell>
          <cell r="H413">
            <v>91849.3</v>
          </cell>
          <cell r="I413">
            <v>22211.94</v>
          </cell>
          <cell r="J413">
            <v>127212.47</v>
          </cell>
          <cell r="K413">
            <v>-35216.42</v>
          </cell>
          <cell r="L413">
            <v>855741.43999999994</v>
          </cell>
          <cell r="N413">
            <v>855741.43999999994</v>
          </cell>
          <cell r="O413">
            <v>158284.46</v>
          </cell>
          <cell r="P413">
            <v>-27408.97</v>
          </cell>
          <cell r="Q413">
            <v>45447.6</v>
          </cell>
          <cell r="R413">
            <v>51522.57</v>
          </cell>
          <cell r="S413">
            <v>14419.3</v>
          </cell>
          <cell r="T413">
            <v>132299.26</v>
          </cell>
          <cell r="U413">
            <v>18333.330000000002</v>
          </cell>
          <cell r="V413">
            <v>74805.52</v>
          </cell>
          <cell r="W413">
            <v>77973.03</v>
          </cell>
          <cell r="X413">
            <v>71822.73</v>
          </cell>
          <cell r="Y413">
            <v>26629.33</v>
          </cell>
          <cell r="Z413">
            <v>70487.55</v>
          </cell>
          <cell r="AA413">
            <v>139771.24</v>
          </cell>
          <cell r="AB413">
            <v>-636197.31999999995</v>
          </cell>
          <cell r="AC413">
            <v>58820.41</v>
          </cell>
          <cell r="AD413">
            <v>-19423.419999999998</v>
          </cell>
          <cell r="AE413">
            <v>6676.85</v>
          </cell>
          <cell r="AF413">
            <v>44244.52</v>
          </cell>
          <cell r="AG413">
            <v>-79476.960000000006</v>
          </cell>
          <cell r="AH413">
            <v>78051.210000000006</v>
          </cell>
          <cell r="AI413">
            <v>-3293.37</v>
          </cell>
          <cell r="AJ413">
            <v>15344.68</v>
          </cell>
          <cell r="AK413">
            <v>-197160.76</v>
          </cell>
          <cell r="AL413">
            <v>25022.53</v>
          </cell>
          <cell r="AM413">
            <v>14443.45</v>
          </cell>
          <cell r="AN413">
            <v>24761.16</v>
          </cell>
          <cell r="AO413">
            <v>39936.26</v>
          </cell>
          <cell r="AP413">
            <v>65934.490000000005</v>
          </cell>
          <cell r="AQ413">
            <v>85243.48</v>
          </cell>
          <cell r="AR413">
            <v>54630.559999999998</v>
          </cell>
          <cell r="AS413">
            <v>41852.97</v>
          </cell>
          <cell r="AT413">
            <v>44408.5</v>
          </cell>
          <cell r="AU413">
            <v>109044.45</v>
          </cell>
          <cell r="AV413">
            <v>32293.51</v>
          </cell>
          <cell r="AW413">
            <v>52157.79</v>
          </cell>
          <cell r="AX413">
            <v>63845.8</v>
          </cell>
          <cell r="AY413">
            <v>80193.7</v>
          </cell>
        </row>
        <row r="414">
          <cell r="C414">
            <v>1294943.33</v>
          </cell>
          <cell r="E414">
            <v>1294943.33</v>
          </cell>
          <cell r="F414">
            <v>2175.17</v>
          </cell>
          <cell r="G414">
            <v>7888.4</v>
          </cell>
          <cell r="H414">
            <v>-341616.17</v>
          </cell>
          <cell r="I414">
            <v>1554.83</v>
          </cell>
          <cell r="J414">
            <v>-8750.2900000000009</v>
          </cell>
          <cell r="K414">
            <v>41211.33</v>
          </cell>
          <cell r="L414">
            <v>1592480.06</v>
          </cell>
          <cell r="N414">
            <v>1592480.06</v>
          </cell>
          <cell r="O414">
            <v>357750.08</v>
          </cell>
          <cell r="P414">
            <v>822886.32</v>
          </cell>
          <cell r="Q414">
            <v>23314.880000000001</v>
          </cell>
          <cell r="R414">
            <v>25831.87</v>
          </cell>
          <cell r="S414">
            <v>1009.35</v>
          </cell>
          <cell r="T414">
            <v>9611.2900000000009</v>
          </cell>
          <cell r="U414">
            <v>-996.8</v>
          </cell>
          <cell r="V414">
            <v>6904.31</v>
          </cell>
          <cell r="W414">
            <v>16775.650000000001</v>
          </cell>
          <cell r="X414">
            <v>13433.29</v>
          </cell>
          <cell r="Y414">
            <v>1864.52</v>
          </cell>
          <cell r="Z414">
            <v>4934.07</v>
          </cell>
          <cell r="AA414">
            <v>80423.240000000005</v>
          </cell>
          <cell r="AB414">
            <v>-188688.36</v>
          </cell>
          <cell r="AC414">
            <v>13740.46</v>
          </cell>
          <cell r="AD414">
            <v>7744.37</v>
          </cell>
          <cell r="AE414">
            <v>45597.86</v>
          </cell>
          <cell r="AF414">
            <v>3097.12</v>
          </cell>
          <cell r="AG414">
            <v>148652.6</v>
          </cell>
          <cell r="AH414">
            <v>5457.39</v>
          </cell>
          <cell r="AI414">
            <v>-1013.58</v>
          </cell>
          <cell r="AJ414">
            <v>1074.43</v>
          </cell>
          <cell r="AK414">
            <v>30523.97</v>
          </cell>
          <cell r="AL414">
            <v>1751.58</v>
          </cell>
          <cell r="AM414">
            <v>2014.44</v>
          </cell>
          <cell r="AN414">
            <v>11545.09</v>
          </cell>
          <cell r="AO414">
            <v>2795.54</v>
          </cell>
          <cell r="AP414">
            <v>4636.91</v>
          </cell>
          <cell r="AQ414">
            <v>22201.19</v>
          </cell>
          <cell r="AR414">
            <v>8276.2000000000007</v>
          </cell>
          <cell r="AS414">
            <v>10780.36</v>
          </cell>
          <cell r="AT414">
            <v>603.6</v>
          </cell>
          <cell r="AU414">
            <v>48685.69</v>
          </cell>
          <cell r="AV414">
            <v>2260.56</v>
          </cell>
          <cell r="AW414">
            <v>3651.05</v>
          </cell>
          <cell r="AX414">
            <v>4469.2</v>
          </cell>
          <cell r="AY414">
            <v>38880.32</v>
          </cell>
        </row>
        <row r="415">
          <cell r="C415">
            <v>140271.75</v>
          </cell>
          <cell r="E415">
            <v>140271.75</v>
          </cell>
          <cell r="F415">
            <v>2365</v>
          </cell>
          <cell r="G415">
            <v>5683.52</v>
          </cell>
          <cell r="H415">
            <v>13717.41</v>
          </cell>
          <cell r="J415">
            <v>123.96</v>
          </cell>
          <cell r="K415">
            <v>10284.18</v>
          </cell>
          <cell r="L415">
            <v>108097.68</v>
          </cell>
          <cell r="N415">
            <v>108097.68</v>
          </cell>
          <cell r="Q415">
            <v>1562.71</v>
          </cell>
          <cell r="R415">
            <v>1603</v>
          </cell>
          <cell r="S415">
            <v>333.19</v>
          </cell>
          <cell r="T415">
            <v>5606.7</v>
          </cell>
          <cell r="U415">
            <v>2563.11</v>
          </cell>
          <cell r="V415">
            <v>1000.92</v>
          </cell>
          <cell r="W415">
            <v>907.95</v>
          </cell>
          <cell r="X415">
            <v>2530.23</v>
          </cell>
          <cell r="Y415">
            <v>2540</v>
          </cell>
          <cell r="AA415">
            <v>18506.21</v>
          </cell>
          <cell r="AB415">
            <v>-9790.68</v>
          </cell>
          <cell r="AC415">
            <v>8388.2000000000007</v>
          </cell>
          <cell r="AE415">
            <v>11201.89</v>
          </cell>
          <cell r="AF415">
            <v>2879.49</v>
          </cell>
          <cell r="AG415">
            <v>1950.06</v>
          </cell>
          <cell r="AH415">
            <v>-1601.3</v>
          </cell>
          <cell r="AI415">
            <v>2346.4</v>
          </cell>
          <cell r="AJ415">
            <v>9068</v>
          </cell>
          <cell r="AK415">
            <v>3482.08</v>
          </cell>
          <cell r="AL415">
            <v>-11054.86</v>
          </cell>
          <cell r="AM415">
            <v>957.26</v>
          </cell>
          <cell r="AN415">
            <v>0</v>
          </cell>
          <cell r="AO415">
            <v>4825.6400000000003</v>
          </cell>
          <cell r="AP415">
            <v>6373</v>
          </cell>
          <cell r="AQ415">
            <v>10469</v>
          </cell>
          <cell r="AR415">
            <v>4036.5</v>
          </cell>
          <cell r="AS415">
            <v>6460</v>
          </cell>
          <cell r="AT415">
            <v>0</v>
          </cell>
          <cell r="AU415">
            <v>14742</v>
          </cell>
          <cell r="AV415">
            <v>2109.56</v>
          </cell>
          <cell r="AW415">
            <v>1172.0999999999999</v>
          </cell>
          <cell r="AX415">
            <v>2929.32</v>
          </cell>
          <cell r="AY415">
            <v>0</v>
          </cell>
        </row>
        <row r="416">
          <cell r="C416">
            <v>204396.76</v>
          </cell>
          <cell r="E416">
            <v>204396.76</v>
          </cell>
          <cell r="F416">
            <v>0</v>
          </cell>
          <cell r="H416">
            <v>51154.43</v>
          </cell>
          <cell r="L416">
            <v>153242.32999999999</v>
          </cell>
          <cell r="N416">
            <v>153242.32999999999</v>
          </cell>
          <cell r="U416">
            <v>0</v>
          </cell>
          <cell r="V416">
            <v>10393.41</v>
          </cell>
          <cell r="AG416">
            <v>27797.88</v>
          </cell>
          <cell r="AI416">
            <v>6354.8</v>
          </cell>
          <cell r="AJ416">
            <v>12468</v>
          </cell>
          <cell r="AL416">
            <v>0.01</v>
          </cell>
          <cell r="AP416">
            <v>0</v>
          </cell>
          <cell r="AQ416">
            <v>31314.86</v>
          </cell>
          <cell r="AR416">
            <v>38082.57</v>
          </cell>
          <cell r="AS416">
            <v>26830.799999999999</v>
          </cell>
          <cell r="AT416">
            <v>0</v>
          </cell>
        </row>
        <row r="417">
          <cell r="C417">
            <v>3292500.99</v>
          </cell>
          <cell r="E417">
            <v>3292500.99</v>
          </cell>
          <cell r="F417">
            <v>127360.8</v>
          </cell>
          <cell r="G417">
            <v>947130.93</v>
          </cell>
          <cell r="H417">
            <v>1933931.34</v>
          </cell>
          <cell r="I417">
            <v>-164109.71</v>
          </cell>
          <cell r="J417">
            <v>-268446.12</v>
          </cell>
          <cell r="K417">
            <v>681911.69</v>
          </cell>
          <cell r="L417">
            <v>34722.06</v>
          </cell>
          <cell r="N417">
            <v>34722.06</v>
          </cell>
          <cell r="O417">
            <v>2685438.74</v>
          </cell>
          <cell r="P417">
            <v>-519123.33</v>
          </cell>
          <cell r="Q417">
            <v>-1087796.54</v>
          </cell>
          <cell r="R417">
            <v>-513497.24</v>
          </cell>
          <cell r="S417">
            <v>-224174.62</v>
          </cell>
          <cell r="T417">
            <v>-91975.76</v>
          </cell>
          <cell r="U417">
            <v>-130476.33</v>
          </cell>
          <cell r="V417">
            <v>-187067.64</v>
          </cell>
          <cell r="W417">
            <v>29496.26</v>
          </cell>
          <cell r="X417">
            <v>291459.36</v>
          </cell>
          <cell r="Y417">
            <v>141702.57</v>
          </cell>
          <cell r="Z417">
            <v>-161769.09</v>
          </cell>
          <cell r="AA417">
            <v>172174.52</v>
          </cell>
          <cell r="AB417">
            <v>-1291098.05</v>
          </cell>
          <cell r="AD417">
            <v>0</v>
          </cell>
          <cell r="AE417">
            <v>831932.4</v>
          </cell>
          <cell r="AF417">
            <v>-148042.21</v>
          </cell>
          <cell r="AG417">
            <v>-1267832.8700000001</v>
          </cell>
          <cell r="AH417">
            <v>0</v>
          </cell>
          <cell r="AI417">
            <v>1984788.99</v>
          </cell>
          <cell r="AJ417">
            <v>736972.36</v>
          </cell>
          <cell r="AK417">
            <v>-330110.96999999997</v>
          </cell>
          <cell r="AL417">
            <v>-920595.5</v>
          </cell>
          <cell r="AM417">
            <v>-74113.08</v>
          </cell>
          <cell r="AN417">
            <v>394923.15</v>
          </cell>
          <cell r="AO417">
            <v>172751.33</v>
          </cell>
          <cell r="AP417">
            <v>-1160062.6000000001</v>
          </cell>
          <cell r="AQ417">
            <v>119675.82</v>
          </cell>
          <cell r="AR417">
            <v>-155356.15</v>
          </cell>
          <cell r="AS417">
            <v>-117091.45</v>
          </cell>
          <cell r="AT417">
            <v>-7332.05</v>
          </cell>
          <cell r="AU417">
            <v>872994.39</v>
          </cell>
          <cell r="AV417">
            <v>-353775.13</v>
          </cell>
          <cell r="AW417">
            <v>83965.85</v>
          </cell>
          <cell r="AX417">
            <v>-5067.97</v>
          </cell>
          <cell r="AY417">
            <v>262804.90000000002</v>
          </cell>
        </row>
        <row r="418">
          <cell r="C418">
            <v>0</v>
          </cell>
          <cell r="E418">
            <v>0</v>
          </cell>
          <cell r="I418">
            <v>0</v>
          </cell>
          <cell r="L418">
            <v>0</v>
          </cell>
          <cell r="N418">
            <v>0</v>
          </cell>
          <cell r="AB418">
            <v>0</v>
          </cell>
          <cell r="AJ418">
            <v>0</v>
          </cell>
          <cell r="AK418">
            <v>0</v>
          </cell>
        </row>
        <row r="419">
          <cell r="C419">
            <v>15128253.84</v>
          </cell>
          <cell r="E419">
            <v>15128253.84</v>
          </cell>
          <cell r="F419">
            <v>-802438.63</v>
          </cell>
          <cell r="G419">
            <v>352308.24</v>
          </cell>
          <cell r="H419">
            <v>2263444.17</v>
          </cell>
          <cell r="I419">
            <v>-260074.84</v>
          </cell>
          <cell r="J419">
            <v>-417753.74</v>
          </cell>
          <cell r="K419">
            <v>1302808.78</v>
          </cell>
          <cell r="L419">
            <v>12689959.859999999</v>
          </cell>
          <cell r="N419">
            <v>12689959.859999999</v>
          </cell>
          <cell r="O419">
            <v>4610010.2300000004</v>
          </cell>
          <cell r="P419">
            <v>13698780.289999999</v>
          </cell>
          <cell r="Q419">
            <v>-729849.2</v>
          </cell>
          <cell r="R419">
            <v>-427490.49</v>
          </cell>
          <cell r="S419">
            <v>-339879.38</v>
          </cell>
          <cell r="T419">
            <v>60546.16</v>
          </cell>
          <cell r="U419">
            <v>-664268.19999999995</v>
          </cell>
          <cell r="V419">
            <v>-65006.58</v>
          </cell>
          <cell r="W419">
            <v>279469.40999999997</v>
          </cell>
          <cell r="X419">
            <v>659279.43000000005</v>
          </cell>
          <cell r="Y419">
            <v>-249654.7</v>
          </cell>
          <cell r="Z419">
            <v>-132079.13</v>
          </cell>
          <cell r="AA419">
            <v>59373.16</v>
          </cell>
          <cell r="AB419">
            <v>-3759595.39</v>
          </cell>
          <cell r="AC419">
            <v>-51854.1</v>
          </cell>
          <cell r="AD419">
            <v>-1019797.65</v>
          </cell>
          <cell r="AE419">
            <v>1538488.75</v>
          </cell>
          <cell r="AF419">
            <v>-392302.76</v>
          </cell>
          <cell r="AG419">
            <v>-1713782.73</v>
          </cell>
          <cell r="AH419">
            <v>-557964.81999999995</v>
          </cell>
          <cell r="AI419">
            <v>1937258.89</v>
          </cell>
          <cell r="AJ419">
            <v>605779.36</v>
          </cell>
          <cell r="AK419">
            <v>139950.74</v>
          </cell>
          <cell r="AL419">
            <v>-1163389.81</v>
          </cell>
          <cell r="AM419">
            <v>395.37</v>
          </cell>
          <cell r="AN419">
            <v>571398.14</v>
          </cell>
          <cell r="AO419">
            <v>-96470.13</v>
          </cell>
          <cell r="AP419">
            <v>-1255402.54</v>
          </cell>
          <cell r="AQ419">
            <v>271400.69</v>
          </cell>
          <cell r="AR419">
            <v>-37456.160000000003</v>
          </cell>
          <cell r="AS419">
            <v>-29104.42</v>
          </cell>
          <cell r="AT419">
            <v>43015.91</v>
          </cell>
          <cell r="AU419">
            <v>1199973.19</v>
          </cell>
          <cell r="AV419">
            <v>-404135.05</v>
          </cell>
          <cell r="AW419">
            <v>-426884.44</v>
          </cell>
          <cell r="AX419">
            <v>-156793.28</v>
          </cell>
          <cell r="AY419">
            <v>688001.1</v>
          </cell>
        </row>
        <row r="420">
          <cell r="C420">
            <v>0</v>
          </cell>
          <cell r="E420">
            <v>0</v>
          </cell>
          <cell r="L420">
            <v>0</v>
          </cell>
          <cell r="N420">
            <v>0</v>
          </cell>
        </row>
        <row r="421">
          <cell r="C421">
            <v>0</v>
          </cell>
          <cell r="E421">
            <v>0</v>
          </cell>
          <cell r="L421">
            <v>0</v>
          </cell>
          <cell r="N421">
            <v>0</v>
          </cell>
        </row>
        <row r="422">
          <cell r="C422">
            <v>791436.24</v>
          </cell>
          <cell r="E422">
            <v>791436.24</v>
          </cell>
          <cell r="F422">
            <v>1242.95</v>
          </cell>
          <cell r="G422">
            <v>3380.74</v>
          </cell>
          <cell r="H422">
            <v>87674.78</v>
          </cell>
          <cell r="I422">
            <v>666.35</v>
          </cell>
          <cell r="J422">
            <v>-3750.12</v>
          </cell>
          <cell r="K422">
            <v>17981.79</v>
          </cell>
          <cell r="L422">
            <v>684239.75</v>
          </cell>
          <cell r="N422">
            <v>684239.75</v>
          </cell>
          <cell r="O422">
            <v>153234.57999999999</v>
          </cell>
          <cell r="P422">
            <v>352665.57</v>
          </cell>
          <cell r="Q422">
            <v>9992.09</v>
          </cell>
          <cell r="R422">
            <v>11070.8</v>
          </cell>
          <cell r="S422">
            <v>432.58</v>
          </cell>
          <cell r="T422">
            <v>4967.04</v>
          </cell>
          <cell r="U422">
            <v>-432.02</v>
          </cell>
          <cell r="V422">
            <v>2959</v>
          </cell>
          <cell r="W422">
            <v>7189.57</v>
          </cell>
          <cell r="X422">
            <v>9595.17</v>
          </cell>
          <cell r="Y422">
            <v>799.09</v>
          </cell>
          <cell r="Z422">
            <v>2114.63</v>
          </cell>
          <cell r="AA422">
            <v>34483.39</v>
          </cell>
          <cell r="AB422">
            <v>-93004.77</v>
          </cell>
          <cell r="AC422">
            <v>4738.22</v>
          </cell>
          <cell r="AD422">
            <v>3319.02</v>
          </cell>
          <cell r="AE422">
            <v>19541.96</v>
          </cell>
          <cell r="AF422">
            <v>1327.14</v>
          </cell>
          <cell r="AG422">
            <v>69669.100000000006</v>
          </cell>
          <cell r="AH422">
            <v>3118.53</v>
          </cell>
          <cell r="AI422">
            <v>-434.41</v>
          </cell>
          <cell r="AJ422">
            <v>460.32</v>
          </cell>
          <cell r="AK422">
            <v>13081.69</v>
          </cell>
          <cell r="AL422">
            <v>1268.8900000000001</v>
          </cell>
          <cell r="AM422">
            <v>1151.0899999999999</v>
          </cell>
          <cell r="AN422">
            <v>6597.2</v>
          </cell>
          <cell r="AO422">
            <v>1597.45</v>
          </cell>
          <cell r="AP422">
            <v>2818.75</v>
          </cell>
          <cell r="AQ422">
            <v>9514.7800000000007</v>
          </cell>
          <cell r="AR422">
            <v>3546.95</v>
          </cell>
          <cell r="AS422">
            <v>4620.1499999999996</v>
          </cell>
          <cell r="AT422">
            <v>258.7</v>
          </cell>
          <cell r="AU422">
            <v>20865.3</v>
          </cell>
          <cell r="AV422">
            <v>968.82</v>
          </cell>
          <cell r="AW422">
            <v>1564.73</v>
          </cell>
          <cell r="AX422">
            <v>1915.36</v>
          </cell>
          <cell r="AY422">
            <v>16663.29</v>
          </cell>
        </row>
        <row r="423">
          <cell r="C423">
            <v>21375.53</v>
          </cell>
          <cell r="E423">
            <v>21375.53</v>
          </cell>
          <cell r="L423">
            <v>21375.53</v>
          </cell>
          <cell r="N423">
            <v>21375.53</v>
          </cell>
          <cell r="AG423">
            <v>10847.53</v>
          </cell>
          <cell r="AP423">
            <v>0</v>
          </cell>
          <cell r="AT423">
            <v>0</v>
          </cell>
          <cell r="AU423">
            <v>10528</v>
          </cell>
        </row>
        <row r="424">
          <cell r="C424">
            <v>204130.09</v>
          </cell>
          <cell r="E424">
            <v>204130.09</v>
          </cell>
          <cell r="K424">
            <v>124136.14</v>
          </cell>
          <cell r="L424">
            <v>79993.95</v>
          </cell>
          <cell r="N424">
            <v>79993.95</v>
          </cell>
          <cell r="AD424">
            <v>884.23</v>
          </cell>
          <cell r="AE424">
            <v>5624.97</v>
          </cell>
          <cell r="AF424">
            <v>73484.75</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row>
        <row r="425">
          <cell r="C425">
            <v>10574.38</v>
          </cell>
          <cell r="E425">
            <v>10574.38</v>
          </cell>
          <cell r="L425">
            <v>10574.38</v>
          </cell>
          <cell r="N425">
            <v>10574.38</v>
          </cell>
          <cell r="AH425">
            <v>-8959.9699999999993</v>
          </cell>
          <cell r="AI425">
            <v>9555.84</v>
          </cell>
          <cell r="AJ425">
            <v>9978.51</v>
          </cell>
          <cell r="AP425">
            <v>0</v>
          </cell>
          <cell r="AT425">
            <v>0</v>
          </cell>
        </row>
        <row r="426">
          <cell r="C426">
            <v>1418.27</v>
          </cell>
          <cell r="E426">
            <v>1418.27</v>
          </cell>
          <cell r="I426">
            <v>222.12</v>
          </cell>
          <cell r="L426">
            <v>1196.1500000000001</v>
          </cell>
          <cell r="N426">
            <v>1196.1500000000001</v>
          </cell>
          <cell r="Z426">
            <v>704.87</v>
          </cell>
          <cell r="AI426">
            <v>160.88</v>
          </cell>
          <cell r="AJ426">
            <v>330.4</v>
          </cell>
          <cell r="AP426">
            <v>0</v>
          </cell>
          <cell r="AT426">
            <v>0</v>
          </cell>
        </row>
        <row r="427">
          <cell r="C427">
            <v>67542</v>
          </cell>
          <cell r="E427">
            <v>67542</v>
          </cell>
          <cell r="L427">
            <v>67542</v>
          </cell>
          <cell r="N427">
            <v>67542</v>
          </cell>
          <cell r="AP427">
            <v>0</v>
          </cell>
          <cell r="AQ427">
            <v>2899.87</v>
          </cell>
          <cell r="AR427">
            <v>4034</v>
          </cell>
          <cell r="AT427">
            <v>50530.79</v>
          </cell>
          <cell r="AY427">
            <v>10077.34</v>
          </cell>
        </row>
        <row r="428">
          <cell r="C428">
            <v>11836.39</v>
          </cell>
          <cell r="E428">
            <v>11836.39</v>
          </cell>
          <cell r="L428">
            <v>11836.39</v>
          </cell>
          <cell r="N428">
            <v>11836.39</v>
          </cell>
          <cell r="AP428">
            <v>0</v>
          </cell>
          <cell r="AQ428">
            <v>6343.19</v>
          </cell>
          <cell r="AS428">
            <v>5493.2</v>
          </cell>
          <cell r="AT428">
            <v>0</v>
          </cell>
        </row>
        <row r="429">
          <cell r="C429">
            <v>6982.34</v>
          </cell>
          <cell r="E429">
            <v>6982.34</v>
          </cell>
          <cell r="L429">
            <v>6982.34</v>
          </cell>
          <cell r="N429">
            <v>6982.34</v>
          </cell>
          <cell r="AP429">
            <v>0</v>
          </cell>
          <cell r="AQ429">
            <v>2899.87</v>
          </cell>
          <cell r="AR429">
            <v>1669.37</v>
          </cell>
          <cell r="AS429">
            <v>2413.1</v>
          </cell>
          <cell r="AT429">
            <v>0</v>
          </cell>
        </row>
        <row r="430">
          <cell r="C430">
            <v>0</v>
          </cell>
          <cell r="E430">
            <v>0</v>
          </cell>
          <cell r="L430">
            <v>0</v>
          </cell>
          <cell r="N430">
            <v>0</v>
          </cell>
          <cell r="AP430">
            <v>0</v>
          </cell>
          <cell r="AT430">
            <v>0</v>
          </cell>
        </row>
        <row r="431">
          <cell r="C431">
            <v>16743.43</v>
          </cell>
          <cell r="E431">
            <v>16743.43</v>
          </cell>
          <cell r="L431">
            <v>16743.43</v>
          </cell>
          <cell r="N431">
            <v>16743.43</v>
          </cell>
          <cell r="AN431">
            <v>16743.43</v>
          </cell>
          <cell r="AP431">
            <v>0</v>
          </cell>
          <cell r="AT431">
            <v>0</v>
          </cell>
        </row>
        <row r="432">
          <cell r="C432">
            <v>15090.44</v>
          </cell>
          <cell r="E432">
            <v>15090.44</v>
          </cell>
          <cell r="I432">
            <v>2796.21</v>
          </cell>
          <cell r="J432">
            <v>4962.7299999999996</v>
          </cell>
          <cell r="L432">
            <v>7331.5</v>
          </cell>
          <cell r="N432">
            <v>7331.5</v>
          </cell>
          <cell r="AA432">
            <v>0</v>
          </cell>
          <cell r="AB432">
            <v>12138.3</v>
          </cell>
          <cell r="AN432">
            <v>-4806.8</v>
          </cell>
          <cell r="AP432">
            <v>0</v>
          </cell>
          <cell r="AT432">
            <v>0</v>
          </cell>
        </row>
        <row r="433">
          <cell r="C433">
            <v>0</v>
          </cell>
          <cell r="E433">
            <v>0</v>
          </cell>
          <cell r="L433">
            <v>0</v>
          </cell>
          <cell r="N433">
            <v>0</v>
          </cell>
        </row>
        <row r="434">
          <cell r="C434">
            <v>1147129.1100000001</v>
          </cell>
          <cell r="E434">
            <v>1147129.1100000001</v>
          </cell>
          <cell r="F434">
            <v>1242.95</v>
          </cell>
          <cell r="G434">
            <v>3380.74</v>
          </cell>
          <cell r="H434">
            <v>87674.78</v>
          </cell>
          <cell r="I434">
            <v>3684.68</v>
          </cell>
          <cell r="J434">
            <v>1212.6099999999999</v>
          </cell>
          <cell r="K434">
            <v>142117.93</v>
          </cell>
          <cell r="L434">
            <v>907815.42</v>
          </cell>
          <cell r="N434">
            <v>907815.42</v>
          </cell>
          <cell r="O434">
            <v>153234.57999999999</v>
          </cell>
          <cell r="P434">
            <v>352665.57</v>
          </cell>
          <cell r="Q434">
            <v>9992.09</v>
          </cell>
          <cell r="R434">
            <v>11070.8</v>
          </cell>
          <cell r="S434">
            <v>432.58</v>
          </cell>
          <cell r="T434">
            <v>4967.04</v>
          </cell>
          <cell r="U434">
            <v>-432.02</v>
          </cell>
          <cell r="V434">
            <v>2959</v>
          </cell>
          <cell r="W434">
            <v>7189.57</v>
          </cell>
          <cell r="X434">
            <v>9595.17</v>
          </cell>
          <cell r="Y434">
            <v>799.09</v>
          </cell>
          <cell r="Z434">
            <v>2819.5</v>
          </cell>
          <cell r="AA434">
            <v>34483.39</v>
          </cell>
          <cell r="AB434">
            <v>-80866.47</v>
          </cell>
          <cell r="AC434">
            <v>4738.22</v>
          </cell>
          <cell r="AD434">
            <v>4203.25</v>
          </cell>
          <cell r="AE434">
            <v>25166.93</v>
          </cell>
          <cell r="AF434">
            <v>74811.89</v>
          </cell>
          <cell r="AG434">
            <v>80516.63</v>
          </cell>
          <cell r="AH434">
            <v>-5841.44</v>
          </cell>
          <cell r="AI434">
            <v>9282.31</v>
          </cell>
          <cell r="AJ434">
            <v>10769.23</v>
          </cell>
          <cell r="AK434">
            <v>13081.69</v>
          </cell>
          <cell r="AL434">
            <v>1268.8900000000001</v>
          </cell>
          <cell r="AM434">
            <v>1151.0899999999999</v>
          </cell>
          <cell r="AN434">
            <v>18533.830000000002</v>
          </cell>
          <cell r="AO434">
            <v>1597.45</v>
          </cell>
          <cell r="AP434">
            <v>2818.75</v>
          </cell>
          <cell r="AQ434">
            <v>21657.71</v>
          </cell>
          <cell r="AR434">
            <v>9250.32</v>
          </cell>
          <cell r="AS434">
            <v>12526.45</v>
          </cell>
          <cell r="AT434">
            <v>50789.49</v>
          </cell>
          <cell r="AU434">
            <v>31393.3</v>
          </cell>
          <cell r="AV434">
            <v>968.82</v>
          </cell>
          <cell r="AW434">
            <v>1564.73</v>
          </cell>
          <cell r="AX434">
            <v>1915.36</v>
          </cell>
          <cell r="AY434">
            <v>26740.63</v>
          </cell>
        </row>
        <row r="435">
          <cell r="C435">
            <v>0</v>
          </cell>
          <cell r="E435">
            <v>0</v>
          </cell>
          <cell r="L435">
            <v>0</v>
          </cell>
          <cell r="N435">
            <v>0</v>
          </cell>
        </row>
        <row r="436">
          <cell r="C436">
            <v>0</v>
          </cell>
          <cell r="E436">
            <v>0</v>
          </cell>
          <cell r="L436">
            <v>0</v>
          </cell>
          <cell r="N436">
            <v>0</v>
          </cell>
        </row>
        <row r="437">
          <cell r="C437">
            <v>7063749.79</v>
          </cell>
          <cell r="E437">
            <v>7063749.79</v>
          </cell>
          <cell r="F437">
            <v>103368.03</v>
          </cell>
          <cell r="G437">
            <v>161240</v>
          </cell>
          <cell r="I437">
            <v>100000</v>
          </cell>
          <cell r="J437">
            <v>145307.51999999999</v>
          </cell>
          <cell r="K437">
            <v>5032.6000000000004</v>
          </cell>
          <cell r="L437">
            <v>6548801.6399999997</v>
          </cell>
          <cell r="N437">
            <v>6548801.6399999997</v>
          </cell>
          <cell r="O437">
            <v>1503238.92</v>
          </cell>
          <cell r="Q437">
            <v>572175.96</v>
          </cell>
          <cell r="R437">
            <v>735255.5</v>
          </cell>
          <cell r="S437">
            <v>2053.6</v>
          </cell>
          <cell r="T437">
            <v>210832</v>
          </cell>
          <cell r="U437">
            <v>1129.7</v>
          </cell>
          <cell r="V437">
            <v>453172.94</v>
          </cell>
          <cell r="W437">
            <v>6520</v>
          </cell>
          <cell r="X437">
            <v>150000</v>
          </cell>
          <cell r="Z437">
            <v>477972.15</v>
          </cell>
          <cell r="AC437">
            <v>362533</v>
          </cell>
          <cell r="AD437">
            <v>105635.18</v>
          </cell>
          <cell r="AF437">
            <v>190049.51</v>
          </cell>
          <cell r="AG437">
            <v>207869.99</v>
          </cell>
          <cell r="AH437">
            <v>118329.8</v>
          </cell>
          <cell r="AI437">
            <v>81527.53</v>
          </cell>
          <cell r="AJ437">
            <v>170632</v>
          </cell>
          <cell r="AK437">
            <v>0</v>
          </cell>
          <cell r="AL437">
            <v>164602.79999999999</v>
          </cell>
          <cell r="AM437">
            <v>232829.62</v>
          </cell>
          <cell r="AN437">
            <v>92203.08</v>
          </cell>
          <cell r="AO437">
            <v>10000</v>
          </cell>
          <cell r="AP437">
            <v>30000</v>
          </cell>
          <cell r="AQ437">
            <v>144500</v>
          </cell>
          <cell r="AR437">
            <v>0</v>
          </cell>
          <cell r="AS437">
            <v>0</v>
          </cell>
          <cell r="AT437">
            <v>0</v>
          </cell>
          <cell r="AU437">
            <v>237121.96</v>
          </cell>
          <cell r="AV437">
            <v>50386</v>
          </cell>
          <cell r="AW437">
            <v>0</v>
          </cell>
          <cell r="AX437">
            <v>238230.39999999999</v>
          </cell>
          <cell r="AY437">
            <v>0</v>
          </cell>
        </row>
        <row r="438">
          <cell r="C438">
            <v>4911637.05</v>
          </cell>
          <cell r="E438">
            <v>4911637.05</v>
          </cell>
          <cell r="I438">
            <v>127076.12</v>
          </cell>
          <cell r="J438">
            <v>38416.69</v>
          </cell>
          <cell r="L438">
            <v>4746144.24</v>
          </cell>
          <cell r="N438">
            <v>4746144.24</v>
          </cell>
          <cell r="Q438">
            <v>510367.48</v>
          </cell>
          <cell r="R438">
            <v>396633.04</v>
          </cell>
          <cell r="S438">
            <v>600</v>
          </cell>
          <cell r="T438">
            <v>72000</v>
          </cell>
          <cell r="Y438">
            <v>97222.18</v>
          </cell>
          <cell r="Z438">
            <v>301858.99</v>
          </cell>
          <cell r="AF438">
            <v>10900</v>
          </cell>
          <cell r="AG438">
            <v>0</v>
          </cell>
          <cell r="AH438">
            <v>1915000</v>
          </cell>
          <cell r="AI438">
            <v>0</v>
          </cell>
          <cell r="AJ438">
            <v>0</v>
          </cell>
          <cell r="AK438">
            <v>175082.67</v>
          </cell>
          <cell r="AL438">
            <v>714147.88</v>
          </cell>
          <cell r="AM438">
            <v>535832</v>
          </cell>
          <cell r="AN438">
            <v>16500</v>
          </cell>
          <cell r="AO438">
            <v>0</v>
          </cell>
          <cell r="AP438">
            <v>0</v>
          </cell>
          <cell r="AQ438">
            <v>0</v>
          </cell>
          <cell r="AR438">
            <v>0</v>
          </cell>
          <cell r="AS438">
            <v>0</v>
          </cell>
          <cell r="AT438">
            <v>0</v>
          </cell>
          <cell r="AU438">
            <v>0</v>
          </cell>
          <cell r="AV438">
            <v>0</v>
          </cell>
          <cell r="AW438">
            <v>0</v>
          </cell>
          <cell r="AX438">
            <v>0</v>
          </cell>
          <cell r="AY438">
            <v>0</v>
          </cell>
        </row>
        <row r="439">
          <cell r="C439">
            <v>152912.5</v>
          </cell>
          <cell r="E439">
            <v>152912.5</v>
          </cell>
          <cell r="G439">
            <v>0</v>
          </cell>
          <cell r="L439">
            <v>152912.5</v>
          </cell>
          <cell r="N439">
            <v>152912.5</v>
          </cell>
          <cell r="O439">
            <v>152912.5</v>
          </cell>
          <cell r="AP439">
            <v>0</v>
          </cell>
          <cell r="AT439">
            <v>0</v>
          </cell>
        </row>
        <row r="440">
          <cell r="C440">
            <v>645620</v>
          </cell>
          <cell r="E440">
            <v>645620</v>
          </cell>
          <cell r="I440">
            <v>48200</v>
          </cell>
          <cell r="J440">
            <v>18000</v>
          </cell>
          <cell r="L440">
            <v>579420</v>
          </cell>
          <cell r="N440">
            <v>579420</v>
          </cell>
          <cell r="Q440">
            <v>77396</v>
          </cell>
          <cell r="R440">
            <v>107694</v>
          </cell>
          <cell r="S440">
            <v>18810</v>
          </cell>
          <cell r="V440">
            <v>22000</v>
          </cell>
          <cell r="W440">
            <v>11050</v>
          </cell>
          <cell r="X440">
            <v>13800</v>
          </cell>
          <cell r="Z440">
            <v>48000</v>
          </cell>
          <cell r="AB440">
            <v>21000</v>
          </cell>
          <cell r="AD440">
            <v>29960</v>
          </cell>
          <cell r="AH440">
            <v>4710</v>
          </cell>
          <cell r="AI440">
            <v>12000</v>
          </cell>
          <cell r="AJ440">
            <v>5000</v>
          </cell>
          <cell r="AL440">
            <v>22300</v>
          </cell>
          <cell r="AM440">
            <v>2200</v>
          </cell>
          <cell r="AN440">
            <v>36000</v>
          </cell>
          <cell r="AP440">
            <v>0</v>
          </cell>
          <cell r="AT440">
            <v>60000</v>
          </cell>
          <cell r="AU440">
            <v>21000</v>
          </cell>
          <cell r="AV440">
            <v>36500</v>
          </cell>
          <cell r="AW440">
            <v>30000</v>
          </cell>
        </row>
        <row r="441">
          <cell r="C441">
            <v>978376</v>
          </cell>
          <cell r="E441">
            <v>978376</v>
          </cell>
          <cell r="G441">
            <v>49800</v>
          </cell>
          <cell r="H441">
            <v>9798.68</v>
          </cell>
          <cell r="I441">
            <v>34930</v>
          </cell>
          <cell r="J441">
            <v>35000</v>
          </cell>
          <cell r="K441">
            <v>13500</v>
          </cell>
          <cell r="L441">
            <v>835347.32</v>
          </cell>
          <cell r="N441">
            <v>835347.32</v>
          </cell>
          <cell r="R441">
            <v>23496</v>
          </cell>
          <cell r="T441">
            <v>28300</v>
          </cell>
          <cell r="V441">
            <v>55665.47</v>
          </cell>
          <cell r="Z441">
            <v>104796</v>
          </cell>
          <cell r="AH441">
            <v>15772</v>
          </cell>
          <cell r="AK441">
            <v>260891.73</v>
          </cell>
          <cell r="AL441">
            <v>45268.67</v>
          </cell>
          <cell r="AM441">
            <v>32984.660000000003</v>
          </cell>
          <cell r="AN441">
            <v>17625</v>
          </cell>
          <cell r="AO441">
            <v>62260</v>
          </cell>
          <cell r="AP441">
            <v>5154</v>
          </cell>
          <cell r="AQ441">
            <v>12009.8</v>
          </cell>
          <cell r="AR441">
            <v>4630</v>
          </cell>
          <cell r="AS441">
            <v>124800</v>
          </cell>
          <cell r="AT441">
            <v>0</v>
          </cell>
          <cell r="AU441">
            <v>17989.45</v>
          </cell>
          <cell r="AY441">
            <v>23704.54</v>
          </cell>
        </row>
        <row r="442">
          <cell r="C442">
            <v>13752295.34</v>
          </cell>
          <cell r="E442">
            <v>13752295.34</v>
          </cell>
          <cell r="F442">
            <v>103368.03</v>
          </cell>
          <cell r="G442">
            <v>211040</v>
          </cell>
          <cell r="H442">
            <v>9798.68</v>
          </cell>
          <cell r="I442">
            <v>310206.12</v>
          </cell>
          <cell r="J442">
            <v>236724.21</v>
          </cell>
          <cell r="K442">
            <v>18532.599999999999</v>
          </cell>
          <cell r="L442">
            <v>12862625.699999999</v>
          </cell>
          <cell r="N442">
            <v>12862625.699999999</v>
          </cell>
          <cell r="O442">
            <v>1656151.42</v>
          </cell>
          <cell r="P442">
            <v>0</v>
          </cell>
          <cell r="Q442">
            <v>1159939.44</v>
          </cell>
          <cell r="R442">
            <v>1263078.54</v>
          </cell>
          <cell r="S442">
            <v>21463.599999999999</v>
          </cell>
          <cell r="T442">
            <v>311132</v>
          </cell>
          <cell r="U442">
            <v>1129.7</v>
          </cell>
          <cell r="V442">
            <v>530838.41</v>
          </cell>
          <cell r="W442">
            <v>17570</v>
          </cell>
          <cell r="X442">
            <v>163800</v>
          </cell>
          <cell r="Y442">
            <v>97222.18</v>
          </cell>
          <cell r="Z442">
            <v>932627.14</v>
          </cell>
          <cell r="AA442">
            <v>0</v>
          </cell>
          <cell r="AB442">
            <v>21000</v>
          </cell>
          <cell r="AC442">
            <v>362533</v>
          </cell>
          <cell r="AD442">
            <v>135595.18</v>
          </cell>
          <cell r="AE442">
            <v>0</v>
          </cell>
          <cell r="AF442">
            <v>200949.51</v>
          </cell>
          <cell r="AG442">
            <v>207869.99</v>
          </cell>
          <cell r="AH442">
            <v>2053811.8</v>
          </cell>
          <cell r="AI442">
            <v>93527.53</v>
          </cell>
          <cell r="AJ442">
            <v>175632</v>
          </cell>
          <cell r="AK442">
            <v>435974.40000000002</v>
          </cell>
          <cell r="AL442">
            <v>946319.35</v>
          </cell>
          <cell r="AM442">
            <v>803846.28</v>
          </cell>
          <cell r="AN442">
            <v>162328.07999999999</v>
          </cell>
          <cell r="AO442">
            <v>72260</v>
          </cell>
          <cell r="AP442">
            <v>35154</v>
          </cell>
          <cell r="AQ442">
            <v>156509.79999999999</v>
          </cell>
          <cell r="AR442">
            <v>4630</v>
          </cell>
          <cell r="AS442">
            <v>124800</v>
          </cell>
          <cell r="AT442">
            <v>60000</v>
          </cell>
          <cell r="AU442">
            <v>276111.40999999997</v>
          </cell>
          <cell r="AV442">
            <v>86886</v>
          </cell>
          <cell r="AW442">
            <v>30000</v>
          </cell>
          <cell r="AX442">
            <v>238230.39999999999</v>
          </cell>
          <cell r="AY442">
            <v>23704.54</v>
          </cell>
        </row>
        <row r="443">
          <cell r="C443">
            <v>0</v>
          </cell>
          <cell r="E443">
            <v>0</v>
          </cell>
          <cell r="L443">
            <v>0</v>
          </cell>
          <cell r="N443">
            <v>0</v>
          </cell>
        </row>
        <row r="444">
          <cell r="C444">
            <v>0</v>
          </cell>
          <cell r="E444">
            <v>0</v>
          </cell>
          <cell r="L444">
            <v>0</v>
          </cell>
          <cell r="N444">
            <v>0</v>
          </cell>
        </row>
        <row r="445">
          <cell r="C445">
            <v>0</v>
          </cell>
          <cell r="E445">
            <v>0</v>
          </cell>
          <cell r="L445">
            <v>0</v>
          </cell>
          <cell r="N445">
            <v>0</v>
          </cell>
          <cell r="AP445">
            <v>0</v>
          </cell>
        </row>
        <row r="446">
          <cell r="C446">
            <v>0</v>
          </cell>
          <cell r="E446">
            <v>0</v>
          </cell>
          <cell r="L446">
            <v>0</v>
          </cell>
          <cell r="N446">
            <v>0</v>
          </cell>
          <cell r="AP446">
            <v>0</v>
          </cell>
        </row>
        <row r="447">
          <cell r="C447">
            <v>0</v>
          </cell>
          <cell r="E447">
            <v>0</v>
          </cell>
          <cell r="L447">
            <v>0</v>
          </cell>
          <cell r="N447">
            <v>0</v>
          </cell>
          <cell r="AP447">
            <v>0</v>
          </cell>
        </row>
        <row r="448">
          <cell r="C448">
            <v>88000000</v>
          </cell>
          <cell r="E448">
            <v>88000000</v>
          </cell>
          <cell r="L448">
            <v>88000000</v>
          </cell>
          <cell r="N448">
            <v>88000000</v>
          </cell>
          <cell r="O448">
            <v>88000000</v>
          </cell>
          <cell r="AP448">
            <v>0</v>
          </cell>
        </row>
        <row r="449">
          <cell r="C449">
            <v>88000000</v>
          </cell>
          <cell r="E449">
            <v>88000000</v>
          </cell>
          <cell r="L449">
            <v>88000000</v>
          </cell>
          <cell r="N449">
            <v>88000000</v>
          </cell>
          <cell r="O449">
            <v>88000000</v>
          </cell>
          <cell r="AP449">
            <v>0</v>
          </cell>
        </row>
        <row r="450">
          <cell r="C450">
            <v>0</v>
          </cell>
          <cell r="E450">
            <v>0</v>
          </cell>
          <cell r="L450">
            <v>0</v>
          </cell>
          <cell r="N450">
            <v>0</v>
          </cell>
          <cell r="AP450">
            <v>0</v>
          </cell>
        </row>
        <row r="451">
          <cell r="C451">
            <v>0</v>
          </cell>
          <cell r="E451">
            <v>0</v>
          </cell>
          <cell r="L451">
            <v>0</v>
          </cell>
          <cell r="N451">
            <v>0</v>
          </cell>
          <cell r="AP451">
            <v>0</v>
          </cell>
        </row>
        <row r="452">
          <cell r="C452">
            <v>88000000</v>
          </cell>
          <cell r="E452">
            <v>88000000</v>
          </cell>
          <cell r="F452">
            <v>0</v>
          </cell>
          <cell r="G452">
            <v>0</v>
          </cell>
          <cell r="H452">
            <v>0</v>
          </cell>
          <cell r="I452">
            <v>0</v>
          </cell>
          <cell r="J452">
            <v>0</v>
          </cell>
          <cell r="K452">
            <v>0</v>
          </cell>
          <cell r="L452">
            <v>88000000</v>
          </cell>
          <cell r="N452">
            <v>88000000</v>
          </cell>
          <cell r="O452">
            <v>88000000</v>
          </cell>
          <cell r="P452">
            <v>0</v>
          </cell>
          <cell r="Q452">
            <v>0</v>
          </cell>
          <cell r="R452">
            <v>0</v>
          </cell>
          <cell r="S452">
            <v>0</v>
          </cell>
          <cell r="T452">
            <v>0</v>
          </cell>
          <cell r="U452">
            <v>0</v>
          </cell>
          <cell r="V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row>
        <row r="453">
          <cell r="C453">
            <v>0</v>
          </cell>
          <cell r="E453">
            <v>0</v>
          </cell>
          <cell r="L453">
            <v>0</v>
          </cell>
          <cell r="N453">
            <v>0</v>
          </cell>
        </row>
        <row r="454">
          <cell r="C454">
            <v>0</v>
          </cell>
          <cell r="E454">
            <v>0</v>
          </cell>
          <cell r="L454">
            <v>0</v>
          </cell>
          <cell r="N454">
            <v>0</v>
          </cell>
        </row>
        <row r="455">
          <cell r="C455">
            <v>0</v>
          </cell>
          <cell r="E455">
            <v>0</v>
          </cell>
          <cell r="L455">
            <v>0</v>
          </cell>
          <cell r="N455">
            <v>0</v>
          </cell>
          <cell r="AP455">
            <v>0</v>
          </cell>
        </row>
        <row r="456">
          <cell r="C456">
            <v>40000000</v>
          </cell>
          <cell r="E456">
            <v>40000000</v>
          </cell>
          <cell r="L456">
            <v>40000000</v>
          </cell>
          <cell r="N456">
            <v>40000000</v>
          </cell>
          <cell r="O456">
            <v>40000000</v>
          </cell>
          <cell r="AP456">
            <v>0</v>
          </cell>
        </row>
        <row r="457">
          <cell r="C457">
            <v>40000000</v>
          </cell>
          <cell r="E457">
            <v>40000000</v>
          </cell>
          <cell r="L457">
            <v>40000000</v>
          </cell>
          <cell r="N457">
            <v>40000000</v>
          </cell>
          <cell r="O457">
            <v>40000000</v>
          </cell>
          <cell r="AP457">
            <v>0</v>
          </cell>
        </row>
        <row r="458">
          <cell r="C458">
            <v>229000000</v>
          </cell>
          <cell r="E458">
            <v>229000000</v>
          </cell>
          <cell r="L458">
            <v>229000000</v>
          </cell>
          <cell r="N458">
            <v>229000000</v>
          </cell>
          <cell r="O458">
            <v>229000000</v>
          </cell>
          <cell r="AP458">
            <v>0</v>
          </cell>
        </row>
        <row r="459">
          <cell r="C459">
            <v>229000000</v>
          </cell>
          <cell r="E459">
            <v>229000000</v>
          </cell>
          <cell r="L459">
            <v>229000000</v>
          </cell>
          <cell r="N459">
            <v>229000000</v>
          </cell>
          <cell r="O459">
            <v>229000000</v>
          </cell>
          <cell r="AP459">
            <v>0</v>
          </cell>
        </row>
        <row r="460">
          <cell r="C460">
            <v>0</v>
          </cell>
          <cell r="E460">
            <v>0</v>
          </cell>
          <cell r="L460">
            <v>0</v>
          </cell>
          <cell r="N460">
            <v>0</v>
          </cell>
          <cell r="AP460">
            <v>0</v>
          </cell>
        </row>
        <row r="461">
          <cell r="C461">
            <v>0</v>
          </cell>
          <cell r="E461">
            <v>0</v>
          </cell>
          <cell r="L461">
            <v>0</v>
          </cell>
          <cell r="N461">
            <v>0</v>
          </cell>
          <cell r="AP461">
            <v>0</v>
          </cell>
        </row>
        <row r="462">
          <cell r="C462">
            <v>269000000</v>
          </cell>
          <cell r="E462">
            <v>269000000</v>
          </cell>
          <cell r="F462">
            <v>0</v>
          </cell>
          <cell r="G462">
            <v>0</v>
          </cell>
          <cell r="H462">
            <v>0</v>
          </cell>
          <cell r="I462">
            <v>0</v>
          </cell>
          <cell r="J462">
            <v>0</v>
          </cell>
          <cell r="K462">
            <v>0</v>
          </cell>
          <cell r="L462">
            <v>269000000</v>
          </cell>
          <cell r="N462">
            <v>269000000</v>
          </cell>
          <cell r="O462">
            <v>269000000</v>
          </cell>
          <cell r="P462">
            <v>0</v>
          </cell>
          <cell r="Q462">
            <v>0</v>
          </cell>
          <cell r="R462">
            <v>0</v>
          </cell>
          <cell r="S462">
            <v>0</v>
          </cell>
          <cell r="T462">
            <v>0</v>
          </cell>
          <cell r="U462">
            <v>0</v>
          </cell>
          <cell r="V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row>
        <row r="463">
          <cell r="C463">
            <v>0</v>
          </cell>
          <cell r="E463">
            <v>0</v>
          </cell>
          <cell r="L463">
            <v>0</v>
          </cell>
          <cell r="N463">
            <v>0</v>
          </cell>
        </row>
        <row r="464">
          <cell r="C464">
            <v>0</v>
          </cell>
          <cell r="E464">
            <v>0</v>
          </cell>
          <cell r="L464">
            <v>0</v>
          </cell>
          <cell r="N464">
            <v>0</v>
          </cell>
        </row>
        <row r="465">
          <cell r="C465">
            <v>357214195.20999998</v>
          </cell>
          <cell r="E465">
            <v>357214195.20999998</v>
          </cell>
          <cell r="L465">
            <v>357214195.20999998</v>
          </cell>
          <cell r="N465">
            <v>357214195.20999998</v>
          </cell>
          <cell r="O465">
            <v>357214195.20999998</v>
          </cell>
          <cell r="AP465">
            <v>0</v>
          </cell>
        </row>
        <row r="466">
          <cell r="C466">
            <v>187352.82</v>
          </cell>
          <cell r="E466">
            <v>187352.82</v>
          </cell>
          <cell r="L466">
            <v>187352.82</v>
          </cell>
          <cell r="N466">
            <v>187352.82</v>
          </cell>
          <cell r="O466">
            <v>187352.82</v>
          </cell>
          <cell r="AP466">
            <v>0</v>
          </cell>
        </row>
        <row r="467">
          <cell r="C467">
            <v>0</v>
          </cell>
          <cell r="E467">
            <v>0</v>
          </cell>
          <cell r="L467">
            <v>0</v>
          </cell>
          <cell r="N467">
            <v>0</v>
          </cell>
          <cell r="AP467">
            <v>0</v>
          </cell>
        </row>
        <row r="468">
          <cell r="C468">
            <v>999503.93</v>
          </cell>
          <cell r="E468">
            <v>999503.93</v>
          </cell>
          <cell r="L468">
            <v>999503.93</v>
          </cell>
          <cell r="N468">
            <v>999503.93</v>
          </cell>
          <cell r="O468">
            <v>999503.93</v>
          </cell>
          <cell r="AP468">
            <v>0</v>
          </cell>
        </row>
        <row r="469">
          <cell r="C469">
            <v>2582764.1800000002</v>
          </cell>
          <cell r="D469">
            <v>-492169.9</v>
          </cell>
          <cell r="E469">
            <v>2090594.28</v>
          </cell>
          <cell r="F469">
            <v>111859.61</v>
          </cell>
          <cell r="G469">
            <v>136969.25</v>
          </cell>
          <cell r="H469">
            <v>243341.04</v>
          </cell>
          <cell r="L469">
            <v>2090594.28</v>
          </cell>
          <cell r="N469">
            <v>2090594.28</v>
          </cell>
          <cell r="O469">
            <v>2004992.06</v>
          </cell>
          <cell r="Q469">
            <v>73192.929999999993</v>
          </cell>
          <cell r="V469">
            <v>12409.29</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row>
        <row r="470">
          <cell r="C470">
            <v>360983816.13999999</v>
          </cell>
          <cell r="D470">
            <v>-492169.9</v>
          </cell>
          <cell r="E470">
            <v>360491646.24000001</v>
          </cell>
          <cell r="F470">
            <v>111859.61</v>
          </cell>
          <cell r="G470">
            <v>136969.25</v>
          </cell>
          <cell r="H470">
            <v>243341.04</v>
          </cell>
          <cell r="I470">
            <v>0</v>
          </cell>
          <cell r="J470">
            <v>0</v>
          </cell>
          <cell r="K470">
            <v>0</v>
          </cell>
          <cell r="L470">
            <v>360491646.24000001</v>
          </cell>
          <cell r="N470">
            <v>360491646.24000001</v>
          </cell>
          <cell r="O470">
            <v>360406044.01999998</v>
          </cell>
          <cell r="P470">
            <v>0</v>
          </cell>
          <cell r="Q470">
            <v>73192.929999999993</v>
          </cell>
          <cell r="R470">
            <v>0</v>
          </cell>
          <cell r="S470">
            <v>0</v>
          </cell>
          <cell r="T470">
            <v>0</v>
          </cell>
          <cell r="U470">
            <v>0</v>
          </cell>
          <cell r="V470">
            <v>12409.29</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row>
        <row r="471">
          <cell r="C471">
            <v>0</v>
          </cell>
          <cell r="E471">
            <v>0</v>
          </cell>
          <cell r="L471">
            <v>0</v>
          </cell>
          <cell r="N471">
            <v>0</v>
          </cell>
          <cell r="AP471">
            <v>0</v>
          </cell>
        </row>
        <row r="472">
          <cell r="C472">
            <v>226677.9</v>
          </cell>
          <cell r="E472">
            <v>226677.9</v>
          </cell>
          <cell r="L472">
            <v>226677.9</v>
          </cell>
          <cell r="N472">
            <v>226677.9</v>
          </cell>
          <cell r="O472">
            <v>226677.9</v>
          </cell>
          <cell r="AP472">
            <v>0</v>
          </cell>
        </row>
        <row r="473">
          <cell r="C473">
            <v>0</v>
          </cell>
          <cell r="E473">
            <v>0</v>
          </cell>
          <cell r="L473">
            <v>0</v>
          </cell>
          <cell r="N473">
            <v>0</v>
          </cell>
          <cell r="AP473">
            <v>0</v>
          </cell>
        </row>
        <row r="474">
          <cell r="C474">
            <v>947469.91</v>
          </cell>
          <cell r="E474">
            <v>947469.91</v>
          </cell>
          <cell r="L474">
            <v>947469.91</v>
          </cell>
          <cell r="N474">
            <v>947469.91</v>
          </cell>
          <cell r="O474">
            <v>947469.91</v>
          </cell>
          <cell r="AP474">
            <v>0</v>
          </cell>
        </row>
        <row r="475">
          <cell r="C475">
            <v>510370.11</v>
          </cell>
          <cell r="D475">
            <v>-403181.97</v>
          </cell>
          <cell r="E475">
            <v>107188.14</v>
          </cell>
          <cell r="G475">
            <v>169236.51</v>
          </cell>
          <cell r="H475">
            <v>233945.46</v>
          </cell>
          <cell r="L475">
            <v>107188.14</v>
          </cell>
          <cell r="N475">
            <v>107188.14</v>
          </cell>
          <cell r="Q475">
            <v>11704.98</v>
          </cell>
          <cell r="AF475">
            <v>94888.69</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594.47</v>
          </cell>
        </row>
        <row r="476">
          <cell r="C476">
            <v>1684517.92</v>
          </cell>
          <cell r="E476">
            <v>1684517.92</v>
          </cell>
          <cell r="F476">
            <v>0</v>
          </cell>
          <cell r="G476">
            <v>169236.51</v>
          </cell>
          <cell r="H476">
            <v>233945.46</v>
          </cell>
          <cell r="I476">
            <v>0</v>
          </cell>
          <cell r="J476">
            <v>0</v>
          </cell>
          <cell r="K476">
            <v>0</v>
          </cell>
          <cell r="L476">
            <v>1281335.95</v>
          </cell>
          <cell r="N476">
            <v>1281335.95</v>
          </cell>
          <cell r="O476">
            <v>1174147.81</v>
          </cell>
          <cell r="P476">
            <v>0</v>
          </cell>
          <cell r="Q476">
            <v>11704.98</v>
          </cell>
          <cell r="R476">
            <v>0</v>
          </cell>
          <cell r="S476">
            <v>0</v>
          </cell>
          <cell r="T476">
            <v>0</v>
          </cell>
          <cell r="U476">
            <v>0</v>
          </cell>
          <cell r="V476">
            <v>0</v>
          </cell>
          <cell r="Y476">
            <v>0</v>
          </cell>
          <cell r="Z476">
            <v>0</v>
          </cell>
          <cell r="AA476">
            <v>0</v>
          </cell>
          <cell r="AB476">
            <v>0</v>
          </cell>
          <cell r="AC476">
            <v>0</v>
          </cell>
          <cell r="AD476">
            <v>0</v>
          </cell>
          <cell r="AE476">
            <v>0</v>
          </cell>
          <cell r="AF476">
            <v>94888.69</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594.47</v>
          </cell>
          <cell r="AY476">
            <v>0</v>
          </cell>
        </row>
        <row r="477">
          <cell r="C477">
            <v>0</v>
          </cell>
          <cell r="E477">
            <v>0</v>
          </cell>
          <cell r="L477">
            <v>0</v>
          </cell>
          <cell r="N477">
            <v>0</v>
          </cell>
          <cell r="AP477">
            <v>0</v>
          </cell>
        </row>
        <row r="478">
          <cell r="C478">
            <v>0</v>
          </cell>
          <cell r="E478">
            <v>0</v>
          </cell>
          <cell r="L478">
            <v>0</v>
          </cell>
          <cell r="N478">
            <v>0</v>
          </cell>
          <cell r="AP478">
            <v>0</v>
          </cell>
        </row>
        <row r="479">
          <cell r="C479">
            <v>0</v>
          </cell>
          <cell r="E479">
            <v>0</v>
          </cell>
          <cell r="L479">
            <v>0</v>
          </cell>
          <cell r="N479">
            <v>0</v>
          </cell>
          <cell r="AP479">
            <v>0</v>
          </cell>
        </row>
        <row r="480">
          <cell r="C480">
            <v>0</v>
          </cell>
          <cell r="E480">
            <v>0</v>
          </cell>
          <cell r="L480">
            <v>0</v>
          </cell>
          <cell r="N480">
            <v>0</v>
          </cell>
          <cell r="AP480">
            <v>0</v>
          </cell>
        </row>
        <row r="481">
          <cell r="C481">
            <v>0</v>
          </cell>
          <cell r="E481">
            <v>0</v>
          </cell>
          <cell r="L481">
            <v>0</v>
          </cell>
          <cell r="N481">
            <v>0</v>
          </cell>
          <cell r="AP481">
            <v>0</v>
          </cell>
        </row>
        <row r="482">
          <cell r="C482">
            <v>0</v>
          </cell>
          <cell r="E482">
            <v>0</v>
          </cell>
          <cell r="F482">
            <v>0</v>
          </cell>
          <cell r="G482">
            <v>0</v>
          </cell>
          <cell r="H482">
            <v>0</v>
          </cell>
          <cell r="I482">
            <v>0</v>
          </cell>
          <cell r="J482">
            <v>0</v>
          </cell>
          <cell r="K482">
            <v>0</v>
          </cell>
          <cell r="L482">
            <v>0</v>
          </cell>
          <cell r="N482">
            <v>0</v>
          </cell>
          <cell r="O482">
            <v>0</v>
          </cell>
          <cell r="P482">
            <v>0</v>
          </cell>
          <cell r="Q482">
            <v>0</v>
          </cell>
          <cell r="R482">
            <v>0</v>
          </cell>
          <cell r="S482">
            <v>0</v>
          </cell>
          <cell r="T482">
            <v>0</v>
          </cell>
          <cell r="U482">
            <v>0</v>
          </cell>
          <cell r="V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row>
        <row r="483">
          <cell r="C483">
            <v>357214195.20999998</v>
          </cell>
          <cell r="D483">
            <v>0</v>
          </cell>
          <cell r="E483">
            <v>357214195.20999998</v>
          </cell>
          <cell r="F483">
            <v>0</v>
          </cell>
          <cell r="G483">
            <v>0</v>
          </cell>
          <cell r="H483">
            <v>0</v>
          </cell>
          <cell r="I483">
            <v>0</v>
          </cell>
          <cell r="J483">
            <v>0</v>
          </cell>
          <cell r="K483">
            <v>0</v>
          </cell>
          <cell r="L483">
            <v>357214195.20999998</v>
          </cell>
          <cell r="N483">
            <v>357214195.20999998</v>
          </cell>
          <cell r="O483">
            <v>357214195.20999998</v>
          </cell>
          <cell r="P483">
            <v>0</v>
          </cell>
          <cell r="Q483">
            <v>0</v>
          </cell>
          <cell r="R483">
            <v>0</v>
          </cell>
          <cell r="S483">
            <v>0</v>
          </cell>
          <cell r="T483">
            <v>0</v>
          </cell>
          <cell r="U483">
            <v>0</v>
          </cell>
          <cell r="V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row>
        <row r="484">
          <cell r="C484">
            <v>414030.72</v>
          </cell>
          <cell r="D484">
            <v>0</v>
          </cell>
          <cell r="E484">
            <v>414030.72</v>
          </cell>
          <cell r="F484">
            <v>0</v>
          </cell>
          <cell r="G484">
            <v>0</v>
          </cell>
          <cell r="H484">
            <v>0</v>
          </cell>
          <cell r="I484">
            <v>0</v>
          </cell>
          <cell r="J484">
            <v>0</v>
          </cell>
          <cell r="K484">
            <v>0</v>
          </cell>
          <cell r="L484">
            <v>414030.72</v>
          </cell>
          <cell r="N484">
            <v>414030.72</v>
          </cell>
          <cell r="O484">
            <v>414030.72</v>
          </cell>
          <cell r="P484">
            <v>0</v>
          </cell>
          <cell r="Q484">
            <v>0</v>
          </cell>
          <cell r="R484">
            <v>0</v>
          </cell>
          <cell r="S484">
            <v>0</v>
          </cell>
          <cell r="T484">
            <v>0</v>
          </cell>
          <cell r="U484">
            <v>0</v>
          </cell>
          <cell r="V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row>
        <row r="485">
          <cell r="C485">
            <v>0</v>
          </cell>
          <cell r="D485">
            <v>0</v>
          </cell>
          <cell r="E485">
            <v>0</v>
          </cell>
          <cell r="F485">
            <v>0</v>
          </cell>
          <cell r="G485">
            <v>0</v>
          </cell>
          <cell r="H485">
            <v>0</v>
          </cell>
          <cell r="I485">
            <v>0</v>
          </cell>
          <cell r="J485">
            <v>0</v>
          </cell>
          <cell r="K485">
            <v>0</v>
          </cell>
          <cell r="L485">
            <v>0</v>
          </cell>
          <cell r="N485">
            <v>0</v>
          </cell>
          <cell r="O485">
            <v>0</v>
          </cell>
          <cell r="P485">
            <v>0</v>
          </cell>
          <cell r="Q485">
            <v>0</v>
          </cell>
          <cell r="R485">
            <v>0</v>
          </cell>
          <cell r="S485">
            <v>0</v>
          </cell>
          <cell r="T485">
            <v>0</v>
          </cell>
          <cell r="U485">
            <v>0</v>
          </cell>
          <cell r="V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row>
        <row r="486">
          <cell r="C486">
            <v>1946973.84</v>
          </cell>
          <cell r="D486">
            <v>0</v>
          </cell>
          <cell r="E486">
            <v>1946973.84</v>
          </cell>
          <cell r="F486">
            <v>0</v>
          </cell>
          <cell r="G486">
            <v>0</v>
          </cell>
          <cell r="H486">
            <v>0</v>
          </cell>
          <cell r="I486">
            <v>0</v>
          </cell>
          <cell r="J486">
            <v>0</v>
          </cell>
          <cell r="K486">
            <v>0</v>
          </cell>
          <cell r="L486">
            <v>1946973.84</v>
          </cell>
          <cell r="N486">
            <v>1946973.84</v>
          </cell>
          <cell r="O486">
            <v>1946973.84</v>
          </cell>
          <cell r="P486">
            <v>0</v>
          </cell>
          <cell r="Q486">
            <v>0</v>
          </cell>
          <cell r="R486">
            <v>0</v>
          </cell>
          <cell r="S486">
            <v>0</v>
          </cell>
          <cell r="T486">
            <v>0</v>
          </cell>
          <cell r="U486">
            <v>0</v>
          </cell>
          <cell r="V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row>
        <row r="487">
          <cell r="C487">
            <v>3093134.29</v>
          </cell>
          <cell r="D487">
            <v>-895351.87</v>
          </cell>
          <cell r="E487">
            <v>2197782.42</v>
          </cell>
          <cell r="F487">
            <v>111859.61</v>
          </cell>
          <cell r="G487">
            <v>306205.76</v>
          </cell>
          <cell r="H487">
            <v>477286.5</v>
          </cell>
          <cell r="I487">
            <v>0</v>
          </cell>
          <cell r="J487">
            <v>0</v>
          </cell>
          <cell r="K487">
            <v>0</v>
          </cell>
          <cell r="L487">
            <v>2197782.42</v>
          </cell>
          <cell r="N487">
            <v>2197782.42</v>
          </cell>
          <cell r="O487">
            <v>2004992.06</v>
          </cell>
          <cell r="P487">
            <v>0</v>
          </cell>
          <cell r="Q487">
            <v>84897.91</v>
          </cell>
          <cell r="R487">
            <v>0</v>
          </cell>
          <cell r="S487">
            <v>0</v>
          </cell>
          <cell r="T487">
            <v>0</v>
          </cell>
          <cell r="U487">
            <v>0</v>
          </cell>
          <cell r="V487">
            <v>12409.29</v>
          </cell>
          <cell r="Y487">
            <v>0</v>
          </cell>
          <cell r="Z487">
            <v>0</v>
          </cell>
          <cell r="AA487">
            <v>0</v>
          </cell>
          <cell r="AB487">
            <v>0</v>
          </cell>
          <cell r="AC487">
            <v>0</v>
          </cell>
          <cell r="AD487">
            <v>0</v>
          </cell>
          <cell r="AE487">
            <v>0</v>
          </cell>
          <cell r="AF487">
            <v>94888.69</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594.47</v>
          </cell>
          <cell r="AY487">
            <v>0</v>
          </cell>
        </row>
        <row r="488">
          <cell r="C488">
            <v>362668334.06</v>
          </cell>
          <cell r="D488">
            <v>-895351.87</v>
          </cell>
          <cell r="E488">
            <v>361772982.19</v>
          </cell>
          <cell r="F488">
            <v>111859.61</v>
          </cell>
          <cell r="G488">
            <v>306205.76</v>
          </cell>
          <cell r="H488">
            <v>477286.5</v>
          </cell>
          <cell r="I488">
            <v>0</v>
          </cell>
          <cell r="J488">
            <v>0</v>
          </cell>
          <cell r="K488">
            <v>0</v>
          </cell>
          <cell r="L488">
            <v>361772982.19</v>
          </cell>
          <cell r="N488">
            <v>361772982.19</v>
          </cell>
          <cell r="O488">
            <v>361580191.82999998</v>
          </cell>
          <cell r="P488">
            <v>0</v>
          </cell>
          <cell r="Q488">
            <v>84897.91</v>
          </cell>
          <cell r="R488">
            <v>0</v>
          </cell>
          <cell r="S488">
            <v>0</v>
          </cell>
          <cell r="T488">
            <v>0</v>
          </cell>
          <cell r="U488">
            <v>0</v>
          </cell>
          <cell r="V488">
            <v>12409.29</v>
          </cell>
          <cell r="Y488">
            <v>0</v>
          </cell>
          <cell r="Z488">
            <v>0</v>
          </cell>
          <cell r="AA488">
            <v>0</v>
          </cell>
          <cell r="AB488">
            <v>0</v>
          </cell>
          <cell r="AC488">
            <v>0</v>
          </cell>
          <cell r="AD488">
            <v>0</v>
          </cell>
          <cell r="AE488">
            <v>0</v>
          </cell>
          <cell r="AF488">
            <v>94888.69</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594.47</v>
          </cell>
          <cell r="AY488">
            <v>0</v>
          </cell>
        </row>
        <row r="489">
          <cell r="C489">
            <v>0</v>
          </cell>
          <cell r="E489">
            <v>0</v>
          </cell>
          <cell r="L489">
            <v>0</v>
          </cell>
          <cell r="N489">
            <v>0</v>
          </cell>
        </row>
        <row r="490">
          <cell r="C490">
            <v>0</v>
          </cell>
          <cell r="E490">
            <v>0</v>
          </cell>
          <cell r="L490">
            <v>0</v>
          </cell>
          <cell r="N490">
            <v>0</v>
          </cell>
        </row>
        <row r="491">
          <cell r="C491">
            <v>12763249.439999999</v>
          </cell>
          <cell r="D491">
            <v>-939298.48</v>
          </cell>
          <cell r="E491">
            <v>11823950.960000001</v>
          </cell>
          <cell r="F491">
            <v>249339.56</v>
          </cell>
          <cell r="G491">
            <v>757773.48</v>
          </cell>
          <cell r="H491">
            <v>460636.8</v>
          </cell>
          <cell r="I491">
            <v>397252.9</v>
          </cell>
          <cell r="K491">
            <v>90575.5</v>
          </cell>
          <cell r="L491">
            <v>10807671.199999999</v>
          </cell>
          <cell r="N491">
            <v>10807671.199999999</v>
          </cell>
          <cell r="O491">
            <v>10807671.199999999</v>
          </cell>
          <cell r="AP491">
            <v>0</v>
          </cell>
        </row>
        <row r="492">
          <cell r="C492">
            <v>6381624.7199999997</v>
          </cell>
          <cell r="D492">
            <v>-469649.24</v>
          </cell>
          <cell r="E492">
            <v>5911975.4800000004</v>
          </cell>
          <cell r="F492">
            <v>124669.78</v>
          </cell>
          <cell r="G492">
            <v>378886.74</v>
          </cell>
          <cell r="H492">
            <v>230318.4</v>
          </cell>
          <cell r="I492">
            <v>198626.45</v>
          </cell>
          <cell r="K492">
            <v>45287.75</v>
          </cell>
          <cell r="L492">
            <v>5403835.5999999996</v>
          </cell>
          <cell r="N492">
            <v>5403835.5999999996</v>
          </cell>
          <cell r="O492">
            <v>5403835.5999999996</v>
          </cell>
          <cell r="AP492">
            <v>0</v>
          </cell>
        </row>
        <row r="493">
          <cell r="C493">
            <v>0</v>
          </cell>
          <cell r="E493">
            <v>0</v>
          </cell>
          <cell r="L493">
            <v>0</v>
          </cell>
          <cell r="N493">
            <v>0</v>
          </cell>
          <cell r="AP493">
            <v>0</v>
          </cell>
        </row>
        <row r="494">
          <cell r="C494">
            <v>19144874.16</v>
          </cell>
          <cell r="D494">
            <v>-1408947.72</v>
          </cell>
          <cell r="E494">
            <v>17735926.440000001</v>
          </cell>
          <cell r="F494">
            <v>374009.34</v>
          </cell>
          <cell r="G494">
            <v>1136660.22</v>
          </cell>
          <cell r="H494">
            <v>690955.2</v>
          </cell>
          <cell r="I494">
            <v>595879.35</v>
          </cell>
          <cell r="J494">
            <v>0</v>
          </cell>
          <cell r="K494">
            <v>135863.25</v>
          </cell>
          <cell r="L494">
            <v>16211506.800000001</v>
          </cell>
          <cell r="N494">
            <v>16211506.800000001</v>
          </cell>
          <cell r="O494">
            <v>16211506.800000001</v>
          </cell>
          <cell r="P494">
            <v>0</v>
          </cell>
          <cell r="Q494">
            <v>0</v>
          </cell>
          <cell r="R494">
            <v>0</v>
          </cell>
          <cell r="S494">
            <v>0</v>
          </cell>
          <cell r="T494">
            <v>0</v>
          </cell>
          <cell r="U494">
            <v>0</v>
          </cell>
          <cell r="V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row>
        <row r="495">
          <cell r="C495">
            <v>8480863.9399999995</v>
          </cell>
          <cell r="E495">
            <v>8480863.9399999995</v>
          </cell>
          <cell r="F495">
            <v>221643.89</v>
          </cell>
          <cell r="G495">
            <v>296336.09999999998</v>
          </cell>
          <cell r="H495">
            <v>832173.06</v>
          </cell>
          <cell r="I495">
            <v>462809.21</v>
          </cell>
          <cell r="J495">
            <v>3869.85</v>
          </cell>
          <cell r="K495">
            <v>199314.65</v>
          </cell>
          <cell r="L495">
            <v>6464717.1799999997</v>
          </cell>
          <cell r="N495">
            <v>6464717.1799999997</v>
          </cell>
          <cell r="O495">
            <v>6464717.1799999997</v>
          </cell>
          <cell r="P495">
            <v>0</v>
          </cell>
          <cell r="AP495">
            <v>0</v>
          </cell>
        </row>
        <row r="496">
          <cell r="C496">
            <v>4240431.97</v>
          </cell>
          <cell r="E496">
            <v>4240431.97</v>
          </cell>
          <cell r="F496">
            <v>110821.95</v>
          </cell>
          <cell r="G496">
            <v>148168.04999999999</v>
          </cell>
          <cell r="H496">
            <v>416086.52</v>
          </cell>
          <cell r="I496">
            <v>231404.6</v>
          </cell>
          <cell r="J496">
            <v>1934.93</v>
          </cell>
          <cell r="K496">
            <v>99657.32</v>
          </cell>
          <cell r="L496">
            <v>3232358.6</v>
          </cell>
          <cell r="N496">
            <v>3232358.6</v>
          </cell>
          <cell r="O496">
            <v>3232358.6</v>
          </cell>
          <cell r="P496">
            <v>0</v>
          </cell>
          <cell r="AP496">
            <v>0</v>
          </cell>
        </row>
        <row r="497">
          <cell r="C497">
            <v>0</v>
          </cell>
          <cell r="E497">
            <v>0</v>
          </cell>
          <cell r="L497">
            <v>0</v>
          </cell>
          <cell r="N497">
            <v>0</v>
          </cell>
          <cell r="AP497">
            <v>0</v>
          </cell>
        </row>
        <row r="498">
          <cell r="C498">
            <v>12721295.91</v>
          </cell>
          <cell r="D498">
            <v>0</v>
          </cell>
          <cell r="E498">
            <v>12721295.91</v>
          </cell>
          <cell r="F498">
            <v>332465.84000000003</v>
          </cell>
          <cell r="G498">
            <v>444504.15</v>
          </cell>
          <cell r="H498">
            <v>1248259.58</v>
          </cell>
          <cell r="I498">
            <v>694213.81</v>
          </cell>
          <cell r="J498">
            <v>5804.78</v>
          </cell>
          <cell r="K498">
            <v>298971.96999999997</v>
          </cell>
          <cell r="L498">
            <v>9697075.7799999993</v>
          </cell>
          <cell r="N498">
            <v>9697075.7799999993</v>
          </cell>
          <cell r="O498">
            <v>9697075.7799999993</v>
          </cell>
          <cell r="P498">
            <v>0</v>
          </cell>
          <cell r="Q498">
            <v>0</v>
          </cell>
          <cell r="R498">
            <v>0</v>
          </cell>
          <cell r="S498">
            <v>0</v>
          </cell>
          <cell r="T498">
            <v>0</v>
          </cell>
          <cell r="U498">
            <v>0</v>
          </cell>
          <cell r="V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row>
        <row r="499">
          <cell r="C499">
            <v>0</v>
          </cell>
          <cell r="E499">
            <v>0</v>
          </cell>
          <cell r="L499">
            <v>0</v>
          </cell>
          <cell r="N499">
            <v>0</v>
          </cell>
          <cell r="AP499">
            <v>0</v>
          </cell>
        </row>
        <row r="500">
          <cell r="C500">
            <v>0</v>
          </cell>
          <cell r="E500">
            <v>0</v>
          </cell>
          <cell r="L500">
            <v>0</v>
          </cell>
          <cell r="N500">
            <v>0</v>
          </cell>
          <cell r="AP500">
            <v>0</v>
          </cell>
        </row>
        <row r="501">
          <cell r="C501">
            <v>0</v>
          </cell>
          <cell r="E501">
            <v>0</v>
          </cell>
          <cell r="L501">
            <v>0</v>
          </cell>
          <cell r="N501">
            <v>0</v>
          </cell>
          <cell r="AP501">
            <v>0</v>
          </cell>
        </row>
        <row r="502">
          <cell r="C502">
            <v>0</v>
          </cell>
          <cell r="D502">
            <v>0</v>
          </cell>
          <cell r="E502">
            <v>0</v>
          </cell>
          <cell r="F502">
            <v>0</v>
          </cell>
          <cell r="G502">
            <v>0</v>
          </cell>
          <cell r="H502">
            <v>0</v>
          </cell>
          <cell r="I502">
            <v>0</v>
          </cell>
          <cell r="J502">
            <v>0</v>
          </cell>
          <cell r="K502">
            <v>0</v>
          </cell>
          <cell r="L502">
            <v>0</v>
          </cell>
          <cell r="N502">
            <v>0</v>
          </cell>
          <cell r="O502">
            <v>0</v>
          </cell>
          <cell r="P502">
            <v>0</v>
          </cell>
          <cell r="Q502">
            <v>0</v>
          </cell>
          <cell r="R502">
            <v>0</v>
          </cell>
          <cell r="S502">
            <v>0</v>
          </cell>
          <cell r="T502">
            <v>0</v>
          </cell>
          <cell r="U502">
            <v>0</v>
          </cell>
          <cell r="V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row>
        <row r="503">
          <cell r="C503">
            <v>21244113.379999999</v>
          </cell>
          <cell r="D503">
            <v>-939298.48</v>
          </cell>
          <cell r="E503">
            <v>20304814.899999999</v>
          </cell>
          <cell r="F503">
            <v>470983.45</v>
          </cell>
          <cell r="G503">
            <v>1054109.58</v>
          </cell>
          <cell r="H503">
            <v>1292809.8600000001</v>
          </cell>
          <cell r="I503">
            <v>860062.11</v>
          </cell>
          <cell r="J503">
            <v>3869.85</v>
          </cell>
          <cell r="K503">
            <v>289890.15000000002</v>
          </cell>
          <cell r="L503">
            <v>17272388.379999999</v>
          </cell>
          <cell r="M503">
            <v>0</v>
          </cell>
          <cell r="N503">
            <v>17272388.379999999</v>
          </cell>
          <cell r="O503">
            <v>17272388.379999999</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row>
        <row r="504">
          <cell r="C504">
            <v>10622056.689999999</v>
          </cell>
          <cell r="D504">
            <v>-469649.24</v>
          </cell>
          <cell r="E504">
            <v>10152407.449999999</v>
          </cell>
          <cell r="F504">
            <v>235491.73</v>
          </cell>
          <cell r="G504">
            <v>527054.79</v>
          </cell>
          <cell r="H504">
            <v>646404.92000000004</v>
          </cell>
          <cell r="I504">
            <v>430031.05</v>
          </cell>
          <cell r="J504">
            <v>1934.93</v>
          </cell>
          <cell r="K504">
            <v>144945.07</v>
          </cell>
          <cell r="L504">
            <v>8636194.1999999993</v>
          </cell>
          <cell r="M504">
            <v>0</v>
          </cell>
          <cell r="N504">
            <v>8636194.1999999993</v>
          </cell>
          <cell r="O504">
            <v>8636194.1999999993</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row>
        <row r="505">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row>
        <row r="506">
          <cell r="C506">
            <v>31866170.07</v>
          </cell>
          <cell r="D506">
            <v>-1408947.72</v>
          </cell>
          <cell r="E506">
            <v>30457222.350000001</v>
          </cell>
          <cell r="F506">
            <v>706475.18</v>
          </cell>
          <cell r="G506">
            <v>1581164.37</v>
          </cell>
          <cell r="H506">
            <v>1939214.78</v>
          </cell>
          <cell r="I506">
            <v>1290093.1599999999</v>
          </cell>
          <cell r="J506">
            <v>5804.78</v>
          </cell>
          <cell r="K506">
            <v>434835.22</v>
          </cell>
          <cell r="L506">
            <v>25908582.579999998</v>
          </cell>
          <cell r="N506">
            <v>25908582.579999998</v>
          </cell>
          <cell r="O506">
            <v>25908582.579999998</v>
          </cell>
          <cell r="P506">
            <v>0</v>
          </cell>
          <cell r="Q506">
            <v>0</v>
          </cell>
          <cell r="R506">
            <v>0</v>
          </cell>
          <cell r="S506">
            <v>0</v>
          </cell>
          <cell r="T506">
            <v>0</v>
          </cell>
          <cell r="U506">
            <v>0</v>
          </cell>
          <cell r="V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row>
        <row r="507">
          <cell r="C507">
            <v>0</v>
          </cell>
          <cell r="E507">
            <v>0</v>
          </cell>
          <cell r="L507">
            <v>0</v>
          </cell>
          <cell r="N507">
            <v>0</v>
          </cell>
        </row>
        <row r="508">
          <cell r="C508">
            <v>0</v>
          </cell>
          <cell r="E508">
            <v>0</v>
          </cell>
          <cell r="L508">
            <v>0</v>
          </cell>
          <cell r="N508">
            <v>0</v>
          </cell>
        </row>
        <row r="509">
          <cell r="C509">
            <v>497113176.43000001</v>
          </cell>
          <cell r="E509">
            <v>497113176.43000001</v>
          </cell>
          <cell r="L509">
            <v>497113176.43000001</v>
          </cell>
          <cell r="N509">
            <v>497113176.43000001</v>
          </cell>
          <cell r="O509">
            <v>497113176.43000001</v>
          </cell>
          <cell r="AP509">
            <v>0</v>
          </cell>
        </row>
        <row r="510">
          <cell r="C510">
            <v>3951501835.9699998</v>
          </cell>
          <cell r="D510">
            <v>-31321571.02</v>
          </cell>
          <cell r="E510">
            <v>3920180264.9499998</v>
          </cell>
          <cell r="F510">
            <v>102706002.48999999</v>
          </cell>
          <cell r="G510">
            <v>147526638.13999999</v>
          </cell>
          <cell r="H510">
            <v>146621969.88999999</v>
          </cell>
          <cell r="I510">
            <v>161249031.81999999</v>
          </cell>
          <cell r="J510">
            <v>115031268.23</v>
          </cell>
          <cell r="K510">
            <v>121654337.63</v>
          </cell>
          <cell r="L510">
            <v>3270368177.1799998</v>
          </cell>
          <cell r="M510">
            <v>-113655589.41</v>
          </cell>
          <cell r="N510">
            <v>3156712587.77</v>
          </cell>
          <cell r="P510">
            <v>169726819.22</v>
          </cell>
          <cell r="Q510">
            <v>202086659.63</v>
          </cell>
          <cell r="R510">
            <v>142342255.97999999</v>
          </cell>
          <cell r="S510">
            <v>52045799.219999999</v>
          </cell>
          <cell r="T510">
            <v>33695738.899999999</v>
          </cell>
          <cell r="U510">
            <v>33996963.619999997</v>
          </cell>
          <cell r="V510">
            <v>68570332.890000001</v>
          </cell>
          <cell r="W510">
            <v>44647588.899999999</v>
          </cell>
          <cell r="X510">
            <v>109783787.65000001</v>
          </cell>
          <cell r="Y510">
            <v>103724175.87</v>
          </cell>
          <cell r="Z510">
            <v>114710938.62</v>
          </cell>
          <cell r="AA510">
            <v>91053147.969999999</v>
          </cell>
          <cell r="AB510">
            <v>104344382.34</v>
          </cell>
          <cell r="AC510">
            <v>120035171.90000001</v>
          </cell>
          <cell r="AD510">
            <v>43850663.600000001</v>
          </cell>
          <cell r="AE510">
            <v>201711636.08000001</v>
          </cell>
          <cell r="AF510">
            <v>69021128.510000005</v>
          </cell>
          <cell r="AG510">
            <v>140129695.46000001</v>
          </cell>
          <cell r="AH510">
            <v>11260889.119999999</v>
          </cell>
          <cell r="AI510">
            <v>155071226.46000001</v>
          </cell>
          <cell r="AJ510">
            <v>165649448.96000001</v>
          </cell>
          <cell r="AK510">
            <v>87706763.140000001</v>
          </cell>
          <cell r="AL510">
            <v>86910149.579999998</v>
          </cell>
          <cell r="AM510">
            <v>9466077.6799999997</v>
          </cell>
          <cell r="AN510">
            <v>113708226.54000001</v>
          </cell>
          <cell r="AO510">
            <v>81889477.379999995</v>
          </cell>
          <cell r="AP510">
            <v>132942284.8</v>
          </cell>
          <cell r="AQ510">
            <v>108292808.83</v>
          </cell>
          <cell r="AR510">
            <v>49514451.049999997</v>
          </cell>
          <cell r="AS510">
            <v>61694995.600000001</v>
          </cell>
          <cell r="AT510">
            <v>81491409.829999998</v>
          </cell>
          <cell r="AU510">
            <v>77535528.819999993</v>
          </cell>
          <cell r="AV510">
            <v>64608299.509999998</v>
          </cell>
          <cell r="AW510">
            <v>91206410.269999996</v>
          </cell>
          <cell r="AX510">
            <v>37498549.979999997</v>
          </cell>
          <cell r="AY510">
            <v>8444293.2699999996</v>
          </cell>
        </row>
        <row r="511">
          <cell r="C511">
            <v>3287012465.71</v>
          </cell>
          <cell r="D511">
            <v>-31321571.02</v>
          </cell>
          <cell r="E511">
            <v>3255690894.6900001</v>
          </cell>
          <cell r="F511">
            <v>83280827.5</v>
          </cell>
          <cell r="G511">
            <v>114262789.36</v>
          </cell>
          <cell r="H511">
            <v>119676934.58</v>
          </cell>
          <cell r="I511">
            <v>113221245.09</v>
          </cell>
          <cell r="J511">
            <v>96515980.049999997</v>
          </cell>
          <cell r="K511">
            <v>100374220.59</v>
          </cell>
          <cell r="L511">
            <v>2773336057.9499998</v>
          </cell>
          <cell r="M511">
            <v>-113655589.41</v>
          </cell>
          <cell r="N511">
            <v>2659680468.54</v>
          </cell>
          <cell r="O511">
            <v>86887689.739999995</v>
          </cell>
          <cell r="P511">
            <v>169726819.22</v>
          </cell>
          <cell r="Q511">
            <v>174388517.99000001</v>
          </cell>
          <cell r="R511">
            <v>127325797.16</v>
          </cell>
          <cell r="S511">
            <v>48561685.210000001</v>
          </cell>
          <cell r="T511">
            <v>28577997.16</v>
          </cell>
          <cell r="U511">
            <v>26491354.579999998</v>
          </cell>
          <cell r="V511">
            <v>58849484.759999998</v>
          </cell>
          <cell r="W511">
            <v>36988046.049999997</v>
          </cell>
          <cell r="X511">
            <v>88168144.120000005</v>
          </cell>
          <cell r="Y511">
            <v>79911732.599999994</v>
          </cell>
          <cell r="Z511">
            <v>85777932.870000005</v>
          </cell>
          <cell r="AA511">
            <v>73212721.590000004</v>
          </cell>
          <cell r="AB511">
            <v>87137520.569999993</v>
          </cell>
          <cell r="AC511">
            <v>99336480.629999995</v>
          </cell>
          <cell r="AD511">
            <v>36858817.640000001</v>
          </cell>
          <cell r="AE511">
            <v>167916270.72999999</v>
          </cell>
          <cell r="AF511">
            <v>63888145.490000002</v>
          </cell>
          <cell r="AG511">
            <v>103677092.09</v>
          </cell>
          <cell r="AH511">
            <v>10001271.18</v>
          </cell>
          <cell r="AI511">
            <v>129216107.2</v>
          </cell>
          <cell r="AJ511">
            <v>134117244.79000001</v>
          </cell>
          <cell r="AK511">
            <v>62572549.630000003</v>
          </cell>
          <cell r="AL511">
            <v>73720730.790000007</v>
          </cell>
          <cell r="AM511">
            <v>9125842.7100000009</v>
          </cell>
          <cell r="AN511">
            <v>92569260.849999994</v>
          </cell>
          <cell r="AO511">
            <v>62378658.240000002</v>
          </cell>
          <cell r="AP511">
            <v>105253080.97</v>
          </cell>
          <cell r="AQ511">
            <v>88880107.620000005</v>
          </cell>
          <cell r="AR511">
            <v>40605049.189999998</v>
          </cell>
          <cell r="AS511">
            <v>50967766.149999999</v>
          </cell>
          <cell r="AT511">
            <v>54365022.549999997</v>
          </cell>
          <cell r="AU511">
            <v>52254124.32</v>
          </cell>
          <cell r="AV511">
            <v>50440396.109999999</v>
          </cell>
          <cell r="AW511">
            <v>74165477.980000004</v>
          </cell>
          <cell r="AX511">
            <v>34096450.530000001</v>
          </cell>
          <cell r="AY511">
            <v>4924666.9400000004</v>
          </cell>
        </row>
        <row r="512">
          <cell r="C512">
            <v>0</v>
          </cell>
          <cell r="E512">
            <v>0</v>
          </cell>
          <cell r="H512">
            <v>0</v>
          </cell>
          <cell r="L512">
            <v>0</v>
          </cell>
          <cell r="N512">
            <v>0</v>
          </cell>
          <cell r="U512">
            <v>0</v>
          </cell>
          <cell r="AP512">
            <v>0</v>
          </cell>
        </row>
        <row r="513">
          <cell r="C513">
            <v>1068037129.9400001</v>
          </cell>
          <cell r="E513">
            <v>1068037129.9400001</v>
          </cell>
          <cell r="F513">
            <v>17210144.09</v>
          </cell>
          <cell r="G513">
            <v>30552914.010000002</v>
          </cell>
          <cell r="H513">
            <v>24844164.890000001</v>
          </cell>
          <cell r="I513">
            <v>46098316.369999997</v>
          </cell>
          <cell r="J513">
            <v>18515288.18</v>
          </cell>
          <cell r="K513">
            <v>12643384.630000001</v>
          </cell>
          <cell r="L513">
            <v>918172917.76999998</v>
          </cell>
          <cell r="N513">
            <v>918172917.76999998</v>
          </cell>
          <cell r="O513">
            <v>404746261.18000001</v>
          </cell>
          <cell r="Q513">
            <v>22639663.399999999</v>
          </cell>
          <cell r="R513">
            <v>14656641.550000001</v>
          </cell>
          <cell r="S513">
            <v>3350766.91</v>
          </cell>
          <cell r="T513">
            <v>5117741.74</v>
          </cell>
          <cell r="U513">
            <v>5833141.6600000001</v>
          </cell>
          <cell r="V513">
            <v>8893022.3900000006</v>
          </cell>
          <cell r="W513">
            <v>6989390.6399999997</v>
          </cell>
          <cell r="X513">
            <v>19929686.399999999</v>
          </cell>
          <cell r="Y513">
            <v>23056142.27</v>
          </cell>
          <cell r="Z513">
            <v>26845970.16</v>
          </cell>
          <cell r="AA513">
            <v>17146165.379999999</v>
          </cell>
          <cell r="AB513">
            <v>17206861.77</v>
          </cell>
          <cell r="AC513">
            <v>20698691.27</v>
          </cell>
          <cell r="AD513">
            <v>3537527.81</v>
          </cell>
          <cell r="AE513">
            <v>25853642.649999999</v>
          </cell>
          <cell r="AF513">
            <v>5527326.4000000004</v>
          </cell>
          <cell r="AG513">
            <v>34152412.689999998</v>
          </cell>
          <cell r="AH513">
            <v>1259617.94</v>
          </cell>
          <cell r="AI513">
            <v>19213230.98</v>
          </cell>
          <cell r="AJ513">
            <v>23301118.84</v>
          </cell>
          <cell r="AK513">
            <v>20668404.690000001</v>
          </cell>
          <cell r="AL513">
            <v>12650550.390000001</v>
          </cell>
          <cell r="AM513">
            <v>340234.97</v>
          </cell>
          <cell r="AN513">
            <v>19805591.620000001</v>
          </cell>
          <cell r="AO513">
            <v>19133367.93</v>
          </cell>
          <cell r="AP513">
            <v>25055499.039999999</v>
          </cell>
          <cell r="AQ513">
            <v>13444015.619999999</v>
          </cell>
          <cell r="AR513">
            <v>6047187.71</v>
          </cell>
          <cell r="AS513">
            <v>6510602.7300000004</v>
          </cell>
          <cell r="AT513">
            <v>26253848.559999999</v>
          </cell>
          <cell r="AU513">
            <v>23297641.629999999</v>
          </cell>
          <cell r="AV513">
            <v>12160745.529999999</v>
          </cell>
          <cell r="AW513">
            <v>16102949.720000001</v>
          </cell>
          <cell r="AX513">
            <v>3276080.47</v>
          </cell>
          <cell r="AY513">
            <v>3471173.13</v>
          </cell>
        </row>
        <row r="514">
          <cell r="C514">
            <v>93565416.75</v>
          </cell>
          <cell r="E514">
            <v>93565416.75</v>
          </cell>
          <cell r="F514">
            <v>2215030.9</v>
          </cell>
          <cell r="G514">
            <v>2710934.77</v>
          </cell>
          <cell r="H514">
            <v>2100870.42</v>
          </cell>
          <cell r="I514">
            <v>1929470.36</v>
          </cell>
          <cell r="K514">
            <v>8636732.4100000001</v>
          </cell>
          <cell r="L514">
            <v>75972377.890000001</v>
          </cell>
          <cell r="N514">
            <v>75972377.890000001</v>
          </cell>
          <cell r="O514">
            <v>5479225.5099999998</v>
          </cell>
          <cell r="Q514">
            <v>5058478.24</v>
          </cell>
          <cell r="R514">
            <v>359817.27</v>
          </cell>
          <cell r="S514">
            <v>133347.1</v>
          </cell>
          <cell r="U514">
            <v>1672467.38</v>
          </cell>
          <cell r="V514">
            <v>827825.74</v>
          </cell>
          <cell r="W514">
            <v>670152.21</v>
          </cell>
          <cell r="X514">
            <v>1685957.13</v>
          </cell>
          <cell r="Y514">
            <v>756301</v>
          </cell>
          <cell r="Z514">
            <v>2087035.59</v>
          </cell>
          <cell r="AA514">
            <v>694261</v>
          </cell>
          <cell r="AD514">
            <v>3454318.15</v>
          </cell>
          <cell r="AE514">
            <v>7941722.7000000002</v>
          </cell>
          <cell r="AF514">
            <v>-394343.38</v>
          </cell>
          <cell r="AG514">
            <v>2300190.6800000002</v>
          </cell>
          <cell r="AH514">
            <v>0</v>
          </cell>
          <cell r="AI514">
            <v>6641888.2800000003</v>
          </cell>
          <cell r="AJ514">
            <v>8231085.3300000001</v>
          </cell>
          <cell r="AK514">
            <v>4465808.82</v>
          </cell>
          <cell r="AL514">
            <v>538868.4</v>
          </cell>
          <cell r="AM514">
            <v>0</v>
          </cell>
          <cell r="AN514">
            <v>1333374.07</v>
          </cell>
          <cell r="AO514">
            <v>377451.21</v>
          </cell>
          <cell r="AP514">
            <v>2633704.79</v>
          </cell>
          <cell r="AQ514">
            <v>5968685.5899999999</v>
          </cell>
          <cell r="AR514">
            <v>2862214.15</v>
          </cell>
          <cell r="AS514">
            <v>4216626.72</v>
          </cell>
          <cell r="AT514">
            <v>872538.72</v>
          </cell>
          <cell r="AU514">
            <v>1983762.87</v>
          </cell>
          <cell r="AV514">
            <v>2007157.87</v>
          </cell>
          <cell r="AW514">
            <v>937982.57</v>
          </cell>
          <cell r="AX514">
            <v>126018.98</v>
          </cell>
          <cell r="AY514">
            <v>48453.2</v>
          </cell>
        </row>
        <row r="515">
          <cell r="C515">
            <v>0</v>
          </cell>
          <cell r="E515">
            <v>0</v>
          </cell>
          <cell r="L515">
            <v>0</v>
          </cell>
          <cell r="N515">
            <v>0</v>
          </cell>
          <cell r="AP515">
            <v>0</v>
          </cell>
        </row>
        <row r="516">
          <cell r="C516">
            <v>4448615012.3999996</v>
          </cell>
          <cell r="D516">
            <v>-31321571.02</v>
          </cell>
          <cell r="E516">
            <v>4417293441.3800001</v>
          </cell>
          <cell r="F516">
            <v>102706002.48999999</v>
          </cell>
          <cell r="G516">
            <v>147526638.13999999</v>
          </cell>
          <cell r="H516">
            <v>146621969.88999999</v>
          </cell>
          <cell r="I516">
            <v>161249031.81999999</v>
          </cell>
          <cell r="J516">
            <v>115031268.23</v>
          </cell>
          <cell r="K516">
            <v>121654337.63</v>
          </cell>
          <cell r="L516">
            <v>3767481353.6100001</v>
          </cell>
          <cell r="M516">
            <v>-113655589.41</v>
          </cell>
          <cell r="N516">
            <v>3653825764.1999998</v>
          </cell>
          <cell r="O516">
            <v>497113176.43000001</v>
          </cell>
          <cell r="P516">
            <v>169726819.22</v>
          </cell>
          <cell r="Q516">
            <v>202086659.63</v>
          </cell>
          <cell r="R516">
            <v>142342255.97999999</v>
          </cell>
          <cell r="S516">
            <v>52045799.219999999</v>
          </cell>
          <cell r="T516">
            <v>33695738.899999999</v>
          </cell>
          <cell r="U516">
            <v>33996963.619999997</v>
          </cell>
          <cell r="V516">
            <v>68570332.890000001</v>
          </cell>
          <cell r="W516">
            <v>44647588.899999999</v>
          </cell>
          <cell r="X516">
            <v>109783787.65000001</v>
          </cell>
          <cell r="Y516">
            <v>103724175.87</v>
          </cell>
          <cell r="Z516">
            <v>114710938.62</v>
          </cell>
          <cell r="AA516">
            <v>91053147.969999999</v>
          </cell>
          <cell r="AB516">
            <v>104344382.34</v>
          </cell>
          <cell r="AC516">
            <v>120035171.90000001</v>
          </cell>
          <cell r="AD516">
            <v>43850663.600000001</v>
          </cell>
          <cell r="AE516">
            <v>201711636.08000001</v>
          </cell>
          <cell r="AF516">
            <v>69021128.510000005</v>
          </cell>
          <cell r="AG516">
            <v>140129695.46000001</v>
          </cell>
          <cell r="AH516">
            <v>11260889.119999999</v>
          </cell>
          <cell r="AI516">
            <v>155071226.46000001</v>
          </cell>
          <cell r="AJ516">
            <v>165649448.96000001</v>
          </cell>
          <cell r="AK516">
            <v>87706763.140000001</v>
          </cell>
          <cell r="AL516">
            <v>86910149.579999998</v>
          </cell>
          <cell r="AM516">
            <v>9466077.6799999997</v>
          </cell>
          <cell r="AN516">
            <v>113708226.54000001</v>
          </cell>
          <cell r="AO516">
            <v>81889477.379999995</v>
          </cell>
          <cell r="AP516">
            <v>132942284.8</v>
          </cell>
          <cell r="AQ516">
            <v>108292808.83</v>
          </cell>
          <cell r="AR516">
            <v>49514451.049999997</v>
          </cell>
          <cell r="AS516">
            <v>61694995.600000001</v>
          </cell>
          <cell r="AT516">
            <v>81491409.829999998</v>
          </cell>
          <cell r="AU516">
            <v>77535528.819999993</v>
          </cell>
          <cell r="AV516">
            <v>64608299.509999998</v>
          </cell>
          <cell r="AW516">
            <v>91206410.269999996</v>
          </cell>
          <cell r="AX516">
            <v>37498549.979999997</v>
          </cell>
          <cell r="AY516">
            <v>8444293.2699999996</v>
          </cell>
        </row>
        <row r="517">
          <cell r="C517">
            <v>1100813260.46</v>
          </cell>
          <cell r="E517">
            <v>1100813260.46</v>
          </cell>
          <cell r="L517">
            <v>1100813260.46</v>
          </cell>
          <cell r="N517">
            <v>1100813260.46</v>
          </cell>
          <cell r="O517">
            <v>497113176.43000001</v>
          </cell>
          <cell r="P517">
            <v>169726819.22</v>
          </cell>
          <cell r="Q517">
            <v>202086659.63</v>
          </cell>
          <cell r="R517">
            <v>142342255.97999999</v>
          </cell>
          <cell r="S517">
            <v>52045799.219999999</v>
          </cell>
          <cell r="AX517">
            <v>37498549.979999997</v>
          </cell>
        </row>
        <row r="518">
          <cell r="C518">
            <v>33695738.899999999</v>
          </cell>
          <cell r="E518">
            <v>33695738.899999999</v>
          </cell>
          <cell r="L518">
            <v>33695738.899999999</v>
          </cell>
          <cell r="N518">
            <v>33695738.899999999</v>
          </cell>
          <cell r="T518">
            <v>33695738.899999999</v>
          </cell>
        </row>
        <row r="519">
          <cell r="C519">
            <v>33996963.619999997</v>
          </cell>
          <cell r="E519">
            <v>33996963.619999997</v>
          </cell>
          <cell r="L519">
            <v>33996963.619999997</v>
          </cell>
          <cell r="N519">
            <v>33996963.619999997</v>
          </cell>
          <cell r="U519">
            <v>33996963.619999997</v>
          </cell>
        </row>
        <row r="520">
          <cell r="C520">
            <v>260744559.93000001</v>
          </cell>
          <cell r="E520">
            <v>260744559.93000001</v>
          </cell>
          <cell r="G520">
            <v>147526638.13999999</v>
          </cell>
          <cell r="L520">
            <v>113217921.79000001</v>
          </cell>
          <cell r="N520">
            <v>113217921.79000001</v>
          </cell>
          <cell r="V520">
            <v>68570332.890000001</v>
          </cell>
          <cell r="W520">
            <v>44647588.899999999</v>
          </cell>
        </row>
        <row r="521">
          <cell r="C521">
            <v>146621969.88999999</v>
          </cell>
          <cell r="E521">
            <v>146621969.88999999</v>
          </cell>
          <cell r="H521">
            <v>146621969.88999999</v>
          </cell>
          <cell r="L521">
            <v>0</v>
          </cell>
          <cell r="N521">
            <v>0</v>
          </cell>
        </row>
        <row r="522">
          <cell r="C522">
            <v>109783787.65000001</v>
          </cell>
          <cell r="E522">
            <v>109783787.65000001</v>
          </cell>
          <cell r="L522">
            <v>109783787.65000001</v>
          </cell>
          <cell r="N522">
            <v>109783787.65000001</v>
          </cell>
          <cell r="X522">
            <v>109783787.65000001</v>
          </cell>
        </row>
        <row r="523">
          <cell r="C523">
            <v>194777323.84</v>
          </cell>
          <cell r="E523">
            <v>194777323.84</v>
          </cell>
          <cell r="L523">
            <v>194777323.84</v>
          </cell>
          <cell r="N523">
            <v>194777323.84</v>
          </cell>
          <cell r="Y523">
            <v>103724175.87</v>
          </cell>
          <cell r="AA523">
            <v>91053147.969999999</v>
          </cell>
        </row>
        <row r="524">
          <cell r="C524">
            <v>395995142.33999997</v>
          </cell>
          <cell r="E524">
            <v>395995142.33999997</v>
          </cell>
          <cell r="I524">
            <v>161249031.81999999</v>
          </cell>
          <cell r="L524">
            <v>234746110.52000001</v>
          </cell>
          <cell r="N524">
            <v>234746110.52000001</v>
          </cell>
          <cell r="Z524">
            <v>114710938.62</v>
          </cell>
          <cell r="AC524">
            <v>120035171.90000001</v>
          </cell>
        </row>
        <row r="525">
          <cell r="C525">
            <v>310582060.83999997</v>
          </cell>
          <cell r="E525">
            <v>310582060.83999997</v>
          </cell>
          <cell r="J525">
            <v>115031268.23</v>
          </cell>
          <cell r="L525">
            <v>195550792.61000001</v>
          </cell>
          <cell r="N525">
            <v>195550792.61000001</v>
          </cell>
          <cell r="AB525">
            <v>104344382.34</v>
          </cell>
          <cell r="AW525">
            <v>91206410.269999996</v>
          </cell>
        </row>
        <row r="526">
          <cell r="C526">
            <v>392387102.22000003</v>
          </cell>
          <cell r="E526">
            <v>392387102.22000003</v>
          </cell>
          <cell r="K526">
            <v>121654337.63</v>
          </cell>
          <cell r="L526">
            <v>270732764.58999997</v>
          </cell>
          <cell r="N526">
            <v>270732764.58999997</v>
          </cell>
          <cell r="AE526">
            <v>201711636.08000001</v>
          </cell>
          <cell r="AF526">
            <v>69021128.510000005</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row>
        <row r="527">
          <cell r="C527">
            <v>456993630.20999998</v>
          </cell>
          <cell r="E527">
            <v>456993630.20999998</v>
          </cell>
          <cell r="F527">
            <v>102706002.48999999</v>
          </cell>
          <cell r="L527">
            <v>354287627.72000003</v>
          </cell>
          <cell r="N527">
            <v>354287627.72000003</v>
          </cell>
          <cell r="AH527">
            <v>11260889.119999999</v>
          </cell>
          <cell r="AL527">
            <v>86910149.579999998</v>
          </cell>
          <cell r="AM527">
            <v>9466077.6799999997</v>
          </cell>
          <cell r="AN527">
            <v>113708226.54000001</v>
          </cell>
          <cell r="AP527">
            <v>132942284.8</v>
          </cell>
        </row>
        <row r="528">
          <cell r="C528">
            <v>81889477.379999995</v>
          </cell>
          <cell r="E528">
            <v>81889477.379999995</v>
          </cell>
          <cell r="L528">
            <v>81889477.379999995</v>
          </cell>
          <cell r="N528">
            <v>81889477.379999995</v>
          </cell>
          <cell r="AO528">
            <v>81889477.379999995</v>
          </cell>
        </row>
        <row r="529">
          <cell r="C529">
            <v>219502255.47999999</v>
          </cell>
          <cell r="E529">
            <v>219502255.47999999</v>
          </cell>
          <cell r="L529">
            <v>219502255.47999999</v>
          </cell>
          <cell r="N529">
            <v>219502255.47999999</v>
          </cell>
          <cell r="AQ529">
            <v>108292808.83</v>
          </cell>
          <cell r="AR529">
            <v>49514451.049999997</v>
          </cell>
          <cell r="AS529">
            <v>61694995.600000001</v>
          </cell>
        </row>
        <row r="530">
          <cell r="C530">
            <v>320720675.42000002</v>
          </cell>
          <cell r="E530">
            <v>320720675.42000002</v>
          </cell>
          <cell r="L530">
            <v>320720675.42000002</v>
          </cell>
          <cell r="N530">
            <v>320720675.42000002</v>
          </cell>
          <cell r="AI530">
            <v>155071226.46000001</v>
          </cell>
          <cell r="AJ530">
            <v>165649448.96000001</v>
          </cell>
        </row>
        <row r="531">
          <cell r="C531">
            <v>87706763.140000001</v>
          </cell>
          <cell r="E531">
            <v>87706763.140000001</v>
          </cell>
          <cell r="L531">
            <v>87706763.140000001</v>
          </cell>
          <cell r="N531">
            <v>87706763.140000001</v>
          </cell>
          <cell r="AK531">
            <v>87706763.140000001</v>
          </cell>
        </row>
        <row r="532">
          <cell r="C532">
            <v>140129695.46000001</v>
          </cell>
          <cell r="E532">
            <v>140129695.46000001</v>
          </cell>
          <cell r="L532">
            <v>140129695.46000001</v>
          </cell>
          <cell r="N532">
            <v>140129695.46000001</v>
          </cell>
          <cell r="AG532">
            <v>140129695.46000001</v>
          </cell>
        </row>
        <row r="533">
          <cell r="C533">
            <v>43850663.600000001</v>
          </cell>
          <cell r="E533">
            <v>43850663.600000001</v>
          </cell>
          <cell r="L533">
            <v>43850663.600000001</v>
          </cell>
          <cell r="N533">
            <v>43850663.600000001</v>
          </cell>
          <cell r="AD533">
            <v>43850663.600000001</v>
          </cell>
        </row>
        <row r="534">
          <cell r="C534">
            <v>89935703.099999994</v>
          </cell>
          <cell r="E534">
            <v>89935703.099999994</v>
          </cell>
          <cell r="L534">
            <v>89935703.099999994</v>
          </cell>
          <cell r="N534">
            <v>89935703.099999994</v>
          </cell>
          <cell r="AT534">
            <v>81491409.829999998</v>
          </cell>
          <cell r="AY534">
            <v>8444293.2699999996</v>
          </cell>
        </row>
        <row r="535">
          <cell r="C535">
            <v>77535528.819999993</v>
          </cell>
          <cell r="E535">
            <v>77535528.819999993</v>
          </cell>
          <cell r="L535">
            <v>77535528.819999993</v>
          </cell>
          <cell r="N535">
            <v>77535528.819999993</v>
          </cell>
          <cell r="AU535">
            <v>77535528.819999993</v>
          </cell>
        </row>
        <row r="536">
          <cell r="C536">
            <v>64608299.509999998</v>
          </cell>
          <cell r="E536">
            <v>64608299.509999998</v>
          </cell>
          <cell r="L536">
            <v>64608299.509999998</v>
          </cell>
          <cell r="N536">
            <v>64608299.509999998</v>
          </cell>
          <cell r="AV536">
            <v>64608299.509999998</v>
          </cell>
        </row>
        <row r="537">
          <cell r="C537">
            <v>-113655589.41</v>
          </cell>
          <cell r="D537">
            <v>-31321571.02</v>
          </cell>
          <cell r="E537">
            <v>-144977160.43000001</v>
          </cell>
          <cell r="L537">
            <v>0</v>
          </cell>
          <cell r="M537">
            <v>-113655589.41</v>
          </cell>
          <cell r="N537">
            <v>-113655589.41</v>
          </cell>
        </row>
        <row r="538">
          <cell r="C538">
            <v>4448615012.3999996</v>
          </cell>
          <cell r="D538">
            <v>-31321571.02</v>
          </cell>
          <cell r="E538">
            <v>4417293441.3800001</v>
          </cell>
          <cell r="F538">
            <v>102706002.48999999</v>
          </cell>
          <cell r="G538">
            <v>147526638.13999999</v>
          </cell>
          <cell r="H538">
            <v>146621969.88999999</v>
          </cell>
          <cell r="I538">
            <v>161249031.81999999</v>
          </cell>
          <cell r="J538">
            <v>115031268.23</v>
          </cell>
          <cell r="K538">
            <v>121654337.63</v>
          </cell>
          <cell r="L538">
            <v>3767481353.6100001</v>
          </cell>
          <cell r="M538">
            <v>-113655589.41</v>
          </cell>
          <cell r="N538">
            <v>3653825764.1999998</v>
          </cell>
          <cell r="O538">
            <v>497113176.43000001</v>
          </cell>
          <cell r="P538">
            <v>169726819.22</v>
          </cell>
          <cell r="Q538">
            <v>202086659.63</v>
          </cell>
          <cell r="R538">
            <v>142342255.97999999</v>
          </cell>
          <cell r="S538">
            <v>52045799.219999999</v>
          </cell>
          <cell r="T538">
            <v>33695738.899999999</v>
          </cell>
          <cell r="U538">
            <v>33996963.619999997</v>
          </cell>
          <cell r="V538">
            <v>68570332.890000001</v>
          </cell>
          <cell r="W538">
            <v>44647588.899999999</v>
          </cell>
          <cell r="X538">
            <v>109783787.65000001</v>
          </cell>
          <cell r="Y538">
            <v>103724175.87</v>
          </cell>
          <cell r="Z538">
            <v>114710938.62</v>
          </cell>
          <cell r="AA538">
            <v>91053147.969999999</v>
          </cell>
          <cell r="AB538">
            <v>104344382.34</v>
          </cell>
          <cell r="AC538">
            <v>120035171.90000001</v>
          </cell>
          <cell r="AD538">
            <v>43850663.600000001</v>
          </cell>
          <cell r="AE538">
            <v>201711636.08000001</v>
          </cell>
          <cell r="AF538">
            <v>69021128.510000005</v>
          </cell>
          <cell r="AG538">
            <v>140129695.46000001</v>
          </cell>
          <cell r="AH538">
            <v>11260889.119999999</v>
          </cell>
          <cell r="AI538">
            <v>155071226.46000001</v>
          </cell>
          <cell r="AJ538">
            <v>165649448.96000001</v>
          </cell>
          <cell r="AK538">
            <v>87706763.140000001</v>
          </cell>
          <cell r="AL538">
            <v>86910149.579999998</v>
          </cell>
          <cell r="AM538">
            <v>9466077.6799999997</v>
          </cell>
          <cell r="AN538">
            <v>113708226.54000001</v>
          </cell>
          <cell r="AO538">
            <v>81889477.379999995</v>
          </cell>
          <cell r="AP538">
            <v>132942284.8</v>
          </cell>
          <cell r="AQ538">
            <v>108292808.83</v>
          </cell>
          <cell r="AR538">
            <v>49514451.049999997</v>
          </cell>
          <cell r="AS538">
            <v>61694995.600000001</v>
          </cell>
          <cell r="AT538">
            <v>81491409.829999998</v>
          </cell>
          <cell r="AU538">
            <v>77535528.819999993</v>
          </cell>
          <cell r="AV538">
            <v>64608299.509999998</v>
          </cell>
          <cell r="AW538">
            <v>91206410.269999996</v>
          </cell>
          <cell r="AX538">
            <v>37498549.979999997</v>
          </cell>
          <cell r="AY538">
            <v>8444293.2699999996</v>
          </cell>
        </row>
        <row r="539">
          <cell r="C539">
            <v>0</v>
          </cell>
          <cell r="E539">
            <v>0</v>
          </cell>
          <cell r="L539">
            <v>0</v>
          </cell>
          <cell r="N539">
            <v>0</v>
          </cell>
        </row>
        <row r="540">
          <cell r="C540">
            <v>0</v>
          </cell>
          <cell r="E540">
            <v>0</v>
          </cell>
          <cell r="L540">
            <v>0</v>
          </cell>
          <cell r="N540">
            <v>0</v>
          </cell>
        </row>
        <row r="541">
          <cell r="C541">
            <v>405314604.77999997</v>
          </cell>
          <cell r="E541">
            <v>405314604.77999997</v>
          </cell>
          <cell r="L541">
            <v>405314604.77999997</v>
          </cell>
          <cell r="N541">
            <v>405314604.77999997</v>
          </cell>
          <cell r="O541">
            <v>405314604.77999997</v>
          </cell>
          <cell r="AP541">
            <v>0</v>
          </cell>
        </row>
        <row r="542">
          <cell r="C542">
            <v>3527375168.6599998</v>
          </cell>
          <cell r="D542">
            <v>-31321571.02</v>
          </cell>
          <cell r="E542">
            <v>3496053597.6399999</v>
          </cell>
          <cell r="F542">
            <v>92147901.299999997</v>
          </cell>
          <cell r="G542">
            <v>132879711.73999999</v>
          </cell>
          <cell r="H542">
            <v>129643852.36</v>
          </cell>
          <cell r="I542">
            <v>142800372.97</v>
          </cell>
          <cell r="J542">
            <v>105392421.75</v>
          </cell>
          <cell r="K542">
            <v>105277521.17</v>
          </cell>
          <cell r="L542">
            <v>2932888976.7800002</v>
          </cell>
          <cell r="M542">
            <v>-113655589.41</v>
          </cell>
          <cell r="N542">
            <v>2819233387.3699999</v>
          </cell>
          <cell r="P542">
            <v>169651284.94</v>
          </cell>
          <cell r="Q542">
            <v>179398076.96000001</v>
          </cell>
          <cell r="R542">
            <v>127971374.40000001</v>
          </cell>
          <cell r="S542">
            <v>47079183.109999999</v>
          </cell>
          <cell r="T542">
            <v>30970323.670000002</v>
          </cell>
          <cell r="U542">
            <v>30057627.460000001</v>
          </cell>
          <cell r="V542">
            <v>62299285.640000001</v>
          </cell>
          <cell r="W542">
            <v>40089526.420000002</v>
          </cell>
          <cell r="X542">
            <v>98284259.530000001</v>
          </cell>
          <cell r="Y542">
            <v>93770467.519999996</v>
          </cell>
          <cell r="Z542">
            <v>99972607.560000002</v>
          </cell>
          <cell r="AA542">
            <v>82313352.870000005</v>
          </cell>
          <cell r="AB542">
            <v>96596884.189999998</v>
          </cell>
          <cell r="AC542">
            <v>109475166.09</v>
          </cell>
          <cell r="AD542">
            <v>36329743.549999997</v>
          </cell>
          <cell r="AE542">
            <v>174926294.09</v>
          </cell>
          <cell r="AF542">
            <v>62842856.630000003</v>
          </cell>
          <cell r="AG542">
            <v>126106745.89</v>
          </cell>
          <cell r="AH542">
            <v>10554708.83</v>
          </cell>
          <cell r="AI542">
            <v>134074140.86</v>
          </cell>
          <cell r="AJ542">
            <v>143384203.30000001</v>
          </cell>
          <cell r="AK542">
            <v>76860939.680000007</v>
          </cell>
          <cell r="AL542">
            <v>81170063.219999999</v>
          </cell>
          <cell r="AM542">
            <v>9049380.3300000001</v>
          </cell>
          <cell r="AN542">
            <v>100600658.56</v>
          </cell>
          <cell r="AO542">
            <v>72803372.719999999</v>
          </cell>
          <cell r="AP542">
            <v>119928926.7</v>
          </cell>
          <cell r="AQ542">
            <v>94878692.239999995</v>
          </cell>
          <cell r="AR542">
            <v>43821014.560000002</v>
          </cell>
          <cell r="AS542">
            <v>53720307.68</v>
          </cell>
          <cell r="AT542">
            <v>73574778.510000005</v>
          </cell>
          <cell r="AU542">
            <v>68266204.120000005</v>
          </cell>
          <cell r="AV542">
            <v>57795330.539999999</v>
          </cell>
          <cell r="AW542">
            <v>82874938.549999997</v>
          </cell>
          <cell r="AX542">
            <v>33662811.219999999</v>
          </cell>
          <cell r="AY542">
            <v>7733444.6399999997</v>
          </cell>
        </row>
        <row r="543">
          <cell r="C543">
            <v>3023405500.6399999</v>
          </cell>
          <cell r="D543">
            <v>-31321571.02</v>
          </cell>
          <cell r="E543">
            <v>2992083929.6199999</v>
          </cell>
          <cell r="F543">
            <v>76236712.409999996</v>
          </cell>
          <cell r="G543">
            <v>106362472.65000001</v>
          </cell>
          <cell r="H543">
            <v>107665731.67</v>
          </cell>
          <cell r="I543">
            <v>102368294.98</v>
          </cell>
          <cell r="J543">
            <v>89130434.790000007</v>
          </cell>
          <cell r="K543">
            <v>93887011.280000001</v>
          </cell>
          <cell r="L543">
            <v>2561410432.27</v>
          </cell>
          <cell r="M543">
            <v>-113655589.41</v>
          </cell>
          <cell r="N543">
            <v>2447754842.8600001</v>
          </cell>
          <cell r="O543">
            <v>76294232.239999995</v>
          </cell>
          <cell r="P543">
            <v>169651284.94</v>
          </cell>
          <cell r="Q543">
            <v>160466833.55000001</v>
          </cell>
          <cell r="R543">
            <v>115468980.33</v>
          </cell>
          <cell r="S543">
            <v>44198384.609999999</v>
          </cell>
          <cell r="T543">
            <v>26621201.57</v>
          </cell>
          <cell r="U543">
            <v>25125224.77</v>
          </cell>
          <cell r="V543">
            <v>54428564.859999999</v>
          </cell>
          <cell r="W543">
            <v>33997431.140000001</v>
          </cell>
          <cell r="X543">
            <v>81099103.870000005</v>
          </cell>
          <cell r="Y543">
            <v>73530768.799999997</v>
          </cell>
          <cell r="Z543">
            <v>77588946.310000002</v>
          </cell>
          <cell r="AA543">
            <v>67546667.599999994</v>
          </cell>
          <cell r="AB543">
            <v>81295757.659999996</v>
          </cell>
          <cell r="AC543">
            <v>91824626.209999993</v>
          </cell>
          <cell r="AD543">
            <v>33367955.02</v>
          </cell>
          <cell r="AE543">
            <v>151848985.47999999</v>
          </cell>
          <cell r="AF543">
            <v>57998270.549999997</v>
          </cell>
          <cell r="AG543">
            <v>96474461.920000002</v>
          </cell>
          <cell r="AH543">
            <v>9668268.0299999993</v>
          </cell>
          <cell r="AI543">
            <v>117310804.81999999</v>
          </cell>
          <cell r="AJ543">
            <v>123415658.54000001</v>
          </cell>
          <cell r="AK543">
            <v>58312200.390000001</v>
          </cell>
          <cell r="AL543">
            <v>70044468.400000006</v>
          </cell>
          <cell r="AM543">
            <v>8752181.0299999993</v>
          </cell>
          <cell r="AN543">
            <v>83181902.390000001</v>
          </cell>
          <cell r="AO543">
            <v>55948496.719999999</v>
          </cell>
          <cell r="AP543">
            <v>96662927.730000004</v>
          </cell>
          <cell r="AQ543">
            <v>82570243.230000004</v>
          </cell>
          <cell r="AR543">
            <v>38259276.640000001</v>
          </cell>
          <cell r="AS543">
            <v>47795009.539999999</v>
          </cell>
          <cell r="AT543">
            <v>51035509.090000004</v>
          </cell>
          <cell r="AU543">
            <v>48261199.560000002</v>
          </cell>
          <cell r="AV543">
            <v>46779313.509999998</v>
          </cell>
          <cell r="AW543">
            <v>69135872.329999998</v>
          </cell>
          <cell r="AX543">
            <v>30942863.440000001</v>
          </cell>
          <cell r="AY543">
            <v>4506555.45</v>
          </cell>
        </row>
        <row r="544">
          <cell r="C544">
            <v>0</v>
          </cell>
          <cell r="E544">
            <v>0</v>
          </cell>
          <cell r="H544">
            <v>0</v>
          </cell>
          <cell r="L544">
            <v>0</v>
          </cell>
          <cell r="N544">
            <v>0</v>
          </cell>
          <cell r="U544">
            <v>0</v>
          </cell>
          <cell r="AP544">
            <v>0</v>
          </cell>
        </row>
        <row r="545">
          <cell r="C545">
            <v>909284272.79999995</v>
          </cell>
          <cell r="E545">
            <v>909284272.79999995</v>
          </cell>
          <cell r="F545">
            <v>15911188.890000001</v>
          </cell>
          <cell r="G545">
            <v>26517239.09</v>
          </cell>
          <cell r="H545">
            <v>21978120.690000001</v>
          </cell>
          <cell r="I545">
            <v>40432077.990000002</v>
          </cell>
          <cell r="J545">
            <v>16261986.960000001</v>
          </cell>
          <cell r="K545">
            <v>11390509.890000001</v>
          </cell>
          <cell r="L545">
            <v>776793149.28999996</v>
          </cell>
          <cell r="N545">
            <v>776793149.28999996</v>
          </cell>
          <cell r="O545">
            <v>329020372.54000002</v>
          </cell>
          <cell r="Q545">
            <v>18931243.41</v>
          </cell>
          <cell r="R545">
            <v>12502394.07</v>
          </cell>
          <cell r="S545">
            <v>2880798.5</v>
          </cell>
          <cell r="T545">
            <v>4349122.0999999996</v>
          </cell>
          <cell r="U545">
            <v>4932402.6900000004</v>
          </cell>
          <cell r="V545">
            <v>7870720.7800000003</v>
          </cell>
          <cell r="W545">
            <v>6092095.2800000003</v>
          </cell>
          <cell r="X545">
            <v>17185155.66</v>
          </cell>
          <cell r="Y545">
            <v>20239698.719999999</v>
          </cell>
          <cell r="Z545">
            <v>22383661.25</v>
          </cell>
          <cell r="AA545">
            <v>14766685.27</v>
          </cell>
          <cell r="AB545">
            <v>15301126.529999999</v>
          </cell>
          <cell r="AC545">
            <v>17650539.879999999</v>
          </cell>
          <cell r="AD545">
            <v>2961788.53</v>
          </cell>
          <cell r="AE545">
            <v>23077308.609999999</v>
          </cell>
          <cell r="AF545">
            <v>4844586.08</v>
          </cell>
          <cell r="AG545">
            <v>29632283.969999999</v>
          </cell>
          <cell r="AH545">
            <v>886440.8</v>
          </cell>
          <cell r="AI545">
            <v>16763336.039999999</v>
          </cell>
          <cell r="AJ545">
            <v>19968544.760000002</v>
          </cell>
          <cell r="AK545">
            <v>18548739.289999999</v>
          </cell>
          <cell r="AL545">
            <v>11125594.82</v>
          </cell>
          <cell r="AM545">
            <v>297199.3</v>
          </cell>
          <cell r="AN545">
            <v>17418756.170000002</v>
          </cell>
          <cell r="AO545">
            <v>16854876</v>
          </cell>
          <cell r="AP545">
            <v>23265998.969999999</v>
          </cell>
          <cell r="AQ545">
            <v>12308449.01</v>
          </cell>
          <cell r="AR545">
            <v>5561737.9199999999</v>
          </cell>
          <cell r="AS545">
            <v>5925298.1399999997</v>
          </cell>
          <cell r="AT545">
            <v>22539269.420000002</v>
          </cell>
          <cell r="AU545">
            <v>20005004.559999999</v>
          </cell>
          <cell r="AV545">
            <v>11016017.029999999</v>
          </cell>
          <cell r="AW545">
            <v>13739066.220000001</v>
          </cell>
          <cell r="AX545">
            <v>2719947.78</v>
          </cell>
          <cell r="AY545">
            <v>3226889.19</v>
          </cell>
        </row>
        <row r="546">
          <cell r="C546">
            <v>0</v>
          </cell>
          <cell r="E546">
            <v>0</v>
          </cell>
          <cell r="L546">
            <v>0</v>
          </cell>
          <cell r="N546">
            <v>0</v>
          </cell>
          <cell r="AP546">
            <v>0</v>
          </cell>
        </row>
        <row r="547">
          <cell r="C547">
            <v>0</v>
          </cell>
          <cell r="E547">
            <v>0</v>
          </cell>
          <cell r="L547">
            <v>0</v>
          </cell>
          <cell r="N547">
            <v>0</v>
          </cell>
          <cell r="AP547">
            <v>0</v>
          </cell>
        </row>
        <row r="548">
          <cell r="C548">
            <v>3932689773.4400001</v>
          </cell>
          <cell r="D548">
            <v>-31321571.02</v>
          </cell>
          <cell r="E548">
            <v>3901368202.4200001</v>
          </cell>
          <cell r="F548">
            <v>92147901.299999997</v>
          </cell>
          <cell r="G548">
            <v>132879711.73999999</v>
          </cell>
          <cell r="H548">
            <v>129643852.36</v>
          </cell>
          <cell r="I548">
            <v>142800372.97</v>
          </cell>
          <cell r="J548">
            <v>105392421.75</v>
          </cell>
          <cell r="K548">
            <v>105277521.17</v>
          </cell>
          <cell r="L548">
            <v>3338203581.5599999</v>
          </cell>
          <cell r="M548">
            <v>-113655589.41</v>
          </cell>
          <cell r="N548">
            <v>3224547992.1500001</v>
          </cell>
          <cell r="O548">
            <v>405314604.77999997</v>
          </cell>
          <cell r="P548">
            <v>169651284.94</v>
          </cell>
          <cell r="Q548">
            <v>179398076.96000001</v>
          </cell>
          <cell r="R548">
            <v>127971374.40000001</v>
          </cell>
          <cell r="S548">
            <v>47079183.109999999</v>
          </cell>
          <cell r="T548">
            <v>30970323.670000002</v>
          </cell>
          <cell r="U548">
            <v>30057627.460000001</v>
          </cell>
          <cell r="V548">
            <v>62299285.640000001</v>
          </cell>
          <cell r="W548">
            <v>40089526.420000002</v>
          </cell>
          <cell r="X548">
            <v>98284259.530000001</v>
          </cell>
          <cell r="Y548">
            <v>93770467.519999996</v>
          </cell>
          <cell r="Z548">
            <v>99972607.560000002</v>
          </cell>
          <cell r="AA548">
            <v>82313352.870000005</v>
          </cell>
          <cell r="AB548">
            <v>96596884.189999998</v>
          </cell>
          <cell r="AC548">
            <v>109475166.09</v>
          </cell>
          <cell r="AD548">
            <v>36329743.549999997</v>
          </cell>
          <cell r="AE548">
            <v>174926294.09</v>
          </cell>
          <cell r="AF548">
            <v>62842856.630000003</v>
          </cell>
          <cell r="AG548">
            <v>126106745.89</v>
          </cell>
          <cell r="AH548">
            <v>10554708.83</v>
          </cell>
          <cell r="AI548">
            <v>134074140.86</v>
          </cell>
          <cell r="AJ548">
            <v>143384203.30000001</v>
          </cell>
          <cell r="AK548">
            <v>76860939.680000007</v>
          </cell>
          <cell r="AL548">
            <v>81170063.219999999</v>
          </cell>
          <cell r="AM548">
            <v>9049380.3300000001</v>
          </cell>
          <cell r="AN548">
            <v>100600658.56</v>
          </cell>
          <cell r="AO548">
            <v>72803372.719999999</v>
          </cell>
          <cell r="AP548">
            <v>119928926.7</v>
          </cell>
          <cell r="AQ548">
            <v>94878692.239999995</v>
          </cell>
          <cell r="AR548">
            <v>43821014.560000002</v>
          </cell>
          <cell r="AS548">
            <v>53720307.68</v>
          </cell>
          <cell r="AT548">
            <v>73574778.510000005</v>
          </cell>
          <cell r="AU548">
            <v>68266204.120000005</v>
          </cell>
          <cell r="AV548">
            <v>57795330.539999999</v>
          </cell>
          <cell r="AW548">
            <v>82874938.549999997</v>
          </cell>
          <cell r="AX548">
            <v>33662811.219999999</v>
          </cell>
          <cell r="AY548">
            <v>7733444.6399999997</v>
          </cell>
        </row>
        <row r="549">
          <cell r="C549">
            <v>963077335.40999997</v>
          </cell>
          <cell r="E549">
            <v>963077335.40999997</v>
          </cell>
          <cell r="L549">
            <v>963077335.40999997</v>
          </cell>
          <cell r="N549">
            <v>963077335.40999997</v>
          </cell>
          <cell r="O549">
            <v>405314604.77999997</v>
          </cell>
          <cell r="P549">
            <v>169651284.94</v>
          </cell>
          <cell r="Q549">
            <v>179398076.96000001</v>
          </cell>
          <cell r="R549">
            <v>127971374.40000001</v>
          </cell>
          <cell r="S549">
            <v>47079183.109999999</v>
          </cell>
          <cell r="AX549">
            <v>33662811.219999999</v>
          </cell>
        </row>
        <row r="550">
          <cell r="C550">
            <v>30970323.670000002</v>
          </cell>
          <cell r="E550">
            <v>30970323.670000002</v>
          </cell>
          <cell r="L550">
            <v>30970323.670000002</v>
          </cell>
          <cell r="N550">
            <v>30970323.670000002</v>
          </cell>
          <cell r="T550">
            <v>30970323.670000002</v>
          </cell>
        </row>
        <row r="551">
          <cell r="C551">
            <v>30057627.460000001</v>
          </cell>
          <cell r="E551">
            <v>30057627.460000001</v>
          </cell>
          <cell r="L551">
            <v>30057627.460000001</v>
          </cell>
          <cell r="N551">
            <v>30057627.460000001</v>
          </cell>
          <cell r="U551">
            <v>30057627.460000001</v>
          </cell>
        </row>
        <row r="552">
          <cell r="C552">
            <v>235268523.80000001</v>
          </cell>
          <cell r="E552">
            <v>235268523.80000001</v>
          </cell>
          <cell r="G552">
            <v>132879711.73999999</v>
          </cell>
          <cell r="L552">
            <v>102388812.06</v>
          </cell>
          <cell r="N552">
            <v>102388812.06</v>
          </cell>
          <cell r="V552">
            <v>62299285.640000001</v>
          </cell>
          <cell r="W552">
            <v>40089526.420000002</v>
          </cell>
        </row>
        <row r="553">
          <cell r="C553">
            <v>129643852.36</v>
          </cell>
          <cell r="E553">
            <v>129643852.36</v>
          </cell>
          <cell r="H553">
            <v>129643852.36</v>
          </cell>
          <cell r="L553">
            <v>0</v>
          </cell>
          <cell r="N553">
            <v>0</v>
          </cell>
        </row>
        <row r="554">
          <cell r="C554">
            <v>98284259.530000001</v>
          </cell>
          <cell r="E554">
            <v>98284259.530000001</v>
          </cell>
          <cell r="L554">
            <v>98284259.530000001</v>
          </cell>
          <cell r="N554">
            <v>98284259.530000001</v>
          </cell>
          <cell r="X554">
            <v>98284259.530000001</v>
          </cell>
        </row>
        <row r="555">
          <cell r="C555">
            <v>176083820.38999999</v>
          </cell>
          <cell r="E555">
            <v>176083820.38999999</v>
          </cell>
          <cell r="L555">
            <v>176083820.38999999</v>
          </cell>
          <cell r="N555">
            <v>176083820.38999999</v>
          </cell>
          <cell r="Y555">
            <v>93770467.519999996</v>
          </cell>
          <cell r="AA555">
            <v>82313352.870000005</v>
          </cell>
        </row>
        <row r="556">
          <cell r="C556">
            <v>352248146.62</v>
          </cell>
          <cell r="E556">
            <v>352248146.62</v>
          </cell>
          <cell r="I556">
            <v>142800372.97</v>
          </cell>
          <cell r="L556">
            <v>209447773.65000001</v>
          </cell>
          <cell r="N556">
            <v>209447773.65000001</v>
          </cell>
          <cell r="Z556">
            <v>99972607.560000002</v>
          </cell>
          <cell r="AC556">
            <v>109475166.09</v>
          </cell>
        </row>
        <row r="557">
          <cell r="C557">
            <v>284864244.49000001</v>
          </cell>
          <cell r="E557">
            <v>284864244.49000001</v>
          </cell>
          <cell r="J557">
            <v>105392421.75</v>
          </cell>
          <cell r="L557">
            <v>179471822.74000001</v>
          </cell>
          <cell r="N557">
            <v>179471822.74000001</v>
          </cell>
          <cell r="AB557">
            <v>96596884.189999998</v>
          </cell>
          <cell r="AW557">
            <v>82874938.549999997</v>
          </cell>
        </row>
        <row r="558">
          <cell r="C558">
            <v>343046671.88999999</v>
          </cell>
          <cell r="E558">
            <v>343046671.88999999</v>
          </cell>
          <cell r="K558">
            <v>105277521.17</v>
          </cell>
          <cell r="L558">
            <v>237769150.72</v>
          </cell>
          <cell r="N558">
            <v>237769150.72</v>
          </cell>
          <cell r="AE558">
            <v>174926294.09</v>
          </cell>
          <cell r="AF558">
            <v>62842856.630000003</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row>
        <row r="559">
          <cell r="C559">
            <v>413451638.94</v>
          </cell>
          <cell r="E559">
            <v>413451638.94</v>
          </cell>
          <cell r="F559">
            <v>92147901.299999997</v>
          </cell>
          <cell r="L559">
            <v>321303737.63999999</v>
          </cell>
          <cell r="N559">
            <v>321303737.63999999</v>
          </cell>
          <cell r="AH559">
            <v>10554708.83</v>
          </cell>
          <cell r="AL559">
            <v>81170063.219999999</v>
          </cell>
          <cell r="AM559">
            <v>9049380.3300000001</v>
          </cell>
          <cell r="AN559">
            <v>100600658.56</v>
          </cell>
          <cell r="AP559">
            <v>119928926.7</v>
          </cell>
        </row>
        <row r="560">
          <cell r="C560">
            <v>72803372.719999999</v>
          </cell>
          <cell r="E560">
            <v>72803372.719999999</v>
          </cell>
          <cell r="L560">
            <v>72803372.719999999</v>
          </cell>
          <cell r="N560">
            <v>72803372.719999999</v>
          </cell>
          <cell r="AO560">
            <v>72803372.719999999</v>
          </cell>
        </row>
        <row r="561">
          <cell r="C561">
            <v>192420014.47999999</v>
          </cell>
          <cell r="E561">
            <v>192420014.47999999</v>
          </cell>
          <cell r="L561">
            <v>192420014.47999999</v>
          </cell>
          <cell r="N561">
            <v>192420014.47999999</v>
          </cell>
          <cell r="AQ561">
            <v>94878692.239999995</v>
          </cell>
          <cell r="AR561">
            <v>43821014.560000002</v>
          </cell>
          <cell r="AS561">
            <v>53720307.68</v>
          </cell>
        </row>
        <row r="562">
          <cell r="C562">
            <v>277458344.16000003</v>
          </cell>
          <cell r="E562">
            <v>277458344.16000003</v>
          </cell>
          <cell r="L562">
            <v>277458344.16000003</v>
          </cell>
          <cell r="N562">
            <v>277458344.16000003</v>
          </cell>
          <cell r="AI562">
            <v>134074140.86</v>
          </cell>
          <cell r="AJ562">
            <v>143384203.30000001</v>
          </cell>
        </row>
        <row r="563">
          <cell r="C563">
            <v>76860939.680000007</v>
          </cell>
          <cell r="E563">
            <v>76860939.680000007</v>
          </cell>
          <cell r="L563">
            <v>76860939.680000007</v>
          </cell>
          <cell r="N563">
            <v>76860939.680000007</v>
          </cell>
          <cell r="AK563">
            <v>76860939.680000007</v>
          </cell>
        </row>
        <row r="564">
          <cell r="C564">
            <v>126106745.89</v>
          </cell>
          <cell r="E564">
            <v>126106745.89</v>
          </cell>
          <cell r="L564">
            <v>126106745.89</v>
          </cell>
          <cell r="N564">
            <v>126106745.89</v>
          </cell>
          <cell r="AG564">
            <v>126106745.89</v>
          </cell>
        </row>
        <row r="565">
          <cell r="C565">
            <v>36329743.549999997</v>
          </cell>
          <cell r="E565">
            <v>36329743.549999997</v>
          </cell>
          <cell r="L565">
            <v>36329743.549999997</v>
          </cell>
          <cell r="N565">
            <v>36329743.549999997</v>
          </cell>
          <cell r="AD565">
            <v>36329743.549999997</v>
          </cell>
        </row>
        <row r="566">
          <cell r="C566">
            <v>81308223.150000006</v>
          </cell>
          <cell r="E566">
            <v>81308223.150000006</v>
          </cell>
          <cell r="L566">
            <v>81308223.150000006</v>
          </cell>
          <cell r="N566">
            <v>81308223.150000006</v>
          </cell>
          <cell r="AT566">
            <v>73574778.510000005</v>
          </cell>
          <cell r="AY566">
            <v>7733444.6399999997</v>
          </cell>
        </row>
        <row r="567">
          <cell r="C567">
            <v>68266204.120000005</v>
          </cell>
          <cell r="E567">
            <v>68266204.120000005</v>
          </cell>
          <cell r="L567">
            <v>68266204.120000005</v>
          </cell>
          <cell r="N567">
            <v>68266204.120000005</v>
          </cell>
          <cell r="AU567">
            <v>68266204.120000005</v>
          </cell>
        </row>
        <row r="568">
          <cell r="C568">
            <v>57795330.539999999</v>
          </cell>
          <cell r="E568">
            <v>57795330.539999999</v>
          </cell>
          <cell r="L568">
            <v>57795330.539999999</v>
          </cell>
          <cell r="N568">
            <v>57795330.539999999</v>
          </cell>
          <cell r="AV568">
            <v>57795330.539999999</v>
          </cell>
        </row>
        <row r="569">
          <cell r="C569">
            <v>-113655589.41</v>
          </cell>
          <cell r="D569">
            <v>-31321571.02</v>
          </cell>
          <cell r="E569">
            <v>-144977160.43000001</v>
          </cell>
          <cell r="L569">
            <v>0</v>
          </cell>
          <cell r="M569">
            <v>-113655589.41</v>
          </cell>
          <cell r="N569">
            <v>-113655589.41</v>
          </cell>
        </row>
        <row r="570">
          <cell r="C570">
            <v>3932689773.4400001</v>
          </cell>
          <cell r="D570">
            <v>-31321571.02</v>
          </cell>
          <cell r="E570">
            <v>3901368202.4200001</v>
          </cell>
          <cell r="F570">
            <v>92147901.299999997</v>
          </cell>
          <cell r="G570">
            <v>132879711.73999999</v>
          </cell>
          <cell r="H570">
            <v>129643852.36</v>
          </cell>
          <cell r="I570">
            <v>142800372.97</v>
          </cell>
          <cell r="J570">
            <v>105392421.75</v>
          </cell>
          <cell r="K570">
            <v>105277521.17</v>
          </cell>
          <cell r="L570">
            <v>3338203581.5599999</v>
          </cell>
          <cell r="M570">
            <v>-113655589.41</v>
          </cell>
          <cell r="N570">
            <v>3224547992.1500001</v>
          </cell>
          <cell r="O570">
            <v>405314604.77999997</v>
          </cell>
          <cell r="P570">
            <v>169651284.94</v>
          </cell>
          <cell r="Q570">
            <v>179398076.96000001</v>
          </cell>
          <cell r="R570">
            <v>127971374.40000001</v>
          </cell>
          <cell r="S570">
            <v>47079183.109999999</v>
          </cell>
          <cell r="T570">
            <v>30970323.670000002</v>
          </cell>
          <cell r="U570">
            <v>30057627.460000001</v>
          </cell>
          <cell r="V570">
            <v>62299285.640000001</v>
          </cell>
          <cell r="W570">
            <v>40089526.420000002</v>
          </cell>
          <cell r="X570">
            <v>98284259.530000001</v>
          </cell>
          <cell r="Y570">
            <v>93770467.519999996</v>
          </cell>
          <cell r="Z570">
            <v>99972607.560000002</v>
          </cell>
          <cell r="AA570">
            <v>82313352.870000005</v>
          </cell>
          <cell r="AB570">
            <v>96596884.189999998</v>
          </cell>
          <cell r="AC570">
            <v>109475166.09</v>
          </cell>
          <cell r="AD570">
            <v>36329743.549999997</v>
          </cell>
          <cell r="AE570">
            <v>174926294.09</v>
          </cell>
          <cell r="AF570">
            <v>62842856.630000003</v>
          </cell>
          <cell r="AG570">
            <v>126106745.89</v>
          </cell>
          <cell r="AH570">
            <v>10554708.83</v>
          </cell>
          <cell r="AI570">
            <v>134074140.86</v>
          </cell>
          <cell r="AJ570">
            <v>143384203.30000001</v>
          </cell>
          <cell r="AK570">
            <v>76860939.680000007</v>
          </cell>
          <cell r="AL570">
            <v>81170063.219999999</v>
          </cell>
          <cell r="AM570">
            <v>9049380.3300000001</v>
          </cell>
          <cell r="AN570">
            <v>100600658.56</v>
          </cell>
          <cell r="AO570">
            <v>72803372.719999999</v>
          </cell>
          <cell r="AP570">
            <v>119928926.7</v>
          </cell>
          <cell r="AQ570">
            <v>94878692.239999995</v>
          </cell>
          <cell r="AR570">
            <v>43821014.560000002</v>
          </cell>
          <cell r="AS570">
            <v>53720307.68</v>
          </cell>
          <cell r="AT570">
            <v>73574778.510000005</v>
          </cell>
          <cell r="AU570">
            <v>68266204.120000005</v>
          </cell>
          <cell r="AV570">
            <v>57795330.539999999</v>
          </cell>
          <cell r="AW570">
            <v>82874938.549999997</v>
          </cell>
          <cell r="AX570">
            <v>33662811.219999999</v>
          </cell>
          <cell r="AY570">
            <v>7733444.6399999997</v>
          </cell>
        </row>
        <row r="571">
          <cell r="C571">
            <v>0</v>
          </cell>
          <cell r="E571">
            <v>0</v>
          </cell>
          <cell r="L571">
            <v>0</v>
          </cell>
          <cell r="N571">
            <v>0</v>
          </cell>
        </row>
        <row r="572">
          <cell r="C572">
            <v>366660.87</v>
          </cell>
          <cell r="E572">
            <v>366660.87</v>
          </cell>
          <cell r="G572">
            <v>281296.99</v>
          </cell>
          <cell r="L572">
            <v>85363.88</v>
          </cell>
          <cell r="N572">
            <v>85363.88</v>
          </cell>
          <cell r="T572">
            <v>85363.88</v>
          </cell>
        </row>
        <row r="573">
          <cell r="C573">
            <v>99799.81</v>
          </cell>
          <cell r="E573">
            <v>99799.81</v>
          </cell>
          <cell r="G573">
            <v>81071.62</v>
          </cell>
          <cell r="L573">
            <v>18728.189999999999</v>
          </cell>
          <cell r="N573">
            <v>18728.189999999999</v>
          </cell>
          <cell r="T573">
            <v>-1241.1300000000001</v>
          </cell>
          <cell r="U573">
            <v>0</v>
          </cell>
          <cell r="AK573">
            <v>17683.990000000002</v>
          </cell>
          <cell r="AL573">
            <v>823.9</v>
          </cell>
          <cell r="AM573">
            <v>1461.43</v>
          </cell>
          <cell r="AN573">
            <v>0</v>
          </cell>
          <cell r="AP573">
            <v>0</v>
          </cell>
          <cell r="AT573">
            <v>0</v>
          </cell>
        </row>
        <row r="574">
          <cell r="C574">
            <v>6871727.7699999996</v>
          </cell>
          <cell r="E574">
            <v>6871727.7699999996</v>
          </cell>
          <cell r="F574">
            <v>77994.44</v>
          </cell>
          <cell r="G574">
            <v>200225.37</v>
          </cell>
          <cell r="H574">
            <v>60275.47</v>
          </cell>
          <cell r="I574">
            <v>192362.88</v>
          </cell>
          <cell r="J574">
            <v>163586.73000000001</v>
          </cell>
          <cell r="K574">
            <v>227919.38</v>
          </cell>
          <cell r="L574">
            <v>5949363.5</v>
          </cell>
          <cell r="N574">
            <v>5949363.5</v>
          </cell>
          <cell r="O574">
            <v>696819.47</v>
          </cell>
          <cell r="P574">
            <v>824804.95</v>
          </cell>
          <cell r="Q574">
            <v>239304.19</v>
          </cell>
          <cell r="R574">
            <v>259665.35</v>
          </cell>
          <cell r="S574">
            <v>51482.23</v>
          </cell>
          <cell r="T574">
            <v>28885</v>
          </cell>
          <cell r="U574">
            <v>74628.479999999996</v>
          </cell>
          <cell r="V574">
            <v>77821.820000000007</v>
          </cell>
          <cell r="W574">
            <v>75170.3</v>
          </cell>
          <cell r="X574">
            <v>124353.71</v>
          </cell>
          <cell r="Y574">
            <v>157521.28</v>
          </cell>
          <cell r="Z574">
            <v>138742.73000000001</v>
          </cell>
          <cell r="AA574">
            <v>167681.15</v>
          </cell>
          <cell r="AB574">
            <v>109054.84</v>
          </cell>
          <cell r="AC574">
            <v>43290.6</v>
          </cell>
          <cell r="AD574">
            <v>90786.93</v>
          </cell>
          <cell r="AE574">
            <v>410564.81</v>
          </cell>
          <cell r="AF574">
            <v>102088.55</v>
          </cell>
          <cell r="AG574">
            <v>353775.14</v>
          </cell>
          <cell r="AH574">
            <v>0</v>
          </cell>
          <cell r="AI574">
            <v>188424.43</v>
          </cell>
          <cell r="AJ574">
            <v>183393.42</v>
          </cell>
          <cell r="AK574">
            <v>149466.39000000001</v>
          </cell>
          <cell r="AL574">
            <v>0</v>
          </cell>
          <cell r="AM574">
            <v>7840.16</v>
          </cell>
          <cell r="AN574">
            <v>215257.67</v>
          </cell>
          <cell r="AO574">
            <v>121982.62</v>
          </cell>
          <cell r="AP574">
            <v>49885.77</v>
          </cell>
          <cell r="AQ574">
            <v>163166.07999999999</v>
          </cell>
          <cell r="AR574">
            <v>52061.89</v>
          </cell>
          <cell r="AS574">
            <v>71196.47</v>
          </cell>
          <cell r="AT574">
            <v>133433.47</v>
          </cell>
          <cell r="AU574">
            <v>147797.89000000001</v>
          </cell>
          <cell r="AV574">
            <v>135073.85</v>
          </cell>
          <cell r="AW574">
            <v>140355.18</v>
          </cell>
          <cell r="AX574">
            <v>130319.92</v>
          </cell>
          <cell r="AY574">
            <v>33266.76</v>
          </cell>
        </row>
        <row r="575">
          <cell r="C575">
            <v>2919674.44</v>
          </cell>
          <cell r="E575">
            <v>2919674.44</v>
          </cell>
          <cell r="F575">
            <v>44568.26</v>
          </cell>
          <cell r="H575">
            <v>25832.32</v>
          </cell>
          <cell r="I575">
            <v>82441.240000000005</v>
          </cell>
          <cell r="J575">
            <v>70108.600000000006</v>
          </cell>
          <cell r="K575">
            <v>97679.74</v>
          </cell>
          <cell r="L575">
            <v>2599044.2799999998</v>
          </cell>
          <cell r="N575">
            <v>2599044.2799999998</v>
          </cell>
          <cell r="O575">
            <v>298240.42</v>
          </cell>
          <cell r="P575">
            <v>353487.84</v>
          </cell>
          <cell r="Q575">
            <v>102558.95</v>
          </cell>
          <cell r="R575">
            <v>111285.15</v>
          </cell>
          <cell r="S575">
            <v>22063.82</v>
          </cell>
          <cell r="T575">
            <v>57720.01</v>
          </cell>
          <cell r="U575">
            <v>31983.63</v>
          </cell>
          <cell r="V575">
            <v>33352.26</v>
          </cell>
          <cell r="W575">
            <v>31634.23</v>
          </cell>
          <cell r="X575">
            <v>53294.45</v>
          </cell>
          <cell r="Y575">
            <v>67509.13</v>
          </cell>
          <cell r="Z575">
            <v>59461.17</v>
          </cell>
          <cell r="AA575">
            <v>71863.350000000006</v>
          </cell>
          <cell r="AB575">
            <v>46737.79</v>
          </cell>
          <cell r="AC575">
            <v>24737.45</v>
          </cell>
          <cell r="AE575">
            <v>175893.36</v>
          </cell>
          <cell r="AF575">
            <v>43752.23</v>
          </cell>
          <cell r="AG575">
            <v>151618.34</v>
          </cell>
          <cell r="AH575">
            <v>0</v>
          </cell>
          <cell r="AI575">
            <v>80753.34</v>
          </cell>
          <cell r="AJ575">
            <v>78597.13</v>
          </cell>
          <cell r="AK575">
            <v>64057.02</v>
          </cell>
          <cell r="AL575">
            <v>470.8</v>
          </cell>
          <cell r="AM575">
            <v>16.329999999999998</v>
          </cell>
          <cell r="AN575">
            <v>123004.38</v>
          </cell>
          <cell r="AO575">
            <v>69704.34</v>
          </cell>
          <cell r="AP575">
            <v>28506.16</v>
          </cell>
          <cell r="AQ575">
            <v>69928.31</v>
          </cell>
          <cell r="AR575">
            <v>21727.98</v>
          </cell>
          <cell r="AS575">
            <v>30174.77</v>
          </cell>
          <cell r="AT575">
            <v>57185.77</v>
          </cell>
          <cell r="AU575">
            <v>63831.96</v>
          </cell>
          <cell r="AV575">
            <v>57888.79</v>
          </cell>
          <cell r="AW575">
            <v>60152.23</v>
          </cell>
          <cell r="AX575">
            <v>55851.39</v>
          </cell>
          <cell r="AY575">
            <v>0</v>
          </cell>
        </row>
        <row r="576">
          <cell r="C576">
            <v>485374.34</v>
          </cell>
          <cell r="E576">
            <v>485374.34</v>
          </cell>
          <cell r="L576">
            <v>485374.34</v>
          </cell>
          <cell r="N576">
            <v>485374.34</v>
          </cell>
          <cell r="O576">
            <v>464700.53</v>
          </cell>
          <cell r="U576">
            <v>1128.07</v>
          </cell>
          <cell r="AD576">
            <v>5288.26</v>
          </cell>
          <cell r="AP576">
            <v>0</v>
          </cell>
          <cell r="AT576">
            <v>0</v>
          </cell>
          <cell r="AY576">
            <v>14257.48</v>
          </cell>
        </row>
        <row r="577">
          <cell r="C577">
            <v>324539.06</v>
          </cell>
          <cell r="E577">
            <v>324539.06</v>
          </cell>
          <cell r="K577">
            <v>132856.56</v>
          </cell>
          <cell r="L577">
            <v>191682.5</v>
          </cell>
          <cell r="N577">
            <v>191682.5</v>
          </cell>
          <cell r="U577">
            <v>0</v>
          </cell>
          <cell r="X577">
            <v>47187.28</v>
          </cell>
          <cell r="AD577">
            <v>60174.6</v>
          </cell>
          <cell r="AF577">
            <v>69031.64</v>
          </cell>
          <cell r="AG577">
            <v>0</v>
          </cell>
          <cell r="AH577">
            <v>0</v>
          </cell>
          <cell r="AI577">
            <v>0</v>
          </cell>
          <cell r="AJ577">
            <v>0</v>
          </cell>
          <cell r="AK577">
            <v>0</v>
          </cell>
          <cell r="AL577">
            <v>0</v>
          </cell>
          <cell r="AM577">
            <v>0</v>
          </cell>
          <cell r="AN577">
            <v>0</v>
          </cell>
          <cell r="AO577">
            <v>0</v>
          </cell>
          <cell r="AP577">
            <v>0</v>
          </cell>
          <cell r="AQ577">
            <v>0</v>
          </cell>
          <cell r="AR577">
            <v>15288.98</v>
          </cell>
          <cell r="AS577">
            <v>0</v>
          </cell>
          <cell r="AT577">
            <v>0</v>
          </cell>
          <cell r="AU577">
            <v>0</v>
          </cell>
          <cell r="AV577">
            <v>0</v>
          </cell>
          <cell r="AW577">
            <v>0</v>
          </cell>
          <cell r="AX577">
            <v>0</v>
          </cell>
          <cell r="AY577">
            <v>0</v>
          </cell>
        </row>
        <row r="578">
          <cell r="C578">
            <v>15096.7</v>
          </cell>
          <cell r="E578">
            <v>15096.7</v>
          </cell>
          <cell r="L578">
            <v>15096.7</v>
          </cell>
          <cell r="N578">
            <v>15096.7</v>
          </cell>
          <cell r="U578">
            <v>0</v>
          </cell>
          <cell r="AP578">
            <v>0</v>
          </cell>
          <cell r="AQ578">
            <v>13414.11</v>
          </cell>
          <cell r="AR578">
            <v>1682.59</v>
          </cell>
          <cell r="AT578">
            <v>0</v>
          </cell>
        </row>
        <row r="579">
          <cell r="C579">
            <v>214856.81</v>
          </cell>
          <cell r="E579">
            <v>214856.81</v>
          </cell>
          <cell r="I579">
            <v>27480.400000000001</v>
          </cell>
          <cell r="L579">
            <v>187376.41</v>
          </cell>
          <cell r="N579">
            <v>187376.41</v>
          </cell>
          <cell r="U579">
            <v>0</v>
          </cell>
          <cell r="Z579">
            <v>19820.39</v>
          </cell>
          <cell r="AD579">
            <v>38908.69</v>
          </cell>
          <cell r="AI579">
            <v>57165.91</v>
          </cell>
          <cell r="AJ579">
            <v>52398.1</v>
          </cell>
          <cell r="AP579">
            <v>0</v>
          </cell>
          <cell r="AQ579">
            <v>13414.11</v>
          </cell>
          <cell r="AR579">
            <v>5669.21</v>
          </cell>
          <cell r="AT579">
            <v>0</v>
          </cell>
        </row>
        <row r="580">
          <cell r="C580">
            <v>171260.14</v>
          </cell>
          <cell r="E580">
            <v>171260.14</v>
          </cell>
          <cell r="L580">
            <v>171260.14</v>
          </cell>
          <cell r="N580">
            <v>171260.14</v>
          </cell>
          <cell r="U580">
            <v>0</v>
          </cell>
          <cell r="AG580">
            <v>140079.18</v>
          </cell>
          <cell r="AP580">
            <v>0</v>
          </cell>
          <cell r="AT580">
            <v>0</v>
          </cell>
          <cell r="AU580">
            <v>31180.959999999999</v>
          </cell>
        </row>
        <row r="581">
          <cell r="C581">
            <v>88229.17</v>
          </cell>
          <cell r="E581">
            <v>88229.17</v>
          </cell>
          <cell r="L581">
            <v>88229.17</v>
          </cell>
          <cell r="N581">
            <v>88229.17</v>
          </cell>
          <cell r="U581">
            <v>0</v>
          </cell>
          <cell r="AE581">
            <v>21506.04</v>
          </cell>
          <cell r="AP581">
            <v>0</v>
          </cell>
          <cell r="AQ581">
            <v>46618.879999999997</v>
          </cell>
          <cell r="AS581">
            <v>20104.25</v>
          </cell>
          <cell r="AT581">
            <v>0</v>
          </cell>
        </row>
        <row r="582">
          <cell r="C582">
            <v>276389.65999999997</v>
          </cell>
          <cell r="E582">
            <v>276389.65999999997</v>
          </cell>
          <cell r="L582">
            <v>276389.65999999997</v>
          </cell>
          <cell r="N582">
            <v>276389.65999999997</v>
          </cell>
          <cell r="U582">
            <v>0</v>
          </cell>
          <cell r="AN582">
            <v>268000.2</v>
          </cell>
          <cell r="AP582">
            <v>0</v>
          </cell>
          <cell r="AS582">
            <v>8389.4599999999991</v>
          </cell>
          <cell r="AT582">
            <v>0</v>
          </cell>
        </row>
        <row r="583">
          <cell r="C583">
            <v>106243.74</v>
          </cell>
          <cell r="E583">
            <v>106243.74</v>
          </cell>
          <cell r="L583">
            <v>106243.74</v>
          </cell>
          <cell r="N583">
            <v>106243.74</v>
          </cell>
          <cell r="U583">
            <v>0</v>
          </cell>
          <cell r="AP583">
            <v>0</v>
          </cell>
          <cell r="AS583">
            <v>8348.7999999999993</v>
          </cell>
          <cell r="AT583">
            <v>89450.64</v>
          </cell>
          <cell r="AY583">
            <v>8444.2999999999993</v>
          </cell>
        </row>
        <row r="584">
          <cell r="C584">
            <v>0</v>
          </cell>
          <cell r="E584">
            <v>0</v>
          </cell>
          <cell r="L584">
            <v>0</v>
          </cell>
          <cell r="N584">
            <v>0</v>
          </cell>
          <cell r="U584">
            <v>0</v>
          </cell>
          <cell r="AP584">
            <v>0</v>
          </cell>
        </row>
        <row r="585">
          <cell r="C585">
            <v>11573191.640000001</v>
          </cell>
          <cell r="E585">
            <v>11573191.640000001</v>
          </cell>
          <cell r="F585">
            <v>122562.7</v>
          </cell>
          <cell r="G585">
            <v>281296.99</v>
          </cell>
          <cell r="H585">
            <v>86107.79</v>
          </cell>
          <cell r="I585">
            <v>302284.52</v>
          </cell>
          <cell r="J585">
            <v>233695.33</v>
          </cell>
          <cell r="K585">
            <v>458455.68</v>
          </cell>
          <cell r="L585">
            <v>10088788.630000001</v>
          </cell>
          <cell r="N585">
            <v>10088788.630000001</v>
          </cell>
          <cell r="O585">
            <v>1459760.42</v>
          </cell>
          <cell r="P585">
            <v>1178292.79</v>
          </cell>
          <cell r="Q585">
            <v>341863.14</v>
          </cell>
          <cell r="R585">
            <v>370950.5</v>
          </cell>
          <cell r="S585">
            <v>73546.05</v>
          </cell>
          <cell r="T585">
            <v>85363.88</v>
          </cell>
          <cell r="U585">
            <v>107740.18</v>
          </cell>
          <cell r="V585">
            <v>111174.08</v>
          </cell>
          <cell r="W585">
            <v>106804.53</v>
          </cell>
          <cell r="X585">
            <v>224835.44</v>
          </cell>
          <cell r="Y585">
            <v>225030.41</v>
          </cell>
          <cell r="Z585">
            <v>218024.29</v>
          </cell>
          <cell r="AA585">
            <v>239544.5</v>
          </cell>
          <cell r="AB585">
            <v>155792.63</v>
          </cell>
          <cell r="AC585">
            <v>68028.05</v>
          </cell>
          <cell r="AD585">
            <v>195158.48</v>
          </cell>
          <cell r="AE585">
            <v>607964.21</v>
          </cell>
          <cell r="AF585">
            <v>214872.42</v>
          </cell>
          <cell r="AG585">
            <v>645472.66</v>
          </cell>
          <cell r="AH585">
            <v>0</v>
          </cell>
          <cell r="AI585">
            <v>326343.67999999999</v>
          </cell>
          <cell r="AJ585">
            <v>314388.65000000002</v>
          </cell>
          <cell r="AK585">
            <v>231207.4</v>
          </cell>
          <cell r="AL585">
            <v>1294.7</v>
          </cell>
          <cell r="AM585">
            <v>9317.92</v>
          </cell>
          <cell r="AN585">
            <v>606262.25</v>
          </cell>
          <cell r="AO585">
            <v>191686.96</v>
          </cell>
          <cell r="AP585">
            <v>78391.929999999993</v>
          </cell>
          <cell r="AQ585">
            <v>306541.49</v>
          </cell>
          <cell r="AR585">
            <v>96430.65</v>
          </cell>
          <cell r="AS585">
            <v>138213.75</v>
          </cell>
          <cell r="AT585">
            <v>280069.88</v>
          </cell>
          <cell r="AU585">
            <v>242810.81</v>
          </cell>
          <cell r="AV585">
            <v>192962.64</v>
          </cell>
          <cell r="AW585">
            <v>200507.41</v>
          </cell>
          <cell r="AX585">
            <v>186171.31</v>
          </cell>
          <cell r="AY585">
            <v>55968.54</v>
          </cell>
        </row>
        <row r="586">
          <cell r="C586">
            <v>0</v>
          </cell>
          <cell r="E586">
            <v>0</v>
          </cell>
          <cell r="L586">
            <v>0</v>
          </cell>
          <cell r="N586">
            <v>0</v>
          </cell>
        </row>
        <row r="587">
          <cell r="C587">
            <v>0</v>
          </cell>
          <cell r="E587">
            <v>0</v>
          </cell>
          <cell r="L587">
            <v>0</v>
          </cell>
          <cell r="N587">
            <v>0</v>
          </cell>
        </row>
        <row r="588">
          <cell r="C588">
            <v>0</v>
          </cell>
          <cell r="E588">
            <v>0</v>
          </cell>
          <cell r="L588">
            <v>0</v>
          </cell>
          <cell r="N588">
            <v>0</v>
          </cell>
        </row>
        <row r="589">
          <cell r="C589">
            <v>92153048.969999999</v>
          </cell>
          <cell r="E589">
            <v>92153048.969999999</v>
          </cell>
          <cell r="F589">
            <v>440627.4</v>
          </cell>
          <cell r="G589">
            <v>2952304.09</v>
          </cell>
          <cell r="H589">
            <v>4234337.32</v>
          </cell>
          <cell r="I589">
            <v>3281110.37</v>
          </cell>
          <cell r="J589">
            <v>755421.49</v>
          </cell>
          <cell r="K589">
            <v>1840827.7</v>
          </cell>
          <cell r="L589">
            <v>78648420.599999994</v>
          </cell>
          <cell r="N589">
            <v>78648420.599999994</v>
          </cell>
          <cell r="O589">
            <v>7862871.5499999998</v>
          </cell>
          <cell r="Q589">
            <v>856470.74</v>
          </cell>
          <cell r="R589">
            <v>1064694.6100000001</v>
          </cell>
          <cell r="S589">
            <v>1060700</v>
          </cell>
          <cell r="T589">
            <v>1161569.6200000001</v>
          </cell>
          <cell r="U589">
            <v>2777500.72</v>
          </cell>
          <cell r="V589">
            <v>465849.71</v>
          </cell>
          <cell r="W589">
            <v>1443035.68</v>
          </cell>
          <cell r="X589">
            <v>2195199.73</v>
          </cell>
          <cell r="Y589">
            <v>3059329.59</v>
          </cell>
          <cell r="Z589">
            <v>7295844.75</v>
          </cell>
          <cell r="AA589">
            <v>2514015.5299999998</v>
          </cell>
          <cell r="AB589">
            <v>2432147.9500000002</v>
          </cell>
          <cell r="AC589">
            <v>5702518.4199999999</v>
          </cell>
          <cell r="AD589">
            <v>695652.45</v>
          </cell>
          <cell r="AE589">
            <v>1044905.6</v>
          </cell>
          <cell r="AF589">
            <v>917423.6</v>
          </cell>
          <cell r="AG589">
            <v>3409925.27</v>
          </cell>
          <cell r="AH589">
            <v>2013170</v>
          </cell>
          <cell r="AI589">
            <v>953319.72</v>
          </cell>
          <cell r="AJ589">
            <v>881967.1</v>
          </cell>
          <cell r="AK589">
            <v>1796440</v>
          </cell>
          <cell r="AL589">
            <v>2770466.08</v>
          </cell>
          <cell r="AM589">
            <v>193822</v>
          </cell>
          <cell r="AN589">
            <v>1493688.4</v>
          </cell>
          <cell r="AO589">
            <v>3313915.86</v>
          </cell>
          <cell r="AP589">
            <v>1577524.32</v>
          </cell>
          <cell r="AQ589">
            <v>1950401</v>
          </cell>
          <cell r="AR589">
            <v>1917654</v>
          </cell>
          <cell r="AS589">
            <v>1478297</v>
          </cell>
          <cell r="AT589">
            <v>4675810.93</v>
          </cell>
          <cell r="AU589">
            <v>1481340.35</v>
          </cell>
          <cell r="AV589">
            <v>534297</v>
          </cell>
          <cell r="AW589">
            <v>3042544.49</v>
          </cell>
          <cell r="AX589">
            <v>2224657.61</v>
          </cell>
          <cell r="AY589">
            <v>389449.22</v>
          </cell>
        </row>
        <row r="590">
          <cell r="C590">
            <v>199118454.09</v>
          </cell>
          <cell r="E590">
            <v>199118454.09</v>
          </cell>
          <cell r="F590">
            <v>3726208.63</v>
          </cell>
          <cell r="G590">
            <v>10656516.41</v>
          </cell>
          <cell r="H590">
            <v>5837874.6699999999</v>
          </cell>
          <cell r="I590">
            <v>5513686.4500000002</v>
          </cell>
          <cell r="J590">
            <v>6437170.3700000001</v>
          </cell>
          <cell r="L590">
            <v>166946997.56</v>
          </cell>
          <cell r="N590">
            <v>166946997.56</v>
          </cell>
          <cell r="O590">
            <v>19024520.379999999</v>
          </cell>
          <cell r="P590">
            <v>6329247.8200000003</v>
          </cell>
          <cell r="Q590">
            <v>7660471.1600000001</v>
          </cell>
          <cell r="R590">
            <v>6300596.2000000002</v>
          </cell>
          <cell r="S590">
            <v>3038954.83</v>
          </cell>
          <cell r="T590">
            <v>3787995.21</v>
          </cell>
          <cell r="V590">
            <v>5091974.09</v>
          </cell>
          <cell r="W590">
            <v>4823501</v>
          </cell>
          <cell r="X590">
            <v>6080743.6699999999</v>
          </cell>
          <cell r="Y590">
            <v>6262217.3899999997</v>
          </cell>
          <cell r="Z590">
            <v>7987959.5300000003</v>
          </cell>
          <cell r="AA590">
            <v>4584121.84</v>
          </cell>
          <cell r="AB590">
            <v>7893103.25</v>
          </cell>
          <cell r="AC590">
            <v>10601658.59</v>
          </cell>
          <cell r="AD590">
            <v>1058330.2</v>
          </cell>
          <cell r="AF590">
            <v>3602723.1</v>
          </cell>
          <cell r="AG590">
            <v>6383623.3200000003</v>
          </cell>
          <cell r="AH590">
            <v>1285102.51</v>
          </cell>
          <cell r="AI590">
            <v>1056430.6499999999</v>
          </cell>
          <cell r="AJ590">
            <v>1043681.5</v>
          </cell>
          <cell r="AK590">
            <v>0</v>
          </cell>
          <cell r="AL590">
            <v>3978729.21</v>
          </cell>
          <cell r="AM590">
            <v>493762.4</v>
          </cell>
          <cell r="AN590">
            <v>4879674.59</v>
          </cell>
          <cell r="AO590">
            <v>4856840.8899999997</v>
          </cell>
          <cell r="AP590">
            <v>4779232.71</v>
          </cell>
          <cell r="AQ590">
            <v>1736906.69</v>
          </cell>
          <cell r="AR590">
            <v>895677.29</v>
          </cell>
          <cell r="AS590">
            <v>1369719.22</v>
          </cell>
          <cell r="AT590">
            <v>7222939.0700000003</v>
          </cell>
          <cell r="AU590">
            <v>4629172.04</v>
          </cell>
          <cell r="AV590">
            <v>5500110.2199999997</v>
          </cell>
          <cell r="AW590">
            <v>5893254.04</v>
          </cell>
          <cell r="AX590">
            <v>5693252.0499999998</v>
          </cell>
          <cell r="AY590">
            <v>1120770.8999999999</v>
          </cell>
        </row>
        <row r="591">
          <cell r="C591">
            <v>868215.92</v>
          </cell>
          <cell r="E591">
            <v>868215.92</v>
          </cell>
          <cell r="L591">
            <v>868215.92</v>
          </cell>
          <cell r="N591">
            <v>868215.92</v>
          </cell>
          <cell r="O591">
            <v>868215.92</v>
          </cell>
        </row>
        <row r="592">
          <cell r="C592">
            <v>6063120.1299999999</v>
          </cell>
          <cell r="E592">
            <v>6063120.1299999999</v>
          </cell>
          <cell r="F592">
            <v>224148.71</v>
          </cell>
          <cell r="I592">
            <v>102033.5</v>
          </cell>
          <cell r="J592">
            <v>345677.8</v>
          </cell>
          <cell r="K592">
            <v>282930.15000000002</v>
          </cell>
          <cell r="L592">
            <v>5108329.97</v>
          </cell>
          <cell r="N592">
            <v>5108329.97</v>
          </cell>
          <cell r="Q592">
            <v>410068.26</v>
          </cell>
          <cell r="S592">
            <v>263098.81</v>
          </cell>
          <cell r="U592">
            <v>363128.1</v>
          </cell>
          <cell r="AA592">
            <v>98634.11</v>
          </cell>
          <cell r="AC592">
            <v>697843.63</v>
          </cell>
          <cell r="AE592">
            <v>379027.15</v>
          </cell>
          <cell r="AH592">
            <v>43269.56</v>
          </cell>
          <cell r="AJ592">
            <v>1188439.75</v>
          </cell>
          <cell r="AK592">
            <v>201207.09</v>
          </cell>
          <cell r="AL592">
            <v>175358.5</v>
          </cell>
          <cell r="AM592">
            <v>52315.46</v>
          </cell>
          <cell r="AP592">
            <v>373095.5</v>
          </cell>
          <cell r="AU592">
            <v>292286.12</v>
          </cell>
          <cell r="AV592">
            <v>292824.93</v>
          </cell>
          <cell r="AX592">
            <v>184079.2</v>
          </cell>
          <cell r="AY592">
            <v>93653.8</v>
          </cell>
        </row>
        <row r="593">
          <cell r="C593">
            <v>298202839.11000001</v>
          </cell>
          <cell r="E593">
            <v>298202839.11000001</v>
          </cell>
          <cell r="F593">
            <v>4390984.74</v>
          </cell>
          <cell r="G593">
            <v>13608820.5</v>
          </cell>
          <cell r="H593">
            <v>10072211.99</v>
          </cell>
          <cell r="I593">
            <v>8896830.3200000003</v>
          </cell>
          <cell r="J593">
            <v>7538269.6600000001</v>
          </cell>
          <cell r="K593">
            <v>2123757.85</v>
          </cell>
          <cell r="L593">
            <v>251571964.05000001</v>
          </cell>
          <cell r="N593">
            <v>251571964.05000001</v>
          </cell>
          <cell r="O593">
            <v>27755607.850000001</v>
          </cell>
          <cell r="P593">
            <v>6329247.8200000003</v>
          </cell>
          <cell r="Q593">
            <v>8927010.1600000001</v>
          </cell>
          <cell r="R593">
            <v>7365290.8099999996</v>
          </cell>
          <cell r="S593">
            <v>4362753.6399999997</v>
          </cell>
          <cell r="T593">
            <v>4949564.83</v>
          </cell>
          <cell r="U593">
            <v>3140628.82</v>
          </cell>
          <cell r="V593">
            <v>5557823.7999999998</v>
          </cell>
          <cell r="W593">
            <v>6266536.6799999997</v>
          </cell>
          <cell r="X593">
            <v>8275943.4000000004</v>
          </cell>
          <cell r="Y593">
            <v>9321546.9800000004</v>
          </cell>
          <cell r="Z593">
            <v>15283804.279999999</v>
          </cell>
          <cell r="AA593">
            <v>7196771.4800000004</v>
          </cell>
          <cell r="AB593">
            <v>10325251.199999999</v>
          </cell>
          <cell r="AC593">
            <v>17002020.640000001</v>
          </cell>
          <cell r="AD593">
            <v>1753982.65</v>
          </cell>
          <cell r="AE593">
            <v>1423932.75</v>
          </cell>
          <cell r="AF593">
            <v>4520146.7</v>
          </cell>
          <cell r="AG593">
            <v>9793548.5899999999</v>
          </cell>
          <cell r="AH593">
            <v>3341542.07</v>
          </cell>
          <cell r="AI593">
            <v>2009750.37</v>
          </cell>
          <cell r="AJ593">
            <v>3114088.35</v>
          </cell>
          <cell r="AK593">
            <v>1997647.09</v>
          </cell>
          <cell r="AL593">
            <v>6924553.79</v>
          </cell>
          <cell r="AM593">
            <v>739899.86</v>
          </cell>
          <cell r="AN593">
            <v>6373362.9900000002</v>
          </cell>
          <cell r="AO593">
            <v>8170756.75</v>
          </cell>
          <cell r="AP593">
            <v>6729852.5300000003</v>
          </cell>
          <cell r="AQ593">
            <v>3687307.69</v>
          </cell>
          <cell r="AR593">
            <v>2813331.29</v>
          </cell>
          <cell r="AS593">
            <v>2848016.22</v>
          </cell>
          <cell r="AT593">
            <v>11898750</v>
          </cell>
          <cell r="AU593">
            <v>6402798.5099999998</v>
          </cell>
          <cell r="AV593">
            <v>6327232.1500000004</v>
          </cell>
          <cell r="AW593">
            <v>8935798.5299999993</v>
          </cell>
          <cell r="AX593">
            <v>8101988.8600000003</v>
          </cell>
          <cell r="AY593">
            <v>1603873.92</v>
          </cell>
        </row>
        <row r="594">
          <cell r="C594">
            <v>0</v>
          </cell>
          <cell r="E594">
            <v>0</v>
          </cell>
          <cell r="L594">
            <v>0</v>
          </cell>
          <cell r="N594">
            <v>0</v>
          </cell>
        </row>
        <row r="595">
          <cell r="C595">
            <v>0</v>
          </cell>
          <cell r="E595">
            <v>0</v>
          </cell>
          <cell r="L595">
            <v>0</v>
          </cell>
          <cell r="N595">
            <v>0</v>
          </cell>
        </row>
        <row r="596">
          <cell r="C596">
            <v>5308927.66</v>
          </cell>
          <cell r="E596">
            <v>5308927.66</v>
          </cell>
          <cell r="F596">
            <v>24454.82</v>
          </cell>
          <cell r="G596">
            <v>162376.71</v>
          </cell>
          <cell r="H596">
            <v>232888.55</v>
          </cell>
          <cell r="I596">
            <v>182101.63</v>
          </cell>
          <cell r="J596">
            <v>41548.18</v>
          </cell>
          <cell r="L596">
            <v>4665557.7699999996</v>
          </cell>
          <cell r="N596">
            <v>4665557.7699999996</v>
          </cell>
          <cell r="O596">
            <v>748772.73</v>
          </cell>
          <cell r="Q596">
            <v>47105.89</v>
          </cell>
          <cell r="R596">
            <v>58558.2</v>
          </cell>
          <cell r="S596">
            <v>58338.5</v>
          </cell>
          <cell r="T596">
            <v>63886.33</v>
          </cell>
          <cell r="U596">
            <v>152762.54</v>
          </cell>
          <cell r="V596">
            <v>25621.73</v>
          </cell>
          <cell r="W596">
            <v>79366.960000000006</v>
          </cell>
          <cell r="X596">
            <v>120735.99</v>
          </cell>
          <cell r="Y596">
            <v>168263.13</v>
          </cell>
          <cell r="Z596">
            <v>404919.41</v>
          </cell>
          <cell r="AA596">
            <v>141777.74</v>
          </cell>
          <cell r="AB596">
            <v>133768.14000000001</v>
          </cell>
          <cell r="AC596">
            <v>313638.51</v>
          </cell>
          <cell r="AD596">
            <v>38260.879999999997</v>
          </cell>
          <cell r="AE596">
            <v>57469.81</v>
          </cell>
          <cell r="AF596">
            <v>50458.3</v>
          </cell>
          <cell r="AG596">
            <v>187545.89</v>
          </cell>
          <cell r="AH596">
            <v>111730.94</v>
          </cell>
          <cell r="AI596">
            <v>52432.58</v>
          </cell>
          <cell r="AJ596">
            <v>48508.19</v>
          </cell>
          <cell r="AK596">
            <v>98804.2</v>
          </cell>
          <cell r="AL596">
            <v>153760.87</v>
          </cell>
          <cell r="AM596">
            <v>10757.12</v>
          </cell>
          <cell r="AN596">
            <v>74684.42</v>
          </cell>
          <cell r="AO596">
            <v>182265.37</v>
          </cell>
          <cell r="AP596">
            <v>87552.6</v>
          </cell>
          <cell r="AQ596">
            <v>107272.06</v>
          </cell>
          <cell r="AR596">
            <v>105470.97</v>
          </cell>
          <cell r="AS596">
            <v>81306.34</v>
          </cell>
          <cell r="AT596">
            <v>257169.6</v>
          </cell>
          <cell r="AU596">
            <v>103693.82</v>
          </cell>
          <cell r="AV596">
            <v>29386.34</v>
          </cell>
          <cell r="AW596">
            <v>167339.95000000001</v>
          </cell>
          <cell r="AX596">
            <v>122356.17</v>
          </cell>
          <cell r="AY596">
            <v>19815.55</v>
          </cell>
        </row>
        <row r="597">
          <cell r="C597">
            <v>12894903.92</v>
          </cell>
          <cell r="E597">
            <v>12894903.92</v>
          </cell>
          <cell r="F597">
            <v>206804.58</v>
          </cell>
          <cell r="G597">
            <v>586108.4</v>
          </cell>
          <cell r="H597">
            <v>291403.12</v>
          </cell>
          <cell r="I597">
            <v>306009.59999999998</v>
          </cell>
          <cell r="J597">
            <v>354044.37</v>
          </cell>
          <cell r="L597">
            <v>11150533.85</v>
          </cell>
          <cell r="N597">
            <v>11150533.85</v>
          </cell>
          <cell r="O597">
            <v>1224281.02</v>
          </cell>
          <cell r="P597">
            <v>697131.66</v>
          </cell>
          <cell r="Q597">
            <v>421325.91</v>
          </cell>
          <cell r="R597">
            <v>346532.78</v>
          </cell>
          <cell r="S597">
            <v>167142.51999999999</v>
          </cell>
          <cell r="T597">
            <v>209713.52</v>
          </cell>
          <cell r="V597">
            <v>280058.68</v>
          </cell>
          <cell r="W597">
            <v>265292.56</v>
          </cell>
          <cell r="X597">
            <v>334440.90000000002</v>
          </cell>
          <cell r="Y597">
            <v>335743.9</v>
          </cell>
          <cell r="Z597">
            <v>443331.78</v>
          </cell>
          <cell r="AA597">
            <v>258521.25</v>
          </cell>
          <cell r="AB597">
            <v>405942.07</v>
          </cell>
          <cell r="AC597">
            <v>583091.22</v>
          </cell>
          <cell r="AD597">
            <v>58176.46</v>
          </cell>
          <cell r="AE597">
            <v>20880.34</v>
          </cell>
          <cell r="AF597">
            <v>202669.75</v>
          </cell>
          <cell r="AG597">
            <v>360883.84</v>
          </cell>
          <cell r="AH597">
            <v>71323.19</v>
          </cell>
          <cell r="AI597">
            <v>75536.86</v>
          </cell>
          <cell r="AJ597">
            <v>975802.9</v>
          </cell>
          <cell r="AK597">
            <v>0</v>
          </cell>
          <cell r="AL597">
            <v>220819.47</v>
          </cell>
          <cell r="AM597">
            <v>27403.81</v>
          </cell>
          <cell r="AN597">
            <v>243158.64</v>
          </cell>
          <cell r="AO597">
            <v>411754.34</v>
          </cell>
          <cell r="AP597">
            <v>265247.42</v>
          </cell>
          <cell r="AQ597">
            <v>190261.84</v>
          </cell>
          <cell r="AR597">
            <v>146313.44</v>
          </cell>
          <cell r="AS597">
            <v>169733.95</v>
          </cell>
          <cell r="AT597">
            <v>412569.5</v>
          </cell>
          <cell r="AU597">
            <v>324042.03999999998</v>
          </cell>
          <cell r="AV597">
            <v>302506.06</v>
          </cell>
          <cell r="AW597">
            <v>324128.96999999997</v>
          </cell>
          <cell r="AX597">
            <v>313128.86</v>
          </cell>
          <cell r="AY597">
            <v>61642.400000000001</v>
          </cell>
        </row>
        <row r="598">
          <cell r="C598">
            <v>88735.41</v>
          </cell>
          <cell r="E598">
            <v>88735.41</v>
          </cell>
          <cell r="H598">
            <v>0</v>
          </cell>
          <cell r="I598">
            <v>0</v>
          </cell>
          <cell r="J598">
            <v>0</v>
          </cell>
          <cell r="L598">
            <v>88735.41</v>
          </cell>
          <cell r="N598">
            <v>88735.41</v>
          </cell>
          <cell r="O598">
            <v>83172.95</v>
          </cell>
          <cell r="Q598">
            <v>0</v>
          </cell>
          <cell r="S598">
            <v>0</v>
          </cell>
          <cell r="W598">
            <v>0</v>
          </cell>
          <cell r="X598">
            <v>0</v>
          </cell>
          <cell r="AA598">
            <v>5562.46</v>
          </cell>
          <cell r="AC598">
            <v>0</v>
          </cell>
          <cell r="AH598">
            <v>0</v>
          </cell>
          <cell r="AK598">
            <v>0</v>
          </cell>
          <cell r="AL598">
            <v>0</v>
          </cell>
          <cell r="AN598">
            <v>0</v>
          </cell>
          <cell r="AP598">
            <v>0</v>
          </cell>
          <cell r="AU598">
            <v>0</v>
          </cell>
          <cell r="AV598">
            <v>0</v>
          </cell>
          <cell r="AX598">
            <v>0</v>
          </cell>
          <cell r="AY598">
            <v>0</v>
          </cell>
        </row>
        <row r="599">
          <cell r="C599">
            <v>1048632.06</v>
          </cell>
          <cell r="E599">
            <v>1048632.06</v>
          </cell>
          <cell r="F599">
            <v>13277.51</v>
          </cell>
          <cell r="H599">
            <v>0</v>
          </cell>
          <cell r="I599">
            <v>5662.8</v>
          </cell>
          <cell r="J599">
            <v>9004.1200000000008</v>
          </cell>
          <cell r="K599">
            <v>118930.48</v>
          </cell>
          <cell r="L599">
            <v>901757.15</v>
          </cell>
          <cell r="N599">
            <v>901757.15</v>
          </cell>
          <cell r="O599">
            <v>0</v>
          </cell>
          <cell r="Q599">
            <v>22553.78</v>
          </cell>
          <cell r="R599">
            <v>32888.160000000003</v>
          </cell>
          <cell r="S599">
            <v>-4887.3599999999997</v>
          </cell>
          <cell r="U599">
            <v>17642.73</v>
          </cell>
          <cell r="W599">
            <v>0.01</v>
          </cell>
          <cell r="X599">
            <v>0</v>
          </cell>
          <cell r="AC599">
            <v>279747.52</v>
          </cell>
          <cell r="AH599">
            <v>26752.71</v>
          </cell>
          <cell r="AJ599">
            <v>67731.429999999993</v>
          </cell>
          <cell r="AK599">
            <v>132858.01</v>
          </cell>
          <cell r="AL599">
            <v>21646.17</v>
          </cell>
          <cell r="AM599">
            <v>54960</v>
          </cell>
          <cell r="AN599">
            <v>0</v>
          </cell>
          <cell r="AP599">
            <v>131520.60999999999</v>
          </cell>
          <cell r="AU599">
            <v>52714.39</v>
          </cell>
          <cell r="AV599">
            <v>32149.49</v>
          </cell>
          <cell r="AX599">
            <v>4095.61</v>
          </cell>
          <cell r="AY599">
            <v>29383.89</v>
          </cell>
        </row>
        <row r="600">
          <cell r="C600">
            <v>19341199.050000001</v>
          </cell>
          <cell r="E600">
            <v>19341199.050000001</v>
          </cell>
          <cell r="F600">
            <v>244536.91</v>
          </cell>
          <cell r="G600">
            <v>748485.11</v>
          </cell>
          <cell r="H600">
            <v>524291.67000000004</v>
          </cell>
          <cell r="I600">
            <v>493774.03</v>
          </cell>
          <cell r="J600">
            <v>404596.67</v>
          </cell>
          <cell r="K600">
            <v>118930.48</v>
          </cell>
          <cell r="L600">
            <v>16806584.18</v>
          </cell>
          <cell r="N600">
            <v>16806584.18</v>
          </cell>
          <cell r="O600">
            <v>2056226.7</v>
          </cell>
          <cell r="P600">
            <v>697131.66</v>
          </cell>
          <cell r="Q600">
            <v>490985.58</v>
          </cell>
          <cell r="R600">
            <v>437979.14</v>
          </cell>
          <cell r="S600">
            <v>220593.66</v>
          </cell>
          <cell r="T600">
            <v>273599.84999999998</v>
          </cell>
          <cell r="U600">
            <v>170405.27</v>
          </cell>
          <cell r="V600">
            <v>305680.40999999997</v>
          </cell>
          <cell r="W600">
            <v>344659.53</v>
          </cell>
          <cell r="X600">
            <v>455176.89</v>
          </cell>
          <cell r="Y600">
            <v>504007.03</v>
          </cell>
          <cell r="Z600">
            <v>848251.19</v>
          </cell>
          <cell r="AA600">
            <v>405861.45</v>
          </cell>
          <cell r="AB600">
            <v>539710.21</v>
          </cell>
          <cell r="AC600">
            <v>1176477.25</v>
          </cell>
          <cell r="AD600">
            <v>96437.34</v>
          </cell>
          <cell r="AE600">
            <v>78350.149999999994</v>
          </cell>
          <cell r="AF600">
            <v>253128.05</v>
          </cell>
          <cell r="AG600">
            <v>548429.73</v>
          </cell>
          <cell r="AH600">
            <v>209806.84</v>
          </cell>
          <cell r="AI600">
            <v>127969.44</v>
          </cell>
          <cell r="AJ600">
            <v>1092042.52</v>
          </cell>
          <cell r="AK600">
            <v>231662.21</v>
          </cell>
          <cell r="AL600">
            <v>396226.51</v>
          </cell>
          <cell r="AM600">
            <v>93120.93</v>
          </cell>
          <cell r="AN600">
            <v>317843.06</v>
          </cell>
          <cell r="AO600">
            <v>594019.71</v>
          </cell>
          <cell r="AP600">
            <v>484320.63</v>
          </cell>
          <cell r="AQ600">
            <v>297533.90000000002</v>
          </cell>
          <cell r="AR600">
            <v>251784.41</v>
          </cell>
          <cell r="AS600">
            <v>251040.29</v>
          </cell>
          <cell r="AT600">
            <v>669739.1</v>
          </cell>
          <cell r="AU600">
            <v>480450.25</v>
          </cell>
          <cell r="AV600">
            <v>364041.89</v>
          </cell>
          <cell r="AW600">
            <v>491468.92</v>
          </cell>
          <cell r="AX600">
            <v>439580.64</v>
          </cell>
          <cell r="AY600">
            <v>110841.84</v>
          </cell>
        </row>
        <row r="601">
          <cell r="C601">
            <v>1345582.6</v>
          </cell>
          <cell r="E601">
            <v>1345582.6</v>
          </cell>
          <cell r="L601">
            <v>1345582.6</v>
          </cell>
          <cell r="N601">
            <v>1345582.6</v>
          </cell>
          <cell r="AE601">
            <v>1345582.6</v>
          </cell>
        </row>
        <row r="602">
          <cell r="C602">
            <v>86844121.310000002</v>
          </cell>
          <cell r="E602">
            <v>86844121.310000002</v>
          </cell>
          <cell r="F602">
            <v>416172.58</v>
          </cell>
          <cell r="G602">
            <v>2789927.38</v>
          </cell>
          <cell r="H602">
            <v>4001448.77</v>
          </cell>
          <cell r="I602">
            <v>3099008.74</v>
          </cell>
          <cell r="J602">
            <v>713873.31</v>
          </cell>
          <cell r="K602">
            <v>1840827.7</v>
          </cell>
          <cell r="L602">
            <v>73982862.829999998</v>
          </cell>
          <cell r="N602">
            <v>73982862.829999998</v>
          </cell>
          <cell r="O602">
            <v>7114098.8200000003</v>
          </cell>
          <cell r="P602">
            <v>0</v>
          </cell>
          <cell r="Q602">
            <v>809364.85</v>
          </cell>
          <cell r="R602">
            <v>1006136.41</v>
          </cell>
          <cell r="S602">
            <v>1002361.5</v>
          </cell>
          <cell r="T602">
            <v>1097683.29</v>
          </cell>
          <cell r="U602">
            <v>2624738.1800000002</v>
          </cell>
          <cell r="V602">
            <v>440227.98</v>
          </cell>
          <cell r="W602">
            <v>1363668.72</v>
          </cell>
          <cell r="X602">
            <v>2074463.74</v>
          </cell>
          <cell r="Y602">
            <v>2891066.46</v>
          </cell>
          <cell r="Z602">
            <v>6890925.3399999999</v>
          </cell>
          <cell r="AA602">
            <v>2372237.79</v>
          </cell>
          <cell r="AB602">
            <v>2298379.81</v>
          </cell>
          <cell r="AC602">
            <v>5388879.9100000001</v>
          </cell>
          <cell r="AD602">
            <v>657391.56999999995</v>
          </cell>
          <cell r="AE602">
            <v>987435.79</v>
          </cell>
          <cell r="AF602">
            <v>866965.3</v>
          </cell>
          <cell r="AG602">
            <v>3222379.38</v>
          </cell>
          <cell r="AH602">
            <v>1901439.06</v>
          </cell>
          <cell r="AI602">
            <v>900887.14</v>
          </cell>
          <cell r="AJ602">
            <v>833458.91</v>
          </cell>
          <cell r="AK602">
            <v>1697635.8</v>
          </cell>
          <cell r="AL602">
            <v>2616705.21</v>
          </cell>
          <cell r="AM602">
            <v>183064.88</v>
          </cell>
          <cell r="AN602">
            <v>1419003.98</v>
          </cell>
          <cell r="AO602">
            <v>3131650.49</v>
          </cell>
          <cell r="AP602">
            <v>1489971.72</v>
          </cell>
          <cell r="AQ602">
            <v>1843128.94</v>
          </cell>
          <cell r="AR602">
            <v>1812183.03</v>
          </cell>
          <cell r="AS602">
            <v>1396990.66</v>
          </cell>
          <cell r="AT602">
            <v>4418641.33</v>
          </cell>
          <cell r="AU602">
            <v>1377646.53</v>
          </cell>
          <cell r="AV602">
            <v>504910.66</v>
          </cell>
          <cell r="AW602">
            <v>2875204.54</v>
          </cell>
          <cell r="AX602">
            <v>2102301.44</v>
          </cell>
          <cell r="AY602">
            <v>369633.67</v>
          </cell>
        </row>
        <row r="603">
          <cell r="C603">
            <v>186223550.16999999</v>
          </cell>
          <cell r="E603">
            <v>186223550.16999999</v>
          </cell>
          <cell r="F603">
            <v>3519404.05</v>
          </cell>
          <cell r="G603">
            <v>10070408.01</v>
          </cell>
          <cell r="H603">
            <v>5546471.5499999998</v>
          </cell>
          <cell r="I603">
            <v>5207676.8499999996</v>
          </cell>
          <cell r="J603">
            <v>6083126</v>
          </cell>
          <cell r="K603">
            <v>0</v>
          </cell>
          <cell r="L603">
            <v>155796463.71000001</v>
          </cell>
          <cell r="N603">
            <v>155796463.71000001</v>
          </cell>
          <cell r="O603">
            <v>17800239.359999999</v>
          </cell>
          <cell r="P603">
            <v>5632116.1600000001</v>
          </cell>
          <cell r="Q603">
            <v>7239145.25</v>
          </cell>
          <cell r="R603">
            <v>5954063.4199999999</v>
          </cell>
          <cell r="S603">
            <v>2871812.31</v>
          </cell>
          <cell r="T603">
            <v>3578281.69</v>
          </cell>
          <cell r="U603">
            <v>0</v>
          </cell>
          <cell r="V603">
            <v>4811915.41</v>
          </cell>
          <cell r="W603">
            <v>4558208.4400000004</v>
          </cell>
          <cell r="X603">
            <v>5746302.7699999996</v>
          </cell>
          <cell r="Y603">
            <v>5926473.4900000002</v>
          </cell>
          <cell r="Z603">
            <v>7544627.75</v>
          </cell>
          <cell r="AA603">
            <v>4325600.59</v>
          </cell>
          <cell r="AB603">
            <v>7487161.1799999997</v>
          </cell>
          <cell r="AC603">
            <v>10018567.369999999</v>
          </cell>
          <cell r="AD603">
            <v>1000153.74</v>
          </cell>
          <cell r="AE603">
            <v>-20880.34</v>
          </cell>
          <cell r="AF603">
            <v>3400053.35</v>
          </cell>
          <cell r="AG603">
            <v>6022739.4800000004</v>
          </cell>
          <cell r="AH603">
            <v>1213779.32</v>
          </cell>
          <cell r="AI603">
            <v>980893.79</v>
          </cell>
          <cell r="AJ603">
            <v>67878.600000000006</v>
          </cell>
          <cell r="AK603">
            <v>0</v>
          </cell>
          <cell r="AL603">
            <v>3757909.74</v>
          </cell>
          <cell r="AM603">
            <v>466358.59</v>
          </cell>
          <cell r="AN603">
            <v>4636515.95</v>
          </cell>
          <cell r="AO603">
            <v>4445086.55</v>
          </cell>
          <cell r="AP603">
            <v>4513985.29</v>
          </cell>
          <cell r="AQ603">
            <v>1546644.85</v>
          </cell>
          <cell r="AR603">
            <v>749363.85</v>
          </cell>
          <cell r="AS603">
            <v>1199985.27</v>
          </cell>
          <cell r="AT603">
            <v>6810369.5700000003</v>
          </cell>
          <cell r="AU603">
            <v>4305130</v>
          </cell>
          <cell r="AV603">
            <v>5197604.16</v>
          </cell>
          <cell r="AW603">
            <v>5569125.0700000003</v>
          </cell>
          <cell r="AX603">
            <v>5380123.1900000004</v>
          </cell>
          <cell r="AY603">
            <v>1059128.5</v>
          </cell>
        </row>
        <row r="604">
          <cell r="C604">
            <v>779480.51</v>
          </cell>
          <cell r="E604">
            <v>779480.51</v>
          </cell>
          <cell r="F604">
            <v>0</v>
          </cell>
          <cell r="G604">
            <v>0</v>
          </cell>
          <cell r="H604">
            <v>0</v>
          </cell>
          <cell r="I604">
            <v>0</v>
          </cell>
          <cell r="J604">
            <v>0</v>
          </cell>
          <cell r="K604">
            <v>0</v>
          </cell>
          <cell r="L604">
            <v>779480.51</v>
          </cell>
          <cell r="N604">
            <v>779480.51</v>
          </cell>
          <cell r="O604">
            <v>785042.97</v>
          </cell>
          <cell r="P604">
            <v>0</v>
          </cell>
          <cell r="Q604">
            <v>0</v>
          </cell>
          <cell r="R604">
            <v>0</v>
          </cell>
          <cell r="S604">
            <v>0</v>
          </cell>
          <cell r="T604">
            <v>0</v>
          </cell>
          <cell r="U604">
            <v>0</v>
          </cell>
          <cell r="V604">
            <v>0</v>
          </cell>
          <cell r="W604">
            <v>0</v>
          </cell>
          <cell r="X604">
            <v>0</v>
          </cell>
          <cell r="Y604">
            <v>0</v>
          </cell>
          <cell r="Z604">
            <v>0</v>
          </cell>
          <cell r="AA604">
            <v>-5562.46</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row>
        <row r="605">
          <cell r="C605">
            <v>5014488.07</v>
          </cell>
          <cell r="E605">
            <v>5014488.07</v>
          </cell>
          <cell r="F605">
            <v>210871.2</v>
          </cell>
          <cell r="G605">
            <v>0</v>
          </cell>
          <cell r="H605">
            <v>0</v>
          </cell>
          <cell r="I605">
            <v>96370.7</v>
          </cell>
          <cell r="J605">
            <v>336673.68</v>
          </cell>
          <cell r="K605">
            <v>163999.67000000001</v>
          </cell>
          <cell r="L605">
            <v>4206572.82</v>
          </cell>
          <cell r="N605">
            <v>4206572.82</v>
          </cell>
          <cell r="O605">
            <v>0</v>
          </cell>
          <cell r="P605">
            <v>0</v>
          </cell>
          <cell r="Q605">
            <v>387514.48</v>
          </cell>
          <cell r="R605">
            <v>-32888.160000000003</v>
          </cell>
          <cell r="S605">
            <v>267986.17</v>
          </cell>
          <cell r="T605">
            <v>0</v>
          </cell>
          <cell r="U605">
            <v>345485.37</v>
          </cell>
          <cell r="V605">
            <v>0</v>
          </cell>
          <cell r="W605">
            <v>-0.01</v>
          </cell>
          <cell r="X605">
            <v>0</v>
          </cell>
          <cell r="Y605">
            <v>0</v>
          </cell>
          <cell r="Z605">
            <v>0</v>
          </cell>
          <cell r="AA605">
            <v>98634.11</v>
          </cell>
          <cell r="AB605">
            <v>0</v>
          </cell>
          <cell r="AC605">
            <v>418096.11</v>
          </cell>
          <cell r="AD605">
            <v>0</v>
          </cell>
          <cell r="AE605">
            <v>379027.15</v>
          </cell>
          <cell r="AF605">
            <v>0</v>
          </cell>
          <cell r="AG605">
            <v>0</v>
          </cell>
          <cell r="AH605">
            <v>16516.849999999999</v>
          </cell>
          <cell r="AI605">
            <v>0</v>
          </cell>
          <cell r="AJ605">
            <v>1120708.32</v>
          </cell>
          <cell r="AK605">
            <v>68349.08</v>
          </cell>
          <cell r="AL605">
            <v>153712.32999999999</v>
          </cell>
          <cell r="AM605">
            <v>-2644.54</v>
          </cell>
          <cell r="AN605">
            <v>0</v>
          </cell>
          <cell r="AO605">
            <v>0</v>
          </cell>
          <cell r="AP605">
            <v>241574.89</v>
          </cell>
          <cell r="AQ605">
            <v>0</v>
          </cell>
          <cell r="AR605">
            <v>0</v>
          </cell>
          <cell r="AS605">
            <v>0</v>
          </cell>
          <cell r="AT605">
            <v>0</v>
          </cell>
          <cell r="AU605">
            <v>239571.73</v>
          </cell>
          <cell r="AV605">
            <v>260675.44</v>
          </cell>
          <cell r="AW605">
            <v>0</v>
          </cell>
          <cell r="AX605">
            <v>179983.59</v>
          </cell>
          <cell r="AY605">
            <v>64269.91</v>
          </cell>
        </row>
        <row r="606">
          <cell r="C606">
            <v>278861640.06</v>
          </cell>
          <cell r="E606">
            <v>278861640.06</v>
          </cell>
          <cell r="F606">
            <v>4146447.83</v>
          </cell>
          <cell r="G606">
            <v>12860335.390000001</v>
          </cell>
          <cell r="H606">
            <v>9547920.3200000003</v>
          </cell>
          <cell r="I606">
            <v>8403056.2899999991</v>
          </cell>
          <cell r="J606">
            <v>7133672.9900000002</v>
          </cell>
          <cell r="K606">
            <v>2004827.37</v>
          </cell>
          <cell r="L606">
            <v>234765379.87</v>
          </cell>
          <cell r="N606">
            <v>234765379.87</v>
          </cell>
          <cell r="O606">
            <v>25699381.149999999</v>
          </cell>
          <cell r="P606">
            <v>5632116.1600000001</v>
          </cell>
          <cell r="Q606">
            <v>8436024.5800000001</v>
          </cell>
          <cell r="R606">
            <v>6927311.6699999999</v>
          </cell>
          <cell r="S606">
            <v>4142159.98</v>
          </cell>
          <cell r="T606">
            <v>4675964.9800000004</v>
          </cell>
          <cell r="U606">
            <v>2970223.55</v>
          </cell>
          <cell r="V606">
            <v>5252143.3899999997</v>
          </cell>
          <cell r="W606">
            <v>5921877.1500000004</v>
          </cell>
          <cell r="X606">
            <v>7820766.5099999998</v>
          </cell>
          <cell r="Y606">
            <v>8817539.9499999993</v>
          </cell>
          <cell r="Z606">
            <v>14435553.09</v>
          </cell>
          <cell r="AA606">
            <v>6790910.0300000003</v>
          </cell>
          <cell r="AB606">
            <v>9785540.9900000002</v>
          </cell>
          <cell r="AC606">
            <v>15825543.390000001</v>
          </cell>
          <cell r="AD606">
            <v>1657545.31</v>
          </cell>
          <cell r="AE606">
            <v>1345582.6</v>
          </cell>
          <cell r="AF606">
            <v>4267018.6500000004</v>
          </cell>
          <cell r="AG606">
            <v>9245118.8599999994</v>
          </cell>
          <cell r="AH606">
            <v>3131735.23</v>
          </cell>
          <cell r="AI606">
            <v>1881780.93</v>
          </cell>
          <cell r="AJ606">
            <v>2022045.83</v>
          </cell>
          <cell r="AK606">
            <v>1765984.88</v>
          </cell>
          <cell r="AL606">
            <v>6528327.2800000003</v>
          </cell>
          <cell r="AM606">
            <v>646778.93000000005</v>
          </cell>
          <cell r="AN606">
            <v>6055519.9299999997</v>
          </cell>
          <cell r="AO606">
            <v>7576737.04</v>
          </cell>
          <cell r="AP606">
            <v>6245531.9000000004</v>
          </cell>
          <cell r="AQ606">
            <v>3389773.79</v>
          </cell>
          <cell r="AR606">
            <v>2561546.88</v>
          </cell>
          <cell r="AS606">
            <v>2596975.9300000002</v>
          </cell>
          <cell r="AT606">
            <v>11229010.9</v>
          </cell>
          <cell r="AU606">
            <v>5922348.2599999998</v>
          </cell>
          <cell r="AV606">
            <v>5963190.2599999998</v>
          </cell>
          <cell r="AW606">
            <v>8444329.6099999994</v>
          </cell>
          <cell r="AX606">
            <v>7662408.2199999997</v>
          </cell>
          <cell r="AY606">
            <v>1493032.08</v>
          </cell>
        </row>
        <row r="607">
          <cell r="C607">
            <v>0</v>
          </cell>
          <cell r="E607">
            <v>0</v>
          </cell>
          <cell r="L607">
            <v>0</v>
          </cell>
          <cell r="N607">
            <v>0</v>
          </cell>
        </row>
        <row r="608">
          <cell r="C608">
            <v>0</v>
          </cell>
          <cell r="E608">
            <v>0</v>
          </cell>
          <cell r="L608">
            <v>0</v>
          </cell>
          <cell r="N608">
            <v>0</v>
          </cell>
        </row>
        <row r="609">
          <cell r="C609">
            <v>46064888.439999998</v>
          </cell>
          <cell r="E609">
            <v>46064888.439999998</v>
          </cell>
          <cell r="G609">
            <v>1558387.19</v>
          </cell>
          <cell r="H609">
            <v>1411953.6</v>
          </cell>
          <cell r="I609">
            <v>1718198.45</v>
          </cell>
          <cell r="J609">
            <v>1358932.25</v>
          </cell>
          <cell r="K609">
            <v>1133443.83</v>
          </cell>
          <cell r="L609">
            <v>38883973.119999997</v>
          </cell>
          <cell r="N609">
            <v>38883973.119999997</v>
          </cell>
          <cell r="O609">
            <v>38951730.740000002</v>
          </cell>
          <cell r="Y609">
            <v>-22101.26</v>
          </cell>
          <cell r="AA609">
            <v>-45656.36</v>
          </cell>
          <cell r="AP609">
            <v>0</v>
          </cell>
        </row>
        <row r="610">
          <cell r="C610">
            <v>4897017.72</v>
          </cell>
          <cell r="E610">
            <v>4897017.72</v>
          </cell>
          <cell r="F610">
            <v>145126.09</v>
          </cell>
          <cell r="G610">
            <v>474833.41</v>
          </cell>
          <cell r="H610">
            <v>120689.55</v>
          </cell>
          <cell r="I610">
            <v>729365.15</v>
          </cell>
          <cell r="J610">
            <v>351259.1</v>
          </cell>
          <cell r="K610">
            <v>573658.03</v>
          </cell>
          <cell r="L610">
            <v>2502086.39</v>
          </cell>
          <cell r="N610">
            <v>2502086.39</v>
          </cell>
          <cell r="O610">
            <v>832081.62</v>
          </cell>
          <cell r="P610">
            <v>85711.2</v>
          </cell>
          <cell r="Q610">
            <v>58782.13</v>
          </cell>
          <cell r="R610">
            <v>96679.16</v>
          </cell>
          <cell r="S610">
            <v>48372.44</v>
          </cell>
          <cell r="T610">
            <v>21212.94</v>
          </cell>
          <cell r="U610">
            <v>28877.23</v>
          </cell>
          <cell r="V610">
            <v>29281.7</v>
          </cell>
          <cell r="W610">
            <v>39881.14</v>
          </cell>
          <cell r="X610">
            <v>118344.27</v>
          </cell>
          <cell r="Z610">
            <v>94845.16</v>
          </cell>
          <cell r="AB610">
            <v>36127.83</v>
          </cell>
          <cell r="AC610">
            <v>43182.78</v>
          </cell>
          <cell r="AD610">
            <v>74669.27</v>
          </cell>
          <cell r="AE610">
            <v>99752.82</v>
          </cell>
          <cell r="AF610">
            <v>55407.86</v>
          </cell>
          <cell r="AG610">
            <v>45697.32</v>
          </cell>
          <cell r="AH610">
            <v>5625.27</v>
          </cell>
          <cell r="AI610">
            <v>43931.26</v>
          </cell>
          <cell r="AJ610">
            <v>52199.51</v>
          </cell>
          <cell r="AK610">
            <v>16195.24</v>
          </cell>
          <cell r="AL610">
            <v>18138.84</v>
          </cell>
          <cell r="AM610">
            <v>11940.44</v>
          </cell>
          <cell r="AN610">
            <v>66511.460000000006</v>
          </cell>
          <cell r="AO610">
            <v>30539.68</v>
          </cell>
          <cell r="AP610">
            <v>78864.88</v>
          </cell>
          <cell r="AQ610">
            <v>84468.65</v>
          </cell>
          <cell r="AR610">
            <v>38192.74</v>
          </cell>
          <cell r="AS610">
            <v>59577.85</v>
          </cell>
          <cell r="AT610">
            <v>46729.83</v>
          </cell>
          <cell r="AU610">
            <v>31470.3</v>
          </cell>
          <cell r="AV610">
            <v>45757.33</v>
          </cell>
          <cell r="AW610">
            <v>31209.5</v>
          </cell>
          <cell r="AX610">
            <v>27347.119999999999</v>
          </cell>
          <cell r="AY610">
            <v>4479.62</v>
          </cell>
        </row>
        <row r="611">
          <cell r="C611">
            <v>0</v>
          </cell>
          <cell r="E611">
            <v>0</v>
          </cell>
          <cell r="L611">
            <v>0</v>
          </cell>
          <cell r="N611">
            <v>0</v>
          </cell>
          <cell r="AP611">
            <v>0</v>
          </cell>
        </row>
        <row r="612">
          <cell r="C612">
            <v>0</v>
          </cell>
          <cell r="E612">
            <v>0</v>
          </cell>
          <cell r="L612">
            <v>0</v>
          </cell>
          <cell r="N612">
            <v>0</v>
          </cell>
          <cell r="AP612">
            <v>0</v>
          </cell>
        </row>
        <row r="613">
          <cell r="C613">
            <v>2858222.6</v>
          </cell>
          <cell r="E613">
            <v>2858222.6</v>
          </cell>
          <cell r="F613">
            <v>52126.84</v>
          </cell>
          <cell r="G613">
            <v>91202.34</v>
          </cell>
          <cell r="H613">
            <v>29325.63</v>
          </cell>
          <cell r="I613">
            <v>159173.07999999999</v>
          </cell>
          <cell r="J613">
            <v>11221.11</v>
          </cell>
          <cell r="K613">
            <v>73073.23</v>
          </cell>
          <cell r="L613">
            <v>2442100.37</v>
          </cell>
          <cell r="N613">
            <v>2442100.37</v>
          </cell>
          <cell r="O613">
            <v>1333314.8899999999</v>
          </cell>
          <cell r="P613">
            <v>18355.25</v>
          </cell>
          <cell r="Q613">
            <v>79188.429999999993</v>
          </cell>
          <cell r="R613">
            <v>30959.87</v>
          </cell>
          <cell r="S613">
            <v>20026.86</v>
          </cell>
          <cell r="T613">
            <v>10445.57</v>
          </cell>
          <cell r="U613">
            <v>8473.2999999999993</v>
          </cell>
          <cell r="V613">
            <v>59335.01</v>
          </cell>
          <cell r="W613">
            <v>13201.35</v>
          </cell>
          <cell r="X613">
            <v>14102.25</v>
          </cell>
          <cell r="Y613">
            <v>12873.91</v>
          </cell>
          <cell r="Z613">
            <v>127994.55</v>
          </cell>
          <cell r="AA613">
            <v>13060.41</v>
          </cell>
          <cell r="AB613">
            <v>4964.68</v>
          </cell>
          <cell r="AC613">
            <v>46879.86</v>
          </cell>
          <cell r="AD613">
            <v>48462.82</v>
          </cell>
          <cell r="AE613">
            <v>132819.07</v>
          </cell>
          <cell r="AF613">
            <v>34093.440000000002</v>
          </cell>
          <cell r="AG613">
            <v>34609.769999999997</v>
          </cell>
          <cell r="AH613">
            <v>9607.84</v>
          </cell>
          <cell r="AI613">
            <v>14011.63</v>
          </cell>
          <cell r="AJ613">
            <v>-3485.09</v>
          </cell>
          <cell r="AK613">
            <v>31888.35</v>
          </cell>
          <cell r="AL613">
            <v>31582.16</v>
          </cell>
          <cell r="AM613">
            <v>967.82</v>
          </cell>
          <cell r="AN613">
            <v>41553.74</v>
          </cell>
          <cell r="AO613">
            <v>67787.03</v>
          </cell>
          <cell r="AP613">
            <v>43290.91</v>
          </cell>
          <cell r="AQ613">
            <v>14990.79</v>
          </cell>
          <cell r="AR613">
            <v>3045.68</v>
          </cell>
          <cell r="AS613">
            <v>1726.88</v>
          </cell>
          <cell r="AT613">
            <v>45865.13</v>
          </cell>
          <cell r="AU613">
            <v>35037.480000000003</v>
          </cell>
          <cell r="AV613">
            <v>29171.97</v>
          </cell>
          <cell r="AW613">
            <v>4050.48</v>
          </cell>
          <cell r="AX613">
            <v>25870.28</v>
          </cell>
          <cell r="AY613">
            <v>1976</v>
          </cell>
        </row>
        <row r="614">
          <cell r="C614">
            <v>44026093.32</v>
          </cell>
          <cell r="E614">
            <v>44026093.32</v>
          </cell>
          <cell r="F614">
            <v>-92999.25</v>
          </cell>
          <cell r="G614">
            <v>1174756.1200000001</v>
          </cell>
          <cell r="H614">
            <v>1320589.68</v>
          </cell>
          <cell r="I614">
            <v>1148006.3799999999</v>
          </cell>
          <cell r="J614">
            <v>1018894.26</v>
          </cell>
          <cell r="K614">
            <v>632859.03</v>
          </cell>
          <cell r="L614">
            <v>38823987.100000001</v>
          </cell>
          <cell r="N614">
            <v>38823987.100000001</v>
          </cell>
          <cell r="O614">
            <v>39452964.009999998</v>
          </cell>
          <cell r="P614">
            <v>-67355.95</v>
          </cell>
          <cell r="Q614">
            <v>20406.3</v>
          </cell>
          <cell r="R614">
            <v>-65719.289999999994</v>
          </cell>
          <cell r="S614">
            <v>-28345.58</v>
          </cell>
          <cell r="T614">
            <v>-10767.37</v>
          </cell>
          <cell r="U614">
            <v>-20403.93</v>
          </cell>
          <cell r="V614">
            <v>30053.31</v>
          </cell>
          <cell r="W614">
            <v>-26679.79</v>
          </cell>
          <cell r="X614">
            <v>-104242.02</v>
          </cell>
          <cell r="Y614">
            <v>-9227.35</v>
          </cell>
          <cell r="Z614">
            <v>33149.39</v>
          </cell>
          <cell r="AA614">
            <v>-32595.95</v>
          </cell>
          <cell r="AB614">
            <v>-31163.15</v>
          </cell>
          <cell r="AC614">
            <v>3697.08</v>
          </cell>
          <cell r="AD614">
            <v>-26206.45</v>
          </cell>
          <cell r="AE614">
            <v>33066.25</v>
          </cell>
          <cell r="AF614">
            <v>-21314.42</v>
          </cell>
          <cell r="AG614">
            <v>-11087.55</v>
          </cell>
          <cell r="AH614">
            <v>3982.57</v>
          </cell>
          <cell r="AI614">
            <v>-29919.63</v>
          </cell>
          <cell r="AJ614">
            <v>-55684.6</v>
          </cell>
          <cell r="AK614">
            <v>15693.11</v>
          </cell>
          <cell r="AL614">
            <v>13443.32</v>
          </cell>
          <cell r="AM614">
            <v>-10972.62</v>
          </cell>
          <cell r="AN614">
            <v>-24957.72</v>
          </cell>
          <cell r="AO614">
            <v>37247.35</v>
          </cell>
          <cell r="AP614">
            <v>-35573.97</v>
          </cell>
          <cell r="AQ614">
            <v>-69477.86</v>
          </cell>
          <cell r="AR614">
            <v>-35147.06</v>
          </cell>
          <cell r="AS614">
            <v>-57850.97</v>
          </cell>
          <cell r="AT614">
            <v>-864.7</v>
          </cell>
          <cell r="AU614">
            <v>3567.18</v>
          </cell>
          <cell r="AV614">
            <v>-16585.36</v>
          </cell>
          <cell r="AW614">
            <v>-27159.02</v>
          </cell>
          <cell r="AX614">
            <v>-1476.84</v>
          </cell>
          <cell r="AY614">
            <v>-2503.62</v>
          </cell>
        </row>
        <row r="615">
          <cell r="C615">
            <v>0</v>
          </cell>
          <cell r="E615">
            <v>0</v>
          </cell>
          <cell r="L615">
            <v>0</v>
          </cell>
          <cell r="N615">
            <v>0</v>
          </cell>
        </row>
        <row r="616">
          <cell r="C616">
            <v>0</v>
          </cell>
          <cell r="E616">
            <v>0</v>
          </cell>
          <cell r="L616">
            <v>0</v>
          </cell>
          <cell r="N616">
            <v>0</v>
          </cell>
        </row>
        <row r="617">
          <cell r="C617">
            <v>0</v>
          </cell>
          <cell r="E617">
            <v>0</v>
          </cell>
          <cell r="L617">
            <v>0</v>
          </cell>
          <cell r="N617">
            <v>0</v>
          </cell>
          <cell r="AP617">
            <v>0</v>
          </cell>
        </row>
        <row r="618">
          <cell r="C618">
            <v>0</v>
          </cell>
          <cell r="E618">
            <v>0</v>
          </cell>
          <cell r="L618">
            <v>0</v>
          </cell>
          <cell r="N618">
            <v>0</v>
          </cell>
          <cell r="AP618">
            <v>0</v>
          </cell>
        </row>
        <row r="619">
          <cell r="C619">
            <v>16210126.16</v>
          </cell>
          <cell r="D619">
            <v>-16210126.16</v>
          </cell>
          <cell r="E619">
            <v>0</v>
          </cell>
          <cell r="L619">
            <v>16210126.16</v>
          </cell>
          <cell r="N619">
            <v>16210126.16</v>
          </cell>
          <cell r="O619">
            <v>16210126.16</v>
          </cell>
          <cell r="AP619">
            <v>0</v>
          </cell>
        </row>
        <row r="620">
          <cell r="C620">
            <v>16210126.16</v>
          </cell>
          <cell r="D620">
            <v>-16210126.16</v>
          </cell>
          <cell r="E620">
            <v>0</v>
          </cell>
          <cell r="L620">
            <v>16210126.16</v>
          </cell>
          <cell r="N620">
            <v>16210126.16</v>
          </cell>
          <cell r="O620">
            <v>16210126.16</v>
          </cell>
          <cell r="AP620">
            <v>0</v>
          </cell>
        </row>
        <row r="621">
          <cell r="C621">
            <v>0</v>
          </cell>
          <cell r="E621">
            <v>0</v>
          </cell>
          <cell r="L621">
            <v>0</v>
          </cell>
          <cell r="N621">
            <v>0</v>
          </cell>
          <cell r="AP621">
            <v>0</v>
          </cell>
        </row>
        <row r="622">
          <cell r="C622">
            <v>0</v>
          </cell>
          <cell r="E622">
            <v>0</v>
          </cell>
          <cell r="L622">
            <v>0</v>
          </cell>
          <cell r="N622">
            <v>0</v>
          </cell>
          <cell r="AP622">
            <v>0</v>
          </cell>
        </row>
        <row r="623">
          <cell r="C623">
            <v>-191281.56</v>
          </cell>
          <cell r="E623">
            <v>-191281.56</v>
          </cell>
          <cell r="L623">
            <v>-191281.56</v>
          </cell>
          <cell r="N623">
            <v>-191281.56</v>
          </cell>
          <cell r="O623">
            <v>-191281.56</v>
          </cell>
          <cell r="AP623">
            <v>0</v>
          </cell>
        </row>
        <row r="624">
          <cell r="C624">
            <v>0</v>
          </cell>
          <cell r="E624">
            <v>0</v>
          </cell>
          <cell r="L624">
            <v>0</v>
          </cell>
          <cell r="N624">
            <v>0</v>
          </cell>
          <cell r="AP624">
            <v>0</v>
          </cell>
        </row>
        <row r="625">
          <cell r="C625">
            <v>0</v>
          </cell>
          <cell r="E625">
            <v>0</v>
          </cell>
          <cell r="L625">
            <v>0</v>
          </cell>
          <cell r="N625">
            <v>0</v>
          </cell>
          <cell r="AP625">
            <v>0</v>
          </cell>
        </row>
        <row r="626">
          <cell r="C626">
            <v>16018844.6</v>
          </cell>
          <cell r="D626">
            <v>-16210126.16</v>
          </cell>
          <cell r="E626">
            <v>-191281.56</v>
          </cell>
          <cell r="F626">
            <v>0</v>
          </cell>
          <cell r="G626">
            <v>0</v>
          </cell>
          <cell r="H626">
            <v>0</v>
          </cell>
          <cell r="I626">
            <v>0</v>
          </cell>
          <cell r="J626">
            <v>0</v>
          </cell>
          <cell r="K626">
            <v>0</v>
          </cell>
          <cell r="L626">
            <v>16018844.6</v>
          </cell>
          <cell r="N626">
            <v>16018844.6</v>
          </cell>
          <cell r="O626">
            <v>16018844.6</v>
          </cell>
          <cell r="P626">
            <v>0</v>
          </cell>
          <cell r="Q626">
            <v>0</v>
          </cell>
          <cell r="R626">
            <v>0</v>
          </cell>
          <cell r="S626">
            <v>0</v>
          </cell>
          <cell r="T626">
            <v>0</v>
          </cell>
          <cell r="U626">
            <v>0</v>
          </cell>
          <cell r="V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row>
        <row r="627">
          <cell r="C627">
            <v>0</v>
          </cell>
          <cell r="E627">
            <v>0</v>
          </cell>
          <cell r="L627">
            <v>0</v>
          </cell>
          <cell r="N627">
            <v>0</v>
          </cell>
        </row>
        <row r="628">
          <cell r="C628">
            <v>124930.7</v>
          </cell>
          <cell r="E628">
            <v>124930.7</v>
          </cell>
          <cell r="L628">
            <v>124930.7</v>
          </cell>
          <cell r="N628">
            <v>124930.7</v>
          </cell>
          <cell r="AE628">
            <v>124930.7</v>
          </cell>
        </row>
        <row r="629">
          <cell r="C629">
            <v>4075311.39</v>
          </cell>
          <cell r="E629">
            <v>4075311.39</v>
          </cell>
          <cell r="F629">
            <v>129117.36</v>
          </cell>
          <cell r="G629">
            <v>367485.8</v>
          </cell>
          <cell r="H629">
            <v>133996.5</v>
          </cell>
          <cell r="I629">
            <v>115928.74</v>
          </cell>
          <cell r="J629">
            <v>4684</v>
          </cell>
          <cell r="K629">
            <v>22622.7</v>
          </cell>
          <cell r="L629">
            <v>3301476.29</v>
          </cell>
          <cell r="N629">
            <v>3301476.29</v>
          </cell>
          <cell r="O629">
            <v>330478.96000000002</v>
          </cell>
          <cell r="Q629">
            <v>89208.48</v>
          </cell>
          <cell r="R629">
            <v>76957.539999999994</v>
          </cell>
          <cell r="S629">
            <v>24033.33</v>
          </cell>
          <cell r="T629">
            <v>28529.16</v>
          </cell>
          <cell r="U629">
            <v>56302.3</v>
          </cell>
          <cell r="V629">
            <v>220197.4</v>
          </cell>
          <cell r="W629">
            <v>60440.5</v>
          </cell>
          <cell r="X629">
            <v>125557.31</v>
          </cell>
          <cell r="Y629">
            <v>69046.820000000007</v>
          </cell>
          <cell r="Z629">
            <v>120292.22</v>
          </cell>
          <cell r="AA629">
            <v>25656</v>
          </cell>
          <cell r="AB629">
            <v>21242.61</v>
          </cell>
          <cell r="AC629">
            <v>75975.600000000006</v>
          </cell>
          <cell r="AD629">
            <v>9848.16</v>
          </cell>
          <cell r="AE629">
            <v>6348.9</v>
          </cell>
          <cell r="AF629">
            <v>898</v>
          </cell>
          <cell r="AG629">
            <v>157084.20000000001</v>
          </cell>
          <cell r="AH629">
            <v>23073.8</v>
          </cell>
          <cell r="AI629">
            <v>182755.5</v>
          </cell>
          <cell r="AJ629">
            <v>148104.70000000001</v>
          </cell>
          <cell r="AK629">
            <v>59155.8</v>
          </cell>
          <cell r="AL629">
            <v>144611.4</v>
          </cell>
          <cell r="AM629">
            <v>1378.5</v>
          </cell>
          <cell r="AN629">
            <v>157729.1</v>
          </cell>
          <cell r="AO629">
            <v>151304.51999999999</v>
          </cell>
          <cell r="AP629">
            <v>189533.93</v>
          </cell>
          <cell r="AQ629">
            <v>93065.600000000006</v>
          </cell>
          <cell r="AR629">
            <v>45329.57</v>
          </cell>
          <cell r="AS629">
            <v>43089.41</v>
          </cell>
          <cell r="AT629">
            <v>92458.46</v>
          </cell>
          <cell r="AU629">
            <v>76712.600000000006</v>
          </cell>
          <cell r="AV629">
            <v>135014.62</v>
          </cell>
          <cell r="AW629">
            <v>231021.56</v>
          </cell>
          <cell r="AX629">
            <v>20202.68</v>
          </cell>
          <cell r="AY629">
            <v>8837.0499999999993</v>
          </cell>
        </row>
        <row r="630">
          <cell r="C630">
            <v>48873</v>
          </cell>
          <cell r="E630">
            <v>48873</v>
          </cell>
          <cell r="G630">
            <v>6406.1</v>
          </cell>
          <cell r="H630">
            <v>10798.78</v>
          </cell>
          <cell r="L630">
            <v>31668.12</v>
          </cell>
          <cell r="N630">
            <v>31668.12</v>
          </cell>
          <cell r="R630">
            <v>1743.17</v>
          </cell>
          <cell r="S630">
            <v>4013.61</v>
          </cell>
          <cell r="V630">
            <v>4349.7700000000004</v>
          </cell>
          <cell r="W630">
            <v>4983.2299999999996</v>
          </cell>
          <cell r="X630">
            <v>9241.5</v>
          </cell>
          <cell r="AO630">
            <v>7336.84</v>
          </cell>
          <cell r="AP630">
            <v>0</v>
          </cell>
        </row>
        <row r="631">
          <cell r="C631">
            <v>53222.05</v>
          </cell>
          <cell r="E631">
            <v>53222.05</v>
          </cell>
          <cell r="L631">
            <v>53222.05</v>
          </cell>
          <cell r="N631">
            <v>53222.05</v>
          </cell>
          <cell r="AG631">
            <v>51282.05</v>
          </cell>
          <cell r="AO631">
            <v>1940</v>
          </cell>
          <cell r="AP631">
            <v>0</v>
          </cell>
        </row>
        <row r="632">
          <cell r="C632">
            <v>229519.17</v>
          </cell>
          <cell r="E632">
            <v>229519.17</v>
          </cell>
          <cell r="L632">
            <v>229519.17</v>
          </cell>
          <cell r="N632">
            <v>229519.17</v>
          </cell>
          <cell r="T632">
            <v>157.68</v>
          </cell>
          <cell r="AD632">
            <v>219866.23999999999</v>
          </cell>
          <cell r="AP632">
            <v>6863.75</v>
          </cell>
          <cell r="AT632">
            <v>2631.5</v>
          </cell>
        </row>
        <row r="633">
          <cell r="C633">
            <v>995779.19</v>
          </cell>
          <cell r="E633">
            <v>995779.19</v>
          </cell>
          <cell r="F633">
            <v>65181.279999999999</v>
          </cell>
          <cell r="G633">
            <v>194989.49</v>
          </cell>
          <cell r="J633">
            <v>33599.03</v>
          </cell>
          <cell r="K633">
            <v>7933.99</v>
          </cell>
          <cell r="L633">
            <v>694075.4</v>
          </cell>
          <cell r="N633">
            <v>694075.4</v>
          </cell>
          <cell r="Q633">
            <v>8613.8700000000008</v>
          </cell>
          <cell r="T633">
            <v>41150</v>
          </cell>
          <cell r="U633">
            <v>8972.6</v>
          </cell>
          <cell r="V633">
            <v>49261.87</v>
          </cell>
          <cell r="W633">
            <v>29414.48</v>
          </cell>
          <cell r="X633">
            <v>36270.04</v>
          </cell>
          <cell r="Z633">
            <v>664.36</v>
          </cell>
          <cell r="AA633">
            <v>4500</v>
          </cell>
          <cell r="AB633">
            <v>180305.51</v>
          </cell>
          <cell r="AC633">
            <v>6382.32</v>
          </cell>
          <cell r="AE633">
            <v>118581.8</v>
          </cell>
          <cell r="AG633">
            <v>22892.79</v>
          </cell>
          <cell r="AH633">
            <v>14791.61</v>
          </cell>
          <cell r="AI633">
            <v>6008.36</v>
          </cell>
          <cell r="AJ633">
            <v>13229.46</v>
          </cell>
          <cell r="AL633">
            <v>3772.01</v>
          </cell>
          <cell r="AM633">
            <v>29330.6</v>
          </cell>
          <cell r="AN633">
            <v>52114.32</v>
          </cell>
          <cell r="AO633">
            <v>8395.98</v>
          </cell>
          <cell r="AP633">
            <v>3252</v>
          </cell>
          <cell r="AQ633">
            <v>2736.53</v>
          </cell>
          <cell r="AS633">
            <v>1541.44</v>
          </cell>
          <cell r="AT633">
            <v>1783.63</v>
          </cell>
          <cell r="AU633">
            <v>1130.6199999999999</v>
          </cell>
          <cell r="AV633">
            <v>28370.98</v>
          </cell>
          <cell r="AW633">
            <v>20575.650000000001</v>
          </cell>
          <cell r="AX633">
            <v>25.47</v>
          </cell>
          <cell r="AY633">
            <v>7.1</v>
          </cell>
        </row>
        <row r="634">
          <cell r="C634">
            <v>5402704.7999999998</v>
          </cell>
          <cell r="E634">
            <v>5402704.7999999998</v>
          </cell>
          <cell r="F634">
            <v>194298.64</v>
          </cell>
          <cell r="G634">
            <v>568881.39</v>
          </cell>
          <cell r="H634">
            <v>144795.28</v>
          </cell>
          <cell r="I634">
            <v>115928.74</v>
          </cell>
          <cell r="J634">
            <v>38283.03</v>
          </cell>
          <cell r="K634">
            <v>30556.69</v>
          </cell>
          <cell r="L634">
            <v>4309961.03</v>
          </cell>
          <cell r="N634">
            <v>4309961.03</v>
          </cell>
          <cell r="O634">
            <v>330478.96000000002</v>
          </cell>
          <cell r="P634">
            <v>0</v>
          </cell>
          <cell r="Q634">
            <v>97822.35</v>
          </cell>
          <cell r="R634">
            <v>78700.710000000006</v>
          </cell>
          <cell r="S634">
            <v>28046.94</v>
          </cell>
          <cell r="T634">
            <v>69836.84</v>
          </cell>
          <cell r="U634">
            <v>65274.9</v>
          </cell>
          <cell r="V634">
            <v>273809.03999999998</v>
          </cell>
          <cell r="W634">
            <v>94838.21</v>
          </cell>
          <cell r="X634">
            <v>171068.85</v>
          </cell>
          <cell r="Y634">
            <v>69046.820000000007</v>
          </cell>
          <cell r="Z634">
            <v>120956.58</v>
          </cell>
          <cell r="AA634">
            <v>30156</v>
          </cell>
          <cell r="AB634">
            <v>201548.12</v>
          </cell>
          <cell r="AC634">
            <v>82357.919999999998</v>
          </cell>
          <cell r="AD634">
            <v>229714.4</v>
          </cell>
          <cell r="AE634">
            <v>124930.7</v>
          </cell>
          <cell r="AF634">
            <v>898</v>
          </cell>
          <cell r="AG634">
            <v>231259.04</v>
          </cell>
          <cell r="AH634">
            <v>37865.410000000003</v>
          </cell>
          <cell r="AI634">
            <v>188763.86</v>
          </cell>
          <cell r="AJ634">
            <v>161334.16</v>
          </cell>
          <cell r="AK634">
            <v>59155.8</v>
          </cell>
          <cell r="AL634">
            <v>148383.41</v>
          </cell>
          <cell r="AM634">
            <v>30709.1</v>
          </cell>
          <cell r="AN634">
            <v>209843.42</v>
          </cell>
          <cell r="AO634">
            <v>168977.34</v>
          </cell>
          <cell r="AP634">
            <v>199649.68</v>
          </cell>
          <cell r="AQ634">
            <v>95802.13</v>
          </cell>
          <cell r="AR634">
            <v>45329.57</v>
          </cell>
          <cell r="AS634">
            <v>44630.85</v>
          </cell>
          <cell r="AT634">
            <v>96873.59</v>
          </cell>
          <cell r="AU634">
            <v>77843.22</v>
          </cell>
          <cell r="AV634">
            <v>163385.60000000001</v>
          </cell>
          <cell r="AW634">
            <v>251597.21</v>
          </cell>
          <cell r="AX634">
            <v>20228.150000000001</v>
          </cell>
          <cell r="AY634">
            <v>8844.15</v>
          </cell>
        </row>
        <row r="635">
          <cell r="C635">
            <v>0</v>
          </cell>
          <cell r="E635">
            <v>0</v>
          </cell>
          <cell r="L635">
            <v>0</v>
          </cell>
          <cell r="N635">
            <v>0</v>
          </cell>
        </row>
        <row r="636">
          <cell r="C636">
            <v>2620.5</v>
          </cell>
          <cell r="E636">
            <v>2620.5</v>
          </cell>
          <cell r="L636">
            <v>2620.5</v>
          </cell>
          <cell r="N636">
            <v>2620.5</v>
          </cell>
          <cell r="AE636">
            <v>2620.5</v>
          </cell>
        </row>
        <row r="637">
          <cell r="C637">
            <v>201487.99</v>
          </cell>
          <cell r="E637">
            <v>201487.99</v>
          </cell>
          <cell r="F637">
            <v>3734.58</v>
          </cell>
          <cell r="G637">
            <v>47415.89</v>
          </cell>
          <cell r="H637">
            <v>250</v>
          </cell>
          <cell r="I637">
            <v>17922.830000000002</v>
          </cell>
          <cell r="K637">
            <v>91.14</v>
          </cell>
          <cell r="L637">
            <v>132073.54999999999</v>
          </cell>
          <cell r="N637">
            <v>132073.54999999999</v>
          </cell>
          <cell r="O637">
            <v>22929.3</v>
          </cell>
          <cell r="Q637">
            <v>9976.3799999999992</v>
          </cell>
          <cell r="T637">
            <v>6720.94</v>
          </cell>
          <cell r="U637">
            <v>6024.54</v>
          </cell>
          <cell r="W637">
            <v>49.03</v>
          </cell>
          <cell r="X637">
            <v>1290</v>
          </cell>
          <cell r="Y637">
            <v>4465.7</v>
          </cell>
          <cell r="AA637">
            <v>3612.84</v>
          </cell>
          <cell r="AC637">
            <v>1000</v>
          </cell>
          <cell r="AD637">
            <v>2000</v>
          </cell>
          <cell r="AE637">
            <v>232.61</v>
          </cell>
          <cell r="AG637">
            <v>1519.06</v>
          </cell>
          <cell r="AH637">
            <v>4853.7</v>
          </cell>
          <cell r="AI637">
            <v>2302.29</v>
          </cell>
          <cell r="AJ637">
            <v>3286.5</v>
          </cell>
          <cell r="AK637">
            <v>389</v>
          </cell>
          <cell r="AL637">
            <v>3515.98</v>
          </cell>
          <cell r="AM637">
            <v>4760</v>
          </cell>
          <cell r="AN637">
            <v>4190.7299999999996</v>
          </cell>
          <cell r="AO637">
            <v>5686</v>
          </cell>
          <cell r="AP637">
            <v>150.80000000000001</v>
          </cell>
          <cell r="AQ637">
            <v>500</v>
          </cell>
          <cell r="AR637">
            <v>222.44</v>
          </cell>
          <cell r="AT637">
            <v>13070.79</v>
          </cell>
          <cell r="AU637">
            <v>3504.62</v>
          </cell>
          <cell r="AV637">
            <v>25001.8</v>
          </cell>
          <cell r="AW637">
            <v>818.5</v>
          </cell>
        </row>
        <row r="638">
          <cell r="C638">
            <v>0</v>
          </cell>
          <cell r="E638">
            <v>0</v>
          </cell>
          <cell r="L638">
            <v>0</v>
          </cell>
          <cell r="N638">
            <v>0</v>
          </cell>
          <cell r="AP638">
            <v>0</v>
          </cell>
        </row>
        <row r="639">
          <cell r="C639">
            <v>326450.27</v>
          </cell>
          <cell r="E639">
            <v>326450.27</v>
          </cell>
          <cell r="G639">
            <v>101750</v>
          </cell>
          <cell r="I639">
            <v>4484.97</v>
          </cell>
          <cell r="J639">
            <v>33176</v>
          </cell>
          <cell r="L639">
            <v>187039.3</v>
          </cell>
          <cell r="N639">
            <v>187039.3</v>
          </cell>
          <cell r="O639">
            <v>65700</v>
          </cell>
          <cell r="AB639">
            <v>44730</v>
          </cell>
          <cell r="AD639">
            <v>10100</v>
          </cell>
          <cell r="AK639">
            <v>5000</v>
          </cell>
          <cell r="AL639">
            <v>15440</v>
          </cell>
          <cell r="AO639">
            <v>5000</v>
          </cell>
          <cell r="AP639">
            <v>0</v>
          </cell>
          <cell r="AU639">
            <v>5000</v>
          </cell>
          <cell r="AW639">
            <v>36069.300000000003</v>
          </cell>
        </row>
        <row r="640">
          <cell r="C640">
            <v>7567927.71</v>
          </cell>
          <cell r="E640">
            <v>7567927.71</v>
          </cell>
          <cell r="F640">
            <v>89850</v>
          </cell>
          <cell r="G640">
            <v>33799.46</v>
          </cell>
          <cell r="I640">
            <v>8719.25</v>
          </cell>
          <cell r="L640">
            <v>7435559</v>
          </cell>
          <cell r="N640">
            <v>7435559</v>
          </cell>
          <cell r="R640">
            <v>10414.5</v>
          </cell>
          <cell r="S640">
            <v>422.39</v>
          </cell>
          <cell r="U640">
            <v>96588.160000000003</v>
          </cell>
          <cell r="V640">
            <v>927.98</v>
          </cell>
          <cell r="Z640">
            <v>20017.330000000002</v>
          </cell>
          <cell r="AC640">
            <v>8617.7999999999993</v>
          </cell>
          <cell r="AD640">
            <v>7151465.2400000002</v>
          </cell>
          <cell r="AE640">
            <v>2387.89</v>
          </cell>
          <cell r="AG640">
            <v>3152.12</v>
          </cell>
          <cell r="AH640">
            <v>17288.919999999998</v>
          </cell>
          <cell r="AL640">
            <v>5826.59</v>
          </cell>
          <cell r="AM640">
            <v>64752.61</v>
          </cell>
          <cell r="AO640">
            <v>1427.34</v>
          </cell>
          <cell r="AP640">
            <v>0</v>
          </cell>
          <cell r="AQ640">
            <v>32171.58</v>
          </cell>
          <cell r="AR640">
            <v>6749.86</v>
          </cell>
          <cell r="AS640">
            <v>13348.69</v>
          </cell>
        </row>
        <row r="641">
          <cell r="C641">
            <v>339882.68</v>
          </cell>
          <cell r="E641">
            <v>339882.68</v>
          </cell>
          <cell r="L641">
            <v>339882.68</v>
          </cell>
          <cell r="N641">
            <v>339882.68</v>
          </cell>
          <cell r="X641">
            <v>43805.56</v>
          </cell>
          <cell r="AH641">
            <v>37774.69</v>
          </cell>
          <cell r="AL641">
            <v>189966.73</v>
          </cell>
          <cell r="AM641">
            <v>42489.23</v>
          </cell>
          <cell r="AN641">
            <v>20524</v>
          </cell>
          <cell r="AO641">
            <v>5322.47</v>
          </cell>
          <cell r="AP641">
            <v>0</v>
          </cell>
        </row>
        <row r="642">
          <cell r="C642">
            <v>187520.77</v>
          </cell>
          <cell r="E642">
            <v>187520.77</v>
          </cell>
          <cell r="L642">
            <v>187520.77</v>
          </cell>
          <cell r="N642">
            <v>187520.77</v>
          </cell>
          <cell r="AO642">
            <v>187520.77</v>
          </cell>
          <cell r="AP642">
            <v>0</v>
          </cell>
        </row>
        <row r="643">
          <cell r="C643">
            <v>0</v>
          </cell>
          <cell r="E643">
            <v>0</v>
          </cell>
          <cell r="L643">
            <v>0</v>
          </cell>
          <cell r="N643">
            <v>0</v>
          </cell>
          <cell r="AP643">
            <v>0</v>
          </cell>
        </row>
        <row r="644">
          <cell r="C644">
            <v>0</v>
          </cell>
          <cell r="E644">
            <v>0</v>
          </cell>
          <cell r="L644">
            <v>0</v>
          </cell>
          <cell r="N644">
            <v>0</v>
          </cell>
          <cell r="AP644">
            <v>0</v>
          </cell>
        </row>
        <row r="645">
          <cell r="C645">
            <v>242993.07</v>
          </cell>
          <cell r="E645">
            <v>242993.07</v>
          </cell>
          <cell r="F645">
            <v>21978.720000000001</v>
          </cell>
          <cell r="G645">
            <v>15624.55</v>
          </cell>
          <cell r="I645">
            <v>8068.65</v>
          </cell>
          <cell r="J645">
            <v>10324.9</v>
          </cell>
          <cell r="K645">
            <v>3375.68</v>
          </cell>
          <cell r="L645">
            <v>183620.57</v>
          </cell>
          <cell r="N645">
            <v>183620.57</v>
          </cell>
          <cell r="Q645">
            <v>20122.38</v>
          </cell>
          <cell r="V645">
            <v>22825.89</v>
          </cell>
          <cell r="W645">
            <v>1856.68</v>
          </cell>
          <cell r="X645">
            <v>2776.56</v>
          </cell>
          <cell r="Y645">
            <v>2450.0300000000002</v>
          </cell>
          <cell r="Z645">
            <v>17193.71</v>
          </cell>
          <cell r="AA645">
            <v>8259.1200000000008</v>
          </cell>
          <cell r="AB645">
            <v>9485.9599999999991</v>
          </cell>
          <cell r="AC645">
            <v>11236.6</v>
          </cell>
          <cell r="AD645">
            <v>284.8</v>
          </cell>
          <cell r="AG645">
            <v>39049.54</v>
          </cell>
          <cell r="AH645">
            <v>386.01</v>
          </cell>
          <cell r="AI645">
            <v>3285.06</v>
          </cell>
          <cell r="AJ645">
            <v>5059.57</v>
          </cell>
          <cell r="AL645">
            <v>25902.84</v>
          </cell>
          <cell r="AO645">
            <v>174.76</v>
          </cell>
          <cell r="AP645">
            <v>2440.9299999999998</v>
          </cell>
          <cell r="AU645">
            <v>1459.08</v>
          </cell>
          <cell r="AV645">
            <v>841.8</v>
          </cell>
          <cell r="AW645">
            <v>8529.25</v>
          </cell>
        </row>
        <row r="646">
          <cell r="C646">
            <v>8866262.4900000002</v>
          </cell>
          <cell r="E646">
            <v>8866262.4900000002</v>
          </cell>
          <cell r="F646">
            <v>115563.3</v>
          </cell>
          <cell r="G646">
            <v>198589.9</v>
          </cell>
          <cell r="H646">
            <v>250</v>
          </cell>
          <cell r="I646">
            <v>39195.699999999997</v>
          </cell>
          <cell r="J646">
            <v>43500.9</v>
          </cell>
          <cell r="K646">
            <v>3466.82</v>
          </cell>
          <cell r="L646">
            <v>8465695.8699999992</v>
          </cell>
          <cell r="N646">
            <v>8465695.8699999992</v>
          </cell>
          <cell r="O646">
            <v>88629.3</v>
          </cell>
          <cell r="P646">
            <v>0</v>
          </cell>
          <cell r="Q646">
            <v>30098.76</v>
          </cell>
          <cell r="R646">
            <v>10414.5</v>
          </cell>
          <cell r="S646">
            <v>422.39</v>
          </cell>
          <cell r="T646">
            <v>6720.94</v>
          </cell>
          <cell r="U646">
            <v>102612.7</v>
          </cell>
          <cell r="V646">
            <v>23753.87</v>
          </cell>
          <cell r="W646">
            <v>1905.71</v>
          </cell>
          <cell r="X646">
            <v>47872.12</v>
          </cell>
          <cell r="Y646">
            <v>6915.73</v>
          </cell>
          <cell r="Z646">
            <v>37211.040000000001</v>
          </cell>
          <cell r="AA646">
            <v>11871.96</v>
          </cell>
          <cell r="AB646">
            <v>54215.96</v>
          </cell>
          <cell r="AC646">
            <v>20854.400000000001</v>
          </cell>
          <cell r="AD646">
            <v>7163850.04</v>
          </cell>
          <cell r="AE646">
            <v>2620.5</v>
          </cell>
          <cell r="AF646">
            <v>0</v>
          </cell>
          <cell r="AG646">
            <v>43720.72</v>
          </cell>
          <cell r="AH646">
            <v>60303.32</v>
          </cell>
          <cell r="AI646">
            <v>5587.35</v>
          </cell>
          <cell r="AJ646">
            <v>8346.07</v>
          </cell>
          <cell r="AK646">
            <v>5389</v>
          </cell>
          <cell r="AL646">
            <v>240652.14</v>
          </cell>
          <cell r="AM646">
            <v>112001.84</v>
          </cell>
          <cell r="AN646">
            <v>24714.73</v>
          </cell>
          <cell r="AO646">
            <v>205131.34</v>
          </cell>
          <cell r="AP646">
            <v>2591.73</v>
          </cell>
          <cell r="AQ646">
            <v>32671.58</v>
          </cell>
          <cell r="AR646">
            <v>6972.3</v>
          </cell>
          <cell r="AS646">
            <v>13348.69</v>
          </cell>
          <cell r="AT646">
            <v>13070.79</v>
          </cell>
          <cell r="AU646">
            <v>9963.7000000000007</v>
          </cell>
          <cell r="AV646">
            <v>25843.599999999999</v>
          </cell>
          <cell r="AW646">
            <v>45417.05</v>
          </cell>
          <cell r="AX646">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填写说明"/>
      <sheetName val="财务报表认定表"/>
      <sheetName val="FR0101会计科目的建议及维护"/>
      <sheetName val="控制负责人"/>
      <sheetName val="选择键"/>
    </sheetNames>
    <sheetDataSet>
      <sheetData sheetId="0" refreshError="1"/>
      <sheetData sheetId="1" refreshError="1"/>
      <sheetData sheetId="2" refreshError="1"/>
      <sheetData sheetId="3" refreshError="1"/>
      <sheetData sheetId="4" refreshError="1">
        <row r="2">
          <cell r="A2" t="str">
            <v>（请选择）</v>
          </cell>
          <cell r="B2" t="str">
            <v>（请选择）</v>
          </cell>
          <cell r="C2" t="str">
            <v>（请选择）</v>
          </cell>
          <cell r="D2" t="str">
            <v>（请选择）</v>
          </cell>
          <cell r="G2" t="str">
            <v>（请选择）</v>
          </cell>
        </row>
        <row r="3">
          <cell r="A3" t="str">
            <v>一般控制</v>
          </cell>
          <cell r="B3" t="str">
            <v>每日多次</v>
          </cell>
          <cell r="C3" t="str">
            <v>是</v>
          </cell>
          <cell r="D3" t="str">
            <v>手工</v>
          </cell>
          <cell r="G3" t="str">
            <v>询问</v>
          </cell>
        </row>
        <row r="4">
          <cell r="A4" t="str">
            <v>关键控制</v>
          </cell>
          <cell r="B4" t="str">
            <v>每日</v>
          </cell>
          <cell r="C4" t="str">
            <v>否</v>
          </cell>
          <cell r="D4" t="str">
            <v>自动</v>
          </cell>
          <cell r="G4" t="str">
            <v>观察</v>
          </cell>
        </row>
        <row r="5">
          <cell r="B5" t="str">
            <v>每周</v>
          </cell>
          <cell r="D5" t="str">
            <v>手工加自动</v>
          </cell>
          <cell r="G5" t="str">
            <v>检查</v>
          </cell>
        </row>
        <row r="6">
          <cell r="B6" t="str">
            <v>每月</v>
          </cell>
          <cell r="G6" t="str">
            <v>再次执行</v>
          </cell>
        </row>
        <row r="7">
          <cell r="B7" t="str">
            <v>每季</v>
          </cell>
        </row>
        <row r="8">
          <cell r="B8" t="str">
            <v>每年</v>
          </cell>
        </row>
        <row r="9">
          <cell r="B9" t="str">
            <v>每半年</v>
          </cell>
        </row>
        <row r="10">
          <cell r="B10" t="str">
            <v>业务发生时</v>
          </cell>
        </row>
        <row r="13">
          <cell r="E13" t="str">
            <v>（请选择）</v>
          </cell>
        </row>
        <row r="14">
          <cell r="E14" t="str">
            <v>尚未开始</v>
          </cell>
        </row>
        <row r="15">
          <cell r="E15" t="str">
            <v>进程中</v>
          </cell>
        </row>
        <row r="16">
          <cell r="E16" t="str">
            <v>已完成</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Summary"/>
      <sheetName val="Rental 2004"/>
      <sheetName val="Excess Calc"/>
      <sheetName val="Pre-operating Exp"/>
      <sheetName val="Miscellaneous Exp."/>
      <sheetName val="Tickmarks"/>
      <sheetName val="宝应{pbc}"/>
      <sheetName val="浙江{pbc}"/>
      <sheetName val="四川{pbc}"/>
      <sheetName val="河南{pbc}"/>
      <sheetName val="常州{pbc}"/>
      <sheetName val="金坛{pbc}"/>
      <sheetName val="泰州{pbc}"/>
      <sheetName val="XREF"/>
      <sheetName val="Rental 2002"/>
      <sheetName val="Rental 2001"/>
      <sheetName val="选择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企业表一"/>
      <sheetName val="M-5A"/>
      <sheetName val="08"/>
      <sheetName val="03"/>
      <sheetName val="05"/>
      <sheetName val="06"/>
      <sheetName val="10"/>
      <sheetName val="04"/>
      <sheetName val="09"/>
      <sheetName val="02"/>
      <sheetName val="07"/>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7089946.71</v>
          </cell>
          <cell r="C7">
            <v>0</v>
          </cell>
          <cell r="D7">
            <v>7089946.71</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61427.040000000001</v>
          </cell>
          <cell r="C14">
            <v>0</v>
          </cell>
          <cell r="D14">
            <v>61427.040000000001</v>
          </cell>
        </row>
        <row r="15">
          <cell r="A15" t="str">
            <v xml:space="preserve">              减：应收账款坏帐准备</v>
          </cell>
          <cell r="B15">
            <v>0</v>
          </cell>
          <cell r="C15">
            <v>3071.35</v>
          </cell>
          <cell r="D15">
            <v>3071.35</v>
          </cell>
        </row>
        <row r="16">
          <cell r="A16" t="str">
            <v xml:space="preserve">    应收帐款净值  </v>
          </cell>
          <cell r="B16">
            <v>61427.040000000001</v>
          </cell>
          <cell r="C16">
            <v>-3071.35</v>
          </cell>
          <cell r="D16">
            <v>58355.69</v>
          </cell>
        </row>
        <row r="17">
          <cell r="A17" t="str">
            <v xml:space="preserve">    其他应收款</v>
          </cell>
          <cell r="B17">
            <v>2254290.63</v>
          </cell>
          <cell r="C17">
            <v>112360.59</v>
          </cell>
          <cell r="D17">
            <v>2366651.2200000002</v>
          </cell>
        </row>
        <row r="18">
          <cell r="A18" t="str">
            <v xml:space="preserve">              减：其他应收款坏帐准备</v>
          </cell>
          <cell r="B18">
            <v>0</v>
          </cell>
          <cell r="C18">
            <v>118332.56</v>
          </cell>
          <cell r="D18">
            <v>118332.56</v>
          </cell>
        </row>
        <row r="19">
          <cell r="A19" t="str">
            <v xml:space="preserve">    其他应收款净值  </v>
          </cell>
          <cell r="B19">
            <v>2254290.63</v>
          </cell>
          <cell r="C19">
            <v>-5971.97</v>
          </cell>
          <cell r="D19">
            <v>2248318.66</v>
          </cell>
        </row>
        <row r="20">
          <cell r="A20" t="str">
            <v xml:space="preserve">    预付帐款 </v>
          </cell>
          <cell r="B20">
            <v>1634842.26</v>
          </cell>
          <cell r="C20">
            <v>0</v>
          </cell>
          <cell r="D20">
            <v>1634842.26</v>
          </cell>
        </row>
        <row r="21">
          <cell r="A21" t="str">
            <v xml:space="preserve">    应收补贴款</v>
          </cell>
          <cell r="B21">
            <v>0</v>
          </cell>
          <cell r="C21">
            <v>0</v>
          </cell>
          <cell r="D21">
            <v>0</v>
          </cell>
        </row>
        <row r="22">
          <cell r="A22" t="str">
            <v xml:space="preserve">    存货 </v>
          </cell>
          <cell r="B22">
            <v>5517255.5199999996</v>
          </cell>
          <cell r="C22">
            <v>0</v>
          </cell>
          <cell r="D22">
            <v>5517255.5199999996</v>
          </cell>
        </row>
        <row r="23">
          <cell r="A23" t="str">
            <v xml:space="preserve">              减：存货跌价准备</v>
          </cell>
          <cell r="B23">
            <v>0</v>
          </cell>
          <cell r="C23">
            <v>0</v>
          </cell>
          <cell r="D23">
            <v>0</v>
          </cell>
        </row>
        <row r="24">
          <cell r="A24" t="str">
            <v xml:space="preserve">    存货净值 </v>
          </cell>
          <cell r="B24">
            <v>5517255.5199999996</v>
          </cell>
          <cell r="C24">
            <v>0</v>
          </cell>
          <cell r="D24">
            <v>5517255.5199999996</v>
          </cell>
        </row>
        <row r="25">
          <cell r="A25" t="str">
            <v xml:space="preserve">    待摊费用 </v>
          </cell>
          <cell r="B25">
            <v>1985183.99</v>
          </cell>
          <cell r="C25">
            <v>0</v>
          </cell>
          <cell r="D25">
            <v>1985183.99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18542946.149999999</v>
          </cell>
          <cell r="C28">
            <v>-9043.32</v>
          </cell>
          <cell r="D28">
            <v>18533902.829999998</v>
          </cell>
        </row>
        <row r="29">
          <cell r="B29">
            <v>0</v>
          </cell>
          <cell r="C29">
            <v>0</v>
          </cell>
          <cell r="D29">
            <v>0</v>
          </cell>
        </row>
        <row r="30">
          <cell r="A30" t="str">
            <v xml:space="preserve"> 长期投资: </v>
          </cell>
          <cell r="B30">
            <v>0</v>
          </cell>
          <cell r="C30">
            <v>0</v>
          </cell>
          <cell r="D30">
            <v>0</v>
          </cell>
        </row>
        <row r="31">
          <cell r="A31" t="str">
            <v xml:space="preserve">    长期股权投资</v>
          </cell>
          <cell r="B31">
            <v>0</v>
          </cell>
          <cell r="C31">
            <v>0</v>
          </cell>
          <cell r="D31">
            <v>0</v>
          </cell>
        </row>
        <row r="32">
          <cell r="A32" t="str">
            <v xml:space="preserve">              减：长期股权投资减值准备</v>
          </cell>
          <cell r="B32">
            <v>0</v>
          </cell>
          <cell r="C32">
            <v>0</v>
          </cell>
          <cell r="D32">
            <v>0</v>
          </cell>
        </row>
        <row r="33">
          <cell r="A33" t="str">
            <v xml:space="preserve">    长期股权投资净值</v>
          </cell>
          <cell r="B33">
            <v>0</v>
          </cell>
          <cell r="C33">
            <v>0</v>
          </cell>
          <cell r="D33">
            <v>0</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C38">
            <v>0</v>
          </cell>
          <cell r="D38">
            <v>0</v>
          </cell>
        </row>
        <row r="39">
          <cell r="A39" t="str">
            <v xml:space="preserve"> 固定资产: </v>
          </cell>
          <cell r="B39">
            <v>0</v>
          </cell>
          <cell r="C39">
            <v>0</v>
          </cell>
          <cell r="D39">
            <v>0</v>
          </cell>
        </row>
        <row r="40">
          <cell r="A40" t="str">
            <v xml:space="preserve">    固定资产原价 </v>
          </cell>
          <cell r="B40">
            <v>6697140.7300000004</v>
          </cell>
          <cell r="C40">
            <v>0</v>
          </cell>
          <cell r="D40">
            <v>6697140.7300000004</v>
          </cell>
        </row>
        <row r="41">
          <cell r="A41" t="str">
            <v xml:space="preserve">      减：累计折旧 </v>
          </cell>
          <cell r="B41">
            <v>374514.57</v>
          </cell>
          <cell r="C41">
            <v>0</v>
          </cell>
          <cell r="D41">
            <v>374514.57</v>
          </cell>
        </row>
        <row r="42">
          <cell r="A42" t="str">
            <v xml:space="preserve">    固定资产净值 </v>
          </cell>
          <cell r="B42">
            <v>6322626.1600000001</v>
          </cell>
          <cell r="C42">
            <v>0</v>
          </cell>
          <cell r="D42">
            <v>6322626.1600000001</v>
          </cell>
        </row>
        <row r="43">
          <cell r="A43" t="str">
            <v xml:space="preserve">      减：固定资产减值准备</v>
          </cell>
          <cell r="B43">
            <v>0</v>
          </cell>
          <cell r="C43">
            <v>0</v>
          </cell>
          <cell r="D43">
            <v>0</v>
          </cell>
        </row>
        <row r="44">
          <cell r="A44" t="str">
            <v xml:space="preserve">    固定资产净额</v>
          </cell>
          <cell r="B44">
            <v>6322626.1600000001</v>
          </cell>
          <cell r="C44">
            <v>0</v>
          </cell>
          <cell r="D44">
            <v>6322626.1600000001</v>
          </cell>
        </row>
        <row r="45">
          <cell r="A45" t="str">
            <v xml:space="preserve">    工程物资</v>
          </cell>
          <cell r="B45">
            <v>0</v>
          </cell>
          <cell r="C45">
            <v>0</v>
          </cell>
          <cell r="D45">
            <v>0</v>
          </cell>
        </row>
        <row r="46">
          <cell r="A46" t="str">
            <v xml:space="preserve">    在建工程 </v>
          </cell>
          <cell r="B46">
            <v>0</v>
          </cell>
          <cell r="C46">
            <v>0</v>
          </cell>
          <cell r="D46">
            <v>0</v>
          </cell>
        </row>
        <row r="47">
          <cell r="A47" t="str">
            <v xml:space="preserve">      减：在建工程减值准备</v>
          </cell>
          <cell r="B47">
            <v>0</v>
          </cell>
          <cell r="C47">
            <v>0</v>
          </cell>
          <cell r="D47">
            <v>0</v>
          </cell>
        </row>
        <row r="48">
          <cell r="A48" t="str">
            <v xml:space="preserve">    在建工程净值 </v>
          </cell>
          <cell r="B48">
            <v>0</v>
          </cell>
          <cell r="C48">
            <v>0</v>
          </cell>
          <cell r="D48">
            <v>0</v>
          </cell>
        </row>
        <row r="49">
          <cell r="A49" t="str">
            <v xml:space="preserve">    固定资产清理 </v>
          </cell>
          <cell r="B49">
            <v>0</v>
          </cell>
          <cell r="C49">
            <v>0</v>
          </cell>
          <cell r="D49">
            <v>0</v>
          </cell>
        </row>
        <row r="50">
          <cell r="A50" t="str">
            <v xml:space="preserve">    固定资产合计 </v>
          </cell>
          <cell r="B50">
            <v>6322626.1600000001</v>
          </cell>
          <cell r="C50">
            <v>0</v>
          </cell>
          <cell r="D50">
            <v>6322626.1600000001</v>
          </cell>
        </row>
        <row r="51">
          <cell r="B51">
            <v>0</v>
          </cell>
          <cell r="C51">
            <v>0</v>
          </cell>
          <cell r="D51">
            <v>0</v>
          </cell>
        </row>
        <row r="52">
          <cell r="A52" t="str">
            <v xml:space="preserve"> 无形及其他资产: </v>
          </cell>
          <cell r="B52">
            <v>0</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8110164.4900000002</v>
          </cell>
          <cell r="C56">
            <v>-327291.15999999997</v>
          </cell>
          <cell r="D56">
            <v>7782873.3300000001</v>
          </cell>
        </row>
        <row r="57">
          <cell r="A57" t="str">
            <v xml:space="preserve">    其他长期资产</v>
          </cell>
          <cell r="B57">
            <v>0</v>
          </cell>
          <cell r="C57">
            <v>0</v>
          </cell>
          <cell r="D57">
            <v>0</v>
          </cell>
        </row>
        <row r="58">
          <cell r="A58" t="str">
            <v xml:space="preserve">    无形及其他资产合计 </v>
          </cell>
          <cell r="B58">
            <v>8110164.4900000002</v>
          </cell>
          <cell r="C58">
            <v>-327291.15999999997</v>
          </cell>
          <cell r="D58">
            <v>7782873.3300000001</v>
          </cell>
        </row>
        <row r="59">
          <cell r="B59">
            <v>0</v>
          </cell>
          <cell r="C59">
            <v>0</v>
          </cell>
          <cell r="D59">
            <v>0</v>
          </cell>
        </row>
        <row r="60">
          <cell r="A60" t="str">
            <v xml:space="preserve">    资产总计 </v>
          </cell>
          <cell r="B60">
            <v>32975736.800000001</v>
          </cell>
          <cell r="C60">
            <v>-336334.48</v>
          </cell>
          <cell r="D60">
            <v>32639402.32</v>
          </cell>
        </row>
        <row r="62">
          <cell r="A62" t="str">
            <v>资产负债表（续）</v>
          </cell>
        </row>
        <row r="64">
          <cell r="A64" t="str">
            <v>编制单位：郑州</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C68">
            <v>0</v>
          </cell>
          <cell r="D68">
            <v>0</v>
          </cell>
        </row>
        <row r="69">
          <cell r="A69" t="str">
            <v xml:space="preserve">    应付票据</v>
          </cell>
          <cell r="B69">
            <v>0</v>
          </cell>
          <cell r="C69">
            <v>0</v>
          </cell>
          <cell r="D69">
            <v>0</v>
          </cell>
        </row>
        <row r="70">
          <cell r="A70" t="str">
            <v xml:space="preserve">    应付帐款 </v>
          </cell>
          <cell r="B70">
            <v>13216297.92</v>
          </cell>
          <cell r="C70">
            <v>0</v>
          </cell>
          <cell r="D70">
            <v>13216297.92</v>
          </cell>
        </row>
        <row r="71">
          <cell r="A71" t="str">
            <v xml:space="preserve">    预收帐款 </v>
          </cell>
          <cell r="B71">
            <v>31842.7</v>
          </cell>
          <cell r="C71">
            <v>0</v>
          </cell>
          <cell r="D71">
            <v>31842.7</v>
          </cell>
        </row>
        <row r="72">
          <cell r="A72" t="str">
            <v xml:space="preserve">    应付工资 </v>
          </cell>
          <cell r="B72">
            <v>-60388.79</v>
          </cell>
          <cell r="C72">
            <v>198260.59</v>
          </cell>
          <cell r="D72">
            <v>137871.79999999999</v>
          </cell>
        </row>
        <row r="73">
          <cell r="A73" t="str">
            <v xml:space="preserve">    应付福利费 </v>
          </cell>
          <cell r="B73">
            <v>60846.27</v>
          </cell>
          <cell r="C73">
            <v>0</v>
          </cell>
          <cell r="D73">
            <v>60846.27</v>
          </cell>
        </row>
        <row r="74">
          <cell r="A74" t="str">
            <v xml:space="preserve">    应付股利</v>
          </cell>
          <cell r="B74">
            <v>0</v>
          </cell>
          <cell r="C74">
            <v>0</v>
          </cell>
          <cell r="D74">
            <v>0</v>
          </cell>
        </row>
        <row r="75">
          <cell r="A75" t="str">
            <v xml:space="preserve">    应交税金 </v>
          </cell>
          <cell r="B75">
            <v>1363480.52</v>
          </cell>
          <cell r="C75">
            <v>333386.15000000002</v>
          </cell>
          <cell r="D75">
            <v>1696866.67</v>
          </cell>
        </row>
        <row r="76">
          <cell r="A76" t="str">
            <v xml:space="preserve">    其他未交款 </v>
          </cell>
          <cell r="B76">
            <v>34889.120000000003</v>
          </cell>
          <cell r="C76">
            <v>0</v>
          </cell>
          <cell r="D76">
            <v>34889.120000000003</v>
          </cell>
        </row>
        <row r="77">
          <cell r="A77" t="str">
            <v xml:space="preserve">    其他应付款 </v>
          </cell>
          <cell r="B77">
            <v>2168031.4500000002</v>
          </cell>
          <cell r="C77">
            <v>0</v>
          </cell>
          <cell r="D77">
            <v>2168031.4500000002</v>
          </cell>
        </row>
        <row r="78">
          <cell r="A78" t="str">
            <v xml:space="preserve">    预提费用 </v>
          </cell>
          <cell r="B78">
            <v>25832</v>
          </cell>
          <cell r="C78">
            <v>0</v>
          </cell>
          <cell r="D78">
            <v>25832</v>
          </cell>
        </row>
        <row r="79">
          <cell r="A79" t="str">
            <v xml:space="preserve">    预计负债</v>
          </cell>
          <cell r="B79">
            <v>0</v>
          </cell>
          <cell r="C79">
            <v>0</v>
          </cell>
          <cell r="D79">
            <v>0</v>
          </cell>
        </row>
        <row r="80">
          <cell r="A80" t="str">
            <v xml:space="preserve">    一年内到期的长期负债</v>
          </cell>
          <cell r="B80">
            <v>0</v>
          </cell>
          <cell r="C80">
            <v>0</v>
          </cell>
          <cell r="D80">
            <v>0</v>
          </cell>
        </row>
        <row r="81">
          <cell r="A81" t="str">
            <v xml:space="preserve">    其他流动负债</v>
          </cell>
          <cell r="B81">
            <v>0</v>
          </cell>
          <cell r="C81">
            <v>0</v>
          </cell>
          <cell r="D81">
            <v>0</v>
          </cell>
        </row>
        <row r="82">
          <cell r="B82">
            <v>0</v>
          </cell>
          <cell r="C82">
            <v>0</v>
          </cell>
          <cell r="D82">
            <v>0</v>
          </cell>
        </row>
        <row r="83">
          <cell r="A83" t="str">
            <v xml:space="preserve">    流动负债合计 </v>
          </cell>
          <cell r="B83">
            <v>16840831.190000001</v>
          </cell>
          <cell r="C83">
            <v>531646.74</v>
          </cell>
          <cell r="D83">
            <v>17372477.93</v>
          </cell>
        </row>
        <row r="84">
          <cell r="B84">
            <v>0</v>
          </cell>
          <cell r="C84">
            <v>0</v>
          </cell>
          <cell r="D84">
            <v>0</v>
          </cell>
        </row>
        <row r="85">
          <cell r="A85" t="str">
            <v xml:space="preserve"> 长期负债: </v>
          </cell>
          <cell r="B85">
            <v>0</v>
          </cell>
          <cell r="C85">
            <v>0</v>
          </cell>
          <cell r="D85">
            <v>0</v>
          </cell>
        </row>
        <row r="86">
          <cell r="A86" t="str">
            <v xml:space="preserve">    长期借款 </v>
          </cell>
          <cell r="B86">
            <v>0</v>
          </cell>
          <cell r="C86">
            <v>0</v>
          </cell>
          <cell r="D86">
            <v>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15416634.92</v>
          </cell>
          <cell r="C90">
            <v>0</v>
          </cell>
          <cell r="D90">
            <v>15416634.92</v>
          </cell>
        </row>
        <row r="91">
          <cell r="A91" t="str">
            <v xml:space="preserve">    长期负债合计 </v>
          </cell>
          <cell r="B91">
            <v>15416634.92</v>
          </cell>
          <cell r="C91">
            <v>0</v>
          </cell>
          <cell r="D91">
            <v>15416634.92</v>
          </cell>
        </row>
        <row r="92">
          <cell r="B92">
            <v>0</v>
          </cell>
          <cell r="C92">
            <v>0</v>
          </cell>
          <cell r="D92">
            <v>0</v>
          </cell>
        </row>
        <row r="93">
          <cell r="A93" t="str">
            <v xml:space="preserve">    负债合计 </v>
          </cell>
          <cell r="B93">
            <v>32257466.109999999</v>
          </cell>
          <cell r="C93">
            <v>531646.74</v>
          </cell>
          <cell r="D93">
            <v>32789112.850000001</v>
          </cell>
        </row>
        <row r="94">
          <cell r="A94" t="str">
            <v xml:space="preserve">  少数股东权益</v>
          </cell>
          <cell r="B94">
            <v>0</v>
          </cell>
          <cell r="C94">
            <v>0</v>
          </cell>
          <cell r="D94">
            <v>0</v>
          </cell>
        </row>
        <row r="95">
          <cell r="A95" t="str">
            <v xml:space="preserve"> 所有者权益: </v>
          </cell>
          <cell r="B95">
            <v>0</v>
          </cell>
          <cell r="C95">
            <v>0</v>
          </cell>
          <cell r="D95">
            <v>0</v>
          </cell>
        </row>
        <row r="96">
          <cell r="A96" t="str">
            <v xml:space="preserve">    实收资本</v>
          </cell>
          <cell r="B96">
            <v>0</v>
          </cell>
          <cell r="C96">
            <v>0</v>
          </cell>
          <cell r="D96">
            <v>0</v>
          </cell>
        </row>
        <row r="97">
          <cell r="A97" t="str">
            <v xml:space="preserve">    资本公积 </v>
          </cell>
          <cell r="B97">
            <v>0</v>
          </cell>
          <cell r="C97">
            <v>0</v>
          </cell>
          <cell r="D97">
            <v>0</v>
          </cell>
        </row>
        <row r="98">
          <cell r="A98" t="str">
            <v xml:space="preserve">    盈余公积 </v>
          </cell>
          <cell r="B98">
            <v>0</v>
          </cell>
          <cell r="C98">
            <v>0</v>
          </cell>
          <cell r="D98">
            <v>0</v>
          </cell>
        </row>
        <row r="99">
          <cell r="A99" t="str">
            <v xml:space="preserve">      其中：公益金</v>
          </cell>
          <cell r="B99">
            <v>0</v>
          </cell>
          <cell r="C99">
            <v>0</v>
          </cell>
          <cell r="D99">
            <v>0</v>
          </cell>
        </row>
        <row r="100">
          <cell r="A100" t="str">
            <v xml:space="preserve">    未分配利润 </v>
          </cell>
          <cell r="B100">
            <v>718270.69</v>
          </cell>
          <cell r="C100">
            <v>-867981.22</v>
          </cell>
          <cell r="D100">
            <v>-149710.53</v>
          </cell>
        </row>
        <row r="101">
          <cell r="B101">
            <v>0</v>
          </cell>
          <cell r="C101">
            <v>0</v>
          </cell>
          <cell r="D101">
            <v>0</v>
          </cell>
        </row>
        <row r="102">
          <cell r="A102" t="str">
            <v xml:space="preserve">    所有者权益合计 </v>
          </cell>
          <cell r="B102">
            <v>718270.69</v>
          </cell>
          <cell r="C102">
            <v>-867981.22</v>
          </cell>
          <cell r="D102">
            <v>-149710.53</v>
          </cell>
        </row>
        <row r="103">
          <cell r="B103">
            <v>0</v>
          </cell>
          <cell r="C103">
            <v>0</v>
          </cell>
          <cell r="D103">
            <v>0</v>
          </cell>
        </row>
        <row r="104">
          <cell r="A104" t="str">
            <v xml:space="preserve">   负债及所有者权益总计 </v>
          </cell>
          <cell r="B104">
            <v>32975736.800000001</v>
          </cell>
          <cell r="C104">
            <v>-336334.48</v>
          </cell>
          <cell r="D104">
            <v>32639402.32</v>
          </cell>
        </row>
        <row r="105">
          <cell r="A105" t="str">
            <v>利  润  表</v>
          </cell>
        </row>
        <row r="107">
          <cell r="A107" t="str">
            <v>编制单位：郑州</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32684924.420000002</v>
          </cell>
          <cell r="C110">
            <v>-52180.03</v>
          </cell>
          <cell r="D110">
            <v>32632744.390000001</v>
          </cell>
        </row>
        <row r="111">
          <cell r="A111" t="str">
            <v xml:space="preserve">    减：主营业务成本</v>
          </cell>
          <cell r="B111">
            <v>29159669.190000001</v>
          </cell>
          <cell r="C111">
            <v>0</v>
          </cell>
          <cell r="D111">
            <v>29159669.190000001</v>
          </cell>
        </row>
        <row r="112">
          <cell r="A112" t="str">
            <v xml:space="preserve">        主营业务税金及附加</v>
          </cell>
          <cell r="B112">
            <v>182116.74</v>
          </cell>
          <cell r="C112">
            <v>0</v>
          </cell>
          <cell r="D112">
            <v>182116.74</v>
          </cell>
        </row>
        <row r="113">
          <cell r="B113">
            <v>0</v>
          </cell>
          <cell r="C113">
            <v>0</v>
          </cell>
          <cell r="D113">
            <v>0</v>
          </cell>
        </row>
        <row r="114">
          <cell r="A114" t="str">
            <v>二、主营业务利润</v>
          </cell>
          <cell r="B114">
            <v>3343138.49</v>
          </cell>
          <cell r="C114">
            <v>-52180.03</v>
          </cell>
          <cell r="D114">
            <v>3290958.46</v>
          </cell>
        </row>
        <row r="115">
          <cell r="A115" t="str">
            <v xml:space="preserve">    加：其他业务利润</v>
          </cell>
          <cell r="B115">
            <v>3366484.51</v>
          </cell>
          <cell r="C115">
            <v>0</v>
          </cell>
          <cell r="D115">
            <v>3366484.51</v>
          </cell>
        </row>
        <row r="116">
          <cell r="A116" t="str">
            <v xml:space="preserve">    减：营业费用</v>
          </cell>
          <cell r="B116">
            <v>5677483.6900000004</v>
          </cell>
          <cell r="C116">
            <v>327291.15999999997</v>
          </cell>
          <cell r="D116">
            <v>6004774.8499999996</v>
          </cell>
        </row>
        <row r="117">
          <cell r="A117" t="str">
            <v xml:space="preserve">        管理费用</v>
          </cell>
          <cell r="B117">
            <v>28319.02</v>
          </cell>
          <cell r="C117">
            <v>121403.91</v>
          </cell>
          <cell r="D117">
            <v>149722.93</v>
          </cell>
        </row>
        <row r="118">
          <cell r="A118" t="str">
            <v xml:space="preserve">        财务费用</v>
          </cell>
          <cell r="B118">
            <v>-444.37</v>
          </cell>
          <cell r="C118">
            <v>0</v>
          </cell>
          <cell r="D118">
            <v>-444.37</v>
          </cell>
        </row>
        <row r="119">
          <cell r="B119">
            <v>0</v>
          </cell>
          <cell r="C119">
            <v>0</v>
          </cell>
          <cell r="D119">
            <v>0</v>
          </cell>
        </row>
        <row r="120">
          <cell r="A120" t="str">
            <v>三、营业利润</v>
          </cell>
          <cell r="B120">
            <v>1004264.66</v>
          </cell>
          <cell r="C120">
            <v>-500875.1</v>
          </cell>
          <cell r="D120">
            <v>503389.56</v>
          </cell>
        </row>
        <row r="121">
          <cell r="A121" t="str">
            <v xml:space="preserve">    加：投资收益</v>
          </cell>
          <cell r="B121">
            <v>0</v>
          </cell>
          <cell r="C121">
            <v>0</v>
          </cell>
          <cell r="D121">
            <v>0</v>
          </cell>
        </row>
        <row r="122">
          <cell r="A122" t="str">
            <v xml:space="preserve">        补贴收入</v>
          </cell>
          <cell r="B122">
            <v>0</v>
          </cell>
          <cell r="C122">
            <v>0</v>
          </cell>
          <cell r="D122">
            <v>0</v>
          </cell>
        </row>
        <row r="123">
          <cell r="A123" t="str">
            <v xml:space="preserve">        营业外收入</v>
          </cell>
          <cell r="B123">
            <v>161068.46</v>
          </cell>
          <cell r="C123">
            <v>-24849.360000000001</v>
          </cell>
          <cell r="D123">
            <v>136219.1</v>
          </cell>
        </row>
        <row r="124">
          <cell r="A124" t="str">
            <v xml:space="preserve">    减：营业外支出</v>
          </cell>
          <cell r="B124">
            <v>93287.3</v>
          </cell>
          <cell r="C124">
            <v>0</v>
          </cell>
          <cell r="D124">
            <v>93287.3</v>
          </cell>
        </row>
        <row r="125">
          <cell r="B125">
            <v>0</v>
          </cell>
          <cell r="C125">
            <v>0</v>
          </cell>
          <cell r="D125">
            <v>0</v>
          </cell>
        </row>
        <row r="126">
          <cell r="A126" t="str">
            <v xml:space="preserve">四、利润总额 </v>
          </cell>
          <cell r="B126">
            <v>1072045.82</v>
          </cell>
          <cell r="C126">
            <v>-525724.46</v>
          </cell>
          <cell r="D126">
            <v>546321.36</v>
          </cell>
        </row>
        <row r="127">
          <cell r="A127" t="str">
            <v xml:space="preserve">    减：所得税</v>
          </cell>
          <cell r="B127">
            <v>353775.13</v>
          </cell>
          <cell r="C127">
            <v>342256.76</v>
          </cell>
          <cell r="D127">
            <v>696031.89</v>
          </cell>
        </row>
        <row r="128">
          <cell r="A128" t="str">
            <v xml:space="preserve">                    少数股东本期收益</v>
          </cell>
          <cell r="B128">
            <v>0</v>
          </cell>
          <cell r="C128">
            <v>0</v>
          </cell>
          <cell r="D128">
            <v>0</v>
          </cell>
        </row>
        <row r="129">
          <cell r="A129" t="str">
            <v>五、净利润</v>
          </cell>
          <cell r="B129">
            <v>718270.69</v>
          </cell>
          <cell r="C129">
            <v>-867981.22</v>
          </cell>
          <cell r="D129">
            <v>-149710.53</v>
          </cell>
        </row>
        <row r="131">
          <cell r="A131" t="str">
            <v>利 润 分 配 表</v>
          </cell>
        </row>
        <row r="133">
          <cell r="A133" t="str">
            <v>编制单位：郑州</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718270.69</v>
          </cell>
          <cell r="C136">
            <v>-867981.22</v>
          </cell>
          <cell r="D136">
            <v>-149710.53</v>
          </cell>
        </row>
        <row r="137">
          <cell r="A137" t="str">
            <v xml:space="preserve">    加：年初未分配利润</v>
          </cell>
          <cell r="B137">
            <v>0</v>
          </cell>
          <cell r="C137">
            <v>0</v>
          </cell>
          <cell r="D137">
            <v>0</v>
          </cell>
        </row>
        <row r="138">
          <cell r="A138" t="str">
            <v xml:space="preserve">        其他转入</v>
          </cell>
          <cell r="B138">
            <v>0</v>
          </cell>
          <cell r="C138">
            <v>0</v>
          </cell>
          <cell r="D138">
            <v>0</v>
          </cell>
        </row>
        <row r="139">
          <cell r="B139">
            <v>0</v>
          </cell>
          <cell r="C139">
            <v>0</v>
          </cell>
          <cell r="D13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本期报表"/>
    </sheetNames>
    <sheetDataSet>
      <sheetData sheetId="0" refreshError="1"/>
      <sheetData sheetId="1" refreshError="1"/>
      <sheetData sheetId="2"/>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核算项目余额表"/>
      <sheetName val="审核2"/>
      <sheetName val="所得税凭证抽查"/>
      <sheetName val="Sheet9"/>
      <sheetName val="资产负债表"/>
      <sheetName val="完"/>
      <sheetName val="企业表一"/>
      <sheetName val="M-5C"/>
      <sheetName val="M-5A"/>
      <sheetName val="表头"/>
      <sheetName val="明细表E6-2"/>
      <sheetName val="客户余额表"/>
      <sheetName val="产销存"/>
      <sheetName val="1-6累计销售"/>
      <sheetName val="收入个月"/>
      <sheetName val="Sheet2 (3)"/>
      <sheetName val="XL4Poppy"/>
      <sheetName val="detail"/>
      <sheetName val="其他货币资金.dbf"/>
      <sheetName val="银行存款.dbf"/>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设备部房屋"/>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科目名称表"/>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2010年台帐"/>
      <sheetName val="10月回款"/>
      <sheetName val="10月销售"/>
      <sheetName val="余额表"/>
      <sheetName val="现金"/>
      <sheetName val="MAP_HKG"/>
      <sheetName val="MAP_KSC"/>
      <sheetName val="MAP_PEK"/>
      <sheetName val="MAP_SSH"/>
      <sheetName val="REG_HKG"/>
      <sheetName val="REG_KSC"/>
      <sheetName val="REG_PEK"/>
      <sheetName val="REG_SSH"/>
      <sheetName val="营业费用测试"/>
      <sheetName val="5月"/>
      <sheetName val="6月"/>
      <sheetName val="存货分析表G2-4"/>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9">
          <cell r="C39" t="b">
            <v>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要素填列"/>
      <sheetName val="&lt;原报&gt;资产负债表"/>
      <sheetName val="&lt;原报&gt;利润表"/>
      <sheetName val="&lt;原报&gt;现金流量表"/>
      <sheetName val="年初数账项调整事项汇总表"/>
      <sheetName val="年初数报表调整事项汇总表"/>
      <sheetName val="&lt;试算平衡&gt;资产负债表年初数"/>
      <sheetName val="&lt;试算平衡&gt;利润表上年数"/>
      <sheetName val="&lt;未审&gt;资产负债表趋势分析"/>
      <sheetName val="&lt;未审&gt;利润表趋势分析"/>
      <sheetName val="未审报表趋势分析"/>
      <sheetName val="账项调整事项汇总表"/>
      <sheetName val="报表调整事项汇总表"/>
      <sheetName val="未调整事项汇总表"/>
      <sheetName val="调整事项转换表"/>
      <sheetName val="&lt;试算平衡&gt;资产负债表"/>
      <sheetName val="&lt;试算平衡&gt;利润表"/>
      <sheetName val="母公司现金流量表测算"/>
      <sheetName val="母公司财务现金主表试算平衡测算"/>
      <sheetName val="母公司财务现金附表试算平衡测算"/>
      <sheetName val="母公司财务现金附表测算 "/>
      <sheetName val="&lt;试算平衡&gt;现金流量表"/>
      <sheetName val="&lt;审定&gt;资产负债表趋势分析"/>
      <sheetName val="&lt;审定&gt;利润表趋势分析"/>
      <sheetName val="审定报表趋势分析"/>
      <sheetName val="&lt;正式报表&gt;资产负债表"/>
      <sheetName val="&lt;正式报表&gt;利润及利润分配表"/>
      <sheetName val="&lt;正式报表&gt;现金流量表"/>
      <sheetName val="&lt;正式报表&gt;现金流量表补充资料"/>
      <sheetName val="钩稽关系复核"/>
      <sheetName val="利润表"/>
    </sheetNames>
    <sheetDataSet>
      <sheetData sheetId="0" refreshError="1"/>
      <sheetData sheetId="1" refreshError="1">
        <row r="6">
          <cell r="F6" t="str">
            <v>货币资金</v>
          </cell>
        </row>
        <row r="7">
          <cell r="F7" t="str">
            <v>短期投资</v>
          </cell>
        </row>
        <row r="8">
          <cell r="F8" t="str">
            <v>应收票据</v>
          </cell>
        </row>
        <row r="9">
          <cell r="F9" t="str">
            <v>应收股利</v>
          </cell>
        </row>
        <row r="10">
          <cell r="F10" t="str">
            <v>应收利息</v>
          </cell>
        </row>
        <row r="11">
          <cell r="F11" t="str">
            <v>应收账款</v>
          </cell>
        </row>
        <row r="12">
          <cell r="F12" t="str">
            <v>其他应收款</v>
          </cell>
        </row>
        <row r="13">
          <cell r="F13" t="str">
            <v>预付账款</v>
          </cell>
        </row>
        <row r="14">
          <cell r="F14" t="str">
            <v>期货保证金</v>
          </cell>
        </row>
        <row r="15">
          <cell r="F15" t="str">
            <v>应收补贴款</v>
          </cell>
        </row>
        <row r="16">
          <cell r="F16" t="str">
            <v>应收出口退税</v>
          </cell>
        </row>
        <row r="17">
          <cell r="F17" t="str">
            <v xml:space="preserve">存货 </v>
          </cell>
        </row>
        <row r="18">
          <cell r="F18" t="str">
            <v>待摊费用</v>
          </cell>
        </row>
        <row r="19">
          <cell r="F19" t="str">
            <v>待处理流动资产净损失</v>
          </cell>
        </row>
        <row r="20">
          <cell r="F20" t="str">
            <v>一年内到期的长期债权投资</v>
          </cell>
        </row>
        <row r="21">
          <cell r="F21" t="str">
            <v>其他流动资产</v>
          </cell>
        </row>
        <row r="22">
          <cell r="F22" t="str">
            <v>长期股权投资</v>
          </cell>
        </row>
        <row r="23">
          <cell r="F23" t="str">
            <v>长期债权投资</v>
          </cell>
        </row>
        <row r="24">
          <cell r="F24" t="str">
            <v>合并价差</v>
          </cell>
        </row>
        <row r="25">
          <cell r="F25" t="str">
            <v>固定资产原价</v>
          </cell>
        </row>
        <row r="26">
          <cell r="F26" t="str">
            <v>累计折旧</v>
          </cell>
        </row>
        <row r="27">
          <cell r="F27" t="str">
            <v>固定资产减值准备</v>
          </cell>
        </row>
        <row r="28">
          <cell r="F28" t="str">
            <v>固定资产清理</v>
          </cell>
        </row>
        <row r="29">
          <cell r="F29" t="str">
            <v>工程物资</v>
          </cell>
        </row>
        <row r="30">
          <cell r="F30" t="str">
            <v>在建工程</v>
          </cell>
        </row>
        <row r="31">
          <cell r="F31" t="str">
            <v>待处理固定资产净损失</v>
          </cell>
        </row>
        <row r="32">
          <cell r="F32" t="str">
            <v>无形资产</v>
          </cell>
        </row>
        <row r="33">
          <cell r="F33" t="str">
            <v>长期待摊费用（递延资产）</v>
          </cell>
        </row>
        <row r="34">
          <cell r="F34" t="str">
            <v>其他长期资产</v>
          </cell>
        </row>
        <row r="35">
          <cell r="F35" t="str">
            <v>递延税款借项</v>
          </cell>
        </row>
        <row r="37">
          <cell r="F37" t="str">
            <v>短期借款</v>
          </cell>
        </row>
        <row r="38">
          <cell r="F38" t="str">
            <v>应付票据</v>
          </cell>
        </row>
        <row r="39">
          <cell r="F39" t="str">
            <v>应付账款</v>
          </cell>
        </row>
        <row r="40">
          <cell r="F40" t="str">
            <v>预收账款</v>
          </cell>
        </row>
        <row r="41">
          <cell r="F41" t="str">
            <v>应付工资</v>
          </cell>
        </row>
        <row r="42">
          <cell r="F42" t="str">
            <v>应付福利费</v>
          </cell>
        </row>
        <row r="43">
          <cell r="F43" t="str">
            <v>应付股利（利润）</v>
          </cell>
        </row>
        <row r="44">
          <cell r="F44" t="str">
            <v>应付利息</v>
          </cell>
        </row>
        <row r="45">
          <cell r="F45" t="str">
            <v>应交税金</v>
          </cell>
        </row>
        <row r="46">
          <cell r="F46" t="str">
            <v>其他应交款</v>
          </cell>
        </row>
        <row r="47">
          <cell r="F47" t="str">
            <v>其他应付款</v>
          </cell>
        </row>
        <row r="48">
          <cell r="F48" t="str">
            <v>预提费用</v>
          </cell>
        </row>
        <row r="49">
          <cell r="F49" t="str">
            <v>预计负债</v>
          </cell>
        </row>
        <row r="50">
          <cell r="F50" t="str">
            <v>递延收益</v>
          </cell>
        </row>
        <row r="51">
          <cell r="F51" t="str">
            <v>一年内到期的长期负债</v>
          </cell>
        </row>
        <row r="52">
          <cell r="F52" t="str">
            <v>其他流动负债</v>
          </cell>
        </row>
        <row r="53">
          <cell r="F53" t="str">
            <v>长期借款</v>
          </cell>
        </row>
        <row r="54">
          <cell r="F54" t="str">
            <v>应付债券</v>
          </cell>
        </row>
        <row r="55">
          <cell r="F55" t="str">
            <v>长期应付款</v>
          </cell>
        </row>
        <row r="56">
          <cell r="F56" t="str">
            <v>专项应付款</v>
          </cell>
        </row>
        <row r="57">
          <cell r="F57" t="str">
            <v>其他长期负债</v>
          </cell>
        </row>
        <row r="58">
          <cell r="F58" t="str">
            <v>递延税款贷项</v>
          </cell>
        </row>
        <row r="60">
          <cell r="F60" t="str">
            <v>少数股东权益</v>
          </cell>
        </row>
        <row r="61">
          <cell r="F61" t="str">
            <v>国家资本</v>
          </cell>
        </row>
        <row r="62">
          <cell r="F62" t="str">
            <v>集体资本</v>
          </cell>
        </row>
        <row r="63">
          <cell r="F63" t="str">
            <v>法人资本</v>
          </cell>
        </row>
        <row r="64">
          <cell r="F64" t="str">
            <v>个人资本</v>
          </cell>
        </row>
        <row r="65">
          <cell r="F65" t="str">
            <v>外商资本</v>
          </cell>
        </row>
        <row r="66">
          <cell r="F66" t="str">
            <v>资本公积</v>
          </cell>
        </row>
        <row r="67">
          <cell r="F67" t="str">
            <v>盈余公积</v>
          </cell>
        </row>
        <row r="68">
          <cell r="F68" t="str">
            <v>未确认的投资损失</v>
          </cell>
        </row>
        <row r="69">
          <cell r="F69" t="str">
            <v>未分配利润</v>
          </cell>
        </row>
        <row r="70">
          <cell r="F70" t="str">
            <v>外币报表折算差额</v>
          </cell>
        </row>
        <row r="72">
          <cell r="F72" t="str">
            <v>主营业务收入</v>
          </cell>
        </row>
        <row r="73">
          <cell r="F73" t="str">
            <v>折扣与折让</v>
          </cell>
        </row>
        <row r="74">
          <cell r="F74" t="str">
            <v>主营业务成本</v>
          </cell>
        </row>
        <row r="75">
          <cell r="F75" t="str">
            <v>主营业务税金及附加</v>
          </cell>
        </row>
        <row r="76">
          <cell r="F76" t="str">
            <v>经营费用</v>
          </cell>
        </row>
        <row r="77">
          <cell r="F77" t="str">
            <v>其他</v>
          </cell>
        </row>
        <row r="78">
          <cell r="F78" t="str">
            <v>递延收益</v>
          </cell>
        </row>
        <row r="79">
          <cell r="F79" t="str">
            <v>代购代销收入</v>
          </cell>
        </row>
        <row r="80">
          <cell r="F80" t="str">
            <v>其他业务利润</v>
          </cell>
        </row>
        <row r="81">
          <cell r="F81" t="str">
            <v>营业费用</v>
          </cell>
        </row>
        <row r="82">
          <cell r="F82" t="str">
            <v>管理费用</v>
          </cell>
        </row>
        <row r="83">
          <cell r="F83" t="str">
            <v>财务费用</v>
          </cell>
        </row>
        <row r="84">
          <cell r="F84" t="str">
            <v>投资收益</v>
          </cell>
        </row>
        <row r="85">
          <cell r="F85" t="str">
            <v>期货收益</v>
          </cell>
        </row>
        <row r="86">
          <cell r="F86" t="str">
            <v>补贴收入</v>
          </cell>
        </row>
        <row r="87">
          <cell r="F87" t="str">
            <v>营业外收入</v>
          </cell>
        </row>
        <row r="88">
          <cell r="F88" t="str">
            <v>营业外支出</v>
          </cell>
        </row>
        <row r="89">
          <cell r="F89" t="str">
            <v>所得税</v>
          </cell>
        </row>
        <row r="90">
          <cell r="F90" t="str">
            <v>少数股东损益</v>
          </cell>
        </row>
        <row r="91">
          <cell r="F91" t="str">
            <v>未确认的投资损失</v>
          </cell>
        </row>
        <row r="92">
          <cell r="F92" t="str">
            <v>年初未分配利润</v>
          </cell>
        </row>
        <row r="93">
          <cell r="F93" t="str">
            <v>盈余公积补亏</v>
          </cell>
        </row>
        <row r="94">
          <cell r="F94" t="str">
            <v>其他调整因素</v>
          </cell>
        </row>
        <row r="95">
          <cell r="F95" t="str">
            <v>提取法定盈余公积</v>
          </cell>
        </row>
        <row r="96">
          <cell r="F96" t="str">
            <v>提取法定公益金</v>
          </cell>
        </row>
        <row r="97">
          <cell r="F97" t="str">
            <v>提取职工奖励及福利基金</v>
          </cell>
        </row>
        <row r="98">
          <cell r="F98" t="str">
            <v>提取储备基金</v>
          </cell>
        </row>
        <row r="99">
          <cell r="F99" t="str">
            <v xml:space="preserve">提取企业发展基金 </v>
          </cell>
        </row>
        <row r="100">
          <cell r="F100" t="str">
            <v xml:space="preserve">利润归还投资 </v>
          </cell>
        </row>
        <row r="101">
          <cell r="F101" t="str">
            <v>单项留用的利润</v>
          </cell>
        </row>
        <row r="102">
          <cell r="F102" t="str">
            <v>补充流动资本</v>
          </cell>
        </row>
        <row r="103">
          <cell r="F103" t="str">
            <v>应付优先股股利</v>
          </cell>
        </row>
        <row r="104">
          <cell r="F104" t="str">
            <v>提取任意盈余公积</v>
          </cell>
        </row>
        <row r="105">
          <cell r="F105" t="str">
            <v>应付普通股股利</v>
          </cell>
        </row>
        <row r="106">
          <cell r="F106" t="str">
            <v>转作资本（股本）的普通股股利</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资料清单1"/>
      <sheetName val="资料2"/>
      <sheetName val="财务报表"/>
      <sheetName val="1.银行存款"/>
      <sheetName val="2.短期投资"/>
      <sheetName val="3.应收票据"/>
      <sheetName val="4.应收帐款"/>
      <sheetName val="5.其他应收款"/>
      <sheetName val="6.坏帐准备"/>
      <sheetName val="7.预付账款"/>
      <sheetName val="8.待摊费用"/>
      <sheetName val="9.存货"/>
      <sheetName val="9.1库存明细"/>
      <sheetName val="10.固定资产"/>
      <sheetName val="11.长期待摊"/>
      <sheetName val="12.在建工程"/>
      <sheetName val="13.其他长期资产"/>
      <sheetName val="14.无形资产"/>
      <sheetName val="15.长期投资"/>
      <sheetName val="15a.股票投资"/>
      <sheetName val="15b.其他股权投资"/>
      <sheetName val="15c.长期股权投资减值准备"/>
      <sheetName val="15d.长期股权投资差额"/>
      <sheetName val="15e.长期债券投资"/>
      <sheetName val="15f.长期债券投资减值准备"/>
      <sheetName val="15g.委托贷款"/>
      <sheetName val="16.短期借款"/>
      <sheetName val="17.长期借款"/>
      <sheetName val="18.应付帐款"/>
      <sheetName val="18a.应付票据"/>
      <sheetName val="19.其他应付款"/>
      <sheetName val="20.预收帐款"/>
      <sheetName val="21.预提费用"/>
      <sheetName val="22.应付工资及福利"/>
      <sheetName val="23.应交税金"/>
      <sheetName val="23b.所得税"/>
      <sheetName val="24.应付股利"/>
      <sheetName val="25.实收资本"/>
      <sheetName val="26.资本公积及盈余公积"/>
      <sheetName val="26a.未分配利润"/>
      <sheetName val="27.收入成本"/>
      <sheetName val="27b.主营税金附加"/>
      <sheetName val="28. 制造费用"/>
      <sheetName val="29.采购"/>
      <sheetName val="30.管理费用"/>
      <sheetName val="30.1营业费用"/>
      <sheetName val="31.财务费用"/>
      <sheetName val="32.其他收支"/>
      <sheetName val="33.投资收益及补贴收入"/>
      <sheetName val="34.关联交易"/>
      <sheetName val="35.承诺"/>
      <sheetName val="35.1租赁明细"/>
      <sheetName val="36.预计负债"/>
      <sheetName val="37. 董事监事薪酬"/>
      <sheetName val="Investment Proper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其他应收款－个人借款明细"/>
    </sheetNames>
    <sheetDataSet>
      <sheetData sheetId="0"/>
      <sheetData sheetId="1"/>
      <sheetData sheetId="2"/>
      <sheetData sheetId="3"/>
      <sheetData sheetId="4" refreshError="1">
        <row r="6">
          <cell r="A6" t="str">
            <v xml:space="preserve"> 流动资产: </v>
          </cell>
        </row>
        <row r="7">
          <cell r="A7" t="str">
            <v xml:space="preserve">    货币资金 </v>
          </cell>
          <cell r="B7">
            <v>3353601.98</v>
          </cell>
          <cell r="D7">
            <v>3353601.98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384000</v>
          </cell>
          <cell r="D14">
            <v>384000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2531282.54</v>
          </cell>
          <cell r="D17">
            <v>2531282.54</v>
          </cell>
        </row>
        <row r="18">
          <cell r="A18" t="str">
            <v xml:space="preserve">              减：其他应收款坏帐准备</v>
          </cell>
          <cell r="B18">
            <v>0</v>
          </cell>
          <cell r="D18">
            <v>0</v>
          </cell>
        </row>
        <row r="19">
          <cell r="A19" t="str">
            <v xml:space="preserve">    其他应收款净值  </v>
          </cell>
          <cell r="B19">
            <v>0</v>
          </cell>
          <cell r="C19">
            <v>0</v>
          </cell>
          <cell r="D19">
            <v>2531282.54</v>
          </cell>
        </row>
        <row r="20">
          <cell r="A20" t="str">
            <v xml:space="preserve">    预付帐款 </v>
          </cell>
          <cell r="B20">
            <v>1000507.62</v>
          </cell>
          <cell r="D20">
            <v>1000507.62</v>
          </cell>
        </row>
        <row r="21">
          <cell r="A21" t="str">
            <v xml:space="preserve">    应收补贴款</v>
          </cell>
          <cell r="B21">
            <v>0</v>
          </cell>
          <cell r="D21">
            <v>0</v>
          </cell>
        </row>
        <row r="22">
          <cell r="A22" t="str">
            <v xml:space="preserve">    存货 </v>
          </cell>
          <cell r="B22">
            <v>7528364.3300000001</v>
          </cell>
          <cell r="D22">
            <v>7528364.3300000001</v>
          </cell>
        </row>
        <row r="23">
          <cell r="A23" t="str">
            <v xml:space="preserve">              减：存货跌价准备</v>
          </cell>
          <cell r="B23">
            <v>0</v>
          </cell>
          <cell r="D23">
            <v>0</v>
          </cell>
        </row>
        <row r="24">
          <cell r="A24" t="str">
            <v xml:space="preserve">    存货净值 </v>
          </cell>
          <cell r="B24">
            <v>0</v>
          </cell>
          <cell r="C24">
            <v>0</v>
          </cell>
          <cell r="D24">
            <v>7528364.3300000001</v>
          </cell>
        </row>
        <row r="25">
          <cell r="A25" t="str">
            <v xml:space="preserve">    待摊费用 </v>
          </cell>
          <cell r="B25">
            <v>2176400.52</v>
          </cell>
          <cell r="D25">
            <v>2176400.52</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16974156.989999998</v>
          </cell>
          <cell r="C28">
            <v>0</v>
          </cell>
          <cell r="D28">
            <v>16974156.989999998</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6215847.0599999996</v>
          </cell>
          <cell r="D40">
            <v>6215847.0599999996</v>
          </cell>
        </row>
        <row r="41">
          <cell r="A41" t="str">
            <v xml:space="preserve">      减：累计折旧 </v>
          </cell>
          <cell r="B41">
            <v>483108.92</v>
          </cell>
          <cell r="D41">
            <v>483108.92</v>
          </cell>
        </row>
        <row r="42">
          <cell r="A42" t="str">
            <v xml:space="preserve">    固定资产净值 </v>
          </cell>
          <cell r="B42">
            <v>5732738.1399999997</v>
          </cell>
          <cell r="C42">
            <v>0</v>
          </cell>
          <cell r="D42">
            <v>5732738.1399999997</v>
          </cell>
        </row>
        <row r="43">
          <cell r="A43" t="str">
            <v xml:space="preserve">      减：固定资产减值准备</v>
          </cell>
          <cell r="B43">
            <v>0</v>
          </cell>
          <cell r="D43">
            <v>0</v>
          </cell>
        </row>
        <row r="44">
          <cell r="A44" t="str">
            <v xml:space="preserve">    固定资产净额</v>
          </cell>
          <cell r="B44">
            <v>5732738.1399999997</v>
          </cell>
          <cell r="C44">
            <v>0</v>
          </cell>
          <cell r="D44">
            <v>5732738.1399999997</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5732738.1399999997</v>
          </cell>
          <cell r="C50">
            <v>0</v>
          </cell>
          <cell r="D50">
            <v>5732738.1399999997</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16475979.25</v>
          </cell>
          <cell r="D56">
            <v>16475979.25</v>
          </cell>
        </row>
        <row r="57">
          <cell r="A57" t="str">
            <v xml:space="preserve">    其他长期资产</v>
          </cell>
          <cell r="B57">
            <v>0</v>
          </cell>
          <cell r="D57">
            <v>0</v>
          </cell>
        </row>
        <row r="58">
          <cell r="A58" t="str">
            <v xml:space="preserve">    无形及其他资产合计 </v>
          </cell>
          <cell r="B58">
            <v>16475979.25</v>
          </cell>
          <cell r="C58">
            <v>0</v>
          </cell>
          <cell r="D58">
            <v>16475979.25</v>
          </cell>
        </row>
        <row r="59">
          <cell r="B59">
            <v>0</v>
          </cell>
          <cell r="D59">
            <v>0</v>
          </cell>
        </row>
        <row r="60">
          <cell r="A60" t="str">
            <v xml:space="preserve">    资产总计 </v>
          </cell>
          <cell r="B60">
            <v>39182874.379999995</v>
          </cell>
          <cell r="C60">
            <v>0</v>
          </cell>
          <cell r="D60">
            <v>39182874.379999995</v>
          </cell>
        </row>
        <row r="62">
          <cell r="A62" t="str">
            <v>资产负债表（续）</v>
          </cell>
        </row>
        <row r="64">
          <cell r="A64" t="str">
            <v>编制单位：包头</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13315735.130000001</v>
          </cell>
          <cell r="D70">
            <v>13315735.130000001</v>
          </cell>
        </row>
        <row r="71">
          <cell r="A71" t="str">
            <v xml:space="preserve">    预收帐款 </v>
          </cell>
          <cell r="B71">
            <v>0</v>
          </cell>
          <cell r="D71">
            <v>0</v>
          </cell>
        </row>
        <row r="72">
          <cell r="A72" t="str">
            <v xml:space="preserve">    应付工资 </v>
          </cell>
          <cell r="B72">
            <v>-41289.49</v>
          </cell>
          <cell r="D72">
            <v>-41289.49</v>
          </cell>
        </row>
        <row r="73">
          <cell r="A73" t="str">
            <v xml:space="preserve">    应付福利费 </v>
          </cell>
          <cell r="B73">
            <v>-60983.33</v>
          </cell>
          <cell r="D73">
            <v>-60983.33</v>
          </cell>
        </row>
        <row r="74">
          <cell r="A74" t="str">
            <v xml:space="preserve">    应付股利</v>
          </cell>
          <cell r="B74">
            <v>0</v>
          </cell>
          <cell r="D74">
            <v>0</v>
          </cell>
        </row>
        <row r="75">
          <cell r="A75" t="str">
            <v xml:space="preserve">    应交税金 </v>
          </cell>
          <cell r="B75">
            <v>-223355.99</v>
          </cell>
          <cell r="D75">
            <v>-223355.99</v>
          </cell>
        </row>
        <row r="76">
          <cell r="A76" t="str">
            <v xml:space="preserve">    其他未交款 </v>
          </cell>
          <cell r="B76">
            <v>-6262.59</v>
          </cell>
          <cell r="D76">
            <v>-6262.59</v>
          </cell>
        </row>
        <row r="77">
          <cell r="A77" t="str">
            <v xml:space="preserve">    其他应付款 </v>
          </cell>
          <cell r="B77">
            <v>2121897.46</v>
          </cell>
          <cell r="D77">
            <v>2121897.46</v>
          </cell>
        </row>
        <row r="78">
          <cell r="A78" t="str">
            <v xml:space="preserve">    预提费用 </v>
          </cell>
          <cell r="B78">
            <v>1398750</v>
          </cell>
          <cell r="D78">
            <v>1398750</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16504491.190000001</v>
          </cell>
          <cell r="C83">
            <v>0</v>
          </cell>
          <cell r="D83">
            <v>16504491.190000001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23433367.559999999</v>
          </cell>
          <cell r="D90">
            <v>23433367.559999999</v>
          </cell>
        </row>
        <row r="91">
          <cell r="A91" t="str">
            <v xml:space="preserve">    长期负债合计 </v>
          </cell>
          <cell r="B91">
            <v>23433367.559999999</v>
          </cell>
          <cell r="C91">
            <v>0</v>
          </cell>
          <cell r="D91">
            <v>23433367.559999999</v>
          </cell>
        </row>
        <row r="92">
          <cell r="B92">
            <v>0</v>
          </cell>
        </row>
        <row r="93">
          <cell r="A93" t="str">
            <v xml:space="preserve">    负债合计 </v>
          </cell>
          <cell r="B93">
            <v>39937858.75</v>
          </cell>
          <cell r="C93">
            <v>0</v>
          </cell>
          <cell r="D93">
            <v>39937858.75</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-754984.37</v>
          </cell>
          <cell r="C100">
            <v>0</v>
          </cell>
          <cell r="D100">
            <v>163080463.19</v>
          </cell>
        </row>
        <row r="101">
          <cell r="B101">
            <v>-754984.37</v>
          </cell>
        </row>
        <row r="102">
          <cell r="A102" t="str">
            <v xml:space="preserve">    所有者权益合计 </v>
          </cell>
          <cell r="B102">
            <v>0</v>
          </cell>
          <cell r="C102">
            <v>0</v>
          </cell>
          <cell r="D102">
            <v>163080463.19</v>
          </cell>
        </row>
        <row r="103">
          <cell r="B103">
            <v>0</v>
          </cell>
        </row>
        <row r="104">
          <cell r="A104" t="str">
            <v xml:space="preserve">   负债及所有者权益总计 </v>
          </cell>
          <cell r="B104">
            <v>39182874.380000003</v>
          </cell>
          <cell r="C104">
            <v>0</v>
          </cell>
          <cell r="D104">
            <v>203018321.94</v>
          </cell>
        </row>
        <row r="105">
          <cell r="A105" t="str">
            <v>利  润  表</v>
          </cell>
        </row>
        <row r="107">
          <cell r="A107" t="str">
            <v>编制单位：包头</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42599504.579999998</v>
          </cell>
          <cell r="D110">
            <v>42599504.579999998</v>
          </cell>
        </row>
        <row r="111">
          <cell r="A111" t="str">
            <v xml:space="preserve">    减：主营业务成本</v>
          </cell>
          <cell r="B111">
            <v>38275412.439999998</v>
          </cell>
          <cell r="D111">
            <v>38275412.439999998</v>
          </cell>
        </row>
        <row r="112">
          <cell r="A112" t="str">
            <v xml:space="preserve">        主营业务税金及附加</v>
          </cell>
          <cell r="B112">
            <v>104215.99</v>
          </cell>
          <cell r="D112">
            <v>104215.99</v>
          </cell>
        </row>
        <row r="113">
          <cell r="B113">
            <v>0</v>
          </cell>
        </row>
        <row r="114">
          <cell r="A114" t="str">
            <v>二、主营业务利润</v>
          </cell>
          <cell r="B114">
            <v>4219876.1500000004</v>
          </cell>
          <cell r="C114">
            <v>0</v>
          </cell>
          <cell r="D114">
            <v>4219876.1500000004</v>
          </cell>
        </row>
        <row r="115">
          <cell r="A115" t="str">
            <v xml:space="preserve">    加：其他业务利润</v>
          </cell>
          <cell r="B115">
            <v>3882045.4399999999</v>
          </cell>
          <cell r="D115">
            <v>3882045.4399999999</v>
          </cell>
        </row>
        <row r="116">
          <cell r="A116" t="str">
            <v xml:space="preserve">    减：营业费用</v>
          </cell>
          <cell r="B116">
            <v>7110834.1600000001</v>
          </cell>
          <cell r="D116">
            <v>7110834.1600000001</v>
          </cell>
        </row>
        <row r="117">
          <cell r="A117" t="str">
            <v xml:space="preserve">        管理费用</v>
          </cell>
          <cell r="B117">
            <v>1812588.33</v>
          </cell>
          <cell r="D117">
            <v>1812588.33</v>
          </cell>
        </row>
        <row r="118">
          <cell r="A118" t="str">
            <v xml:space="preserve">        财务费用</v>
          </cell>
          <cell r="B118">
            <v>-7376.6</v>
          </cell>
          <cell r="D118">
            <v>-7376.6</v>
          </cell>
        </row>
        <row r="119">
          <cell r="B119">
            <v>0</v>
          </cell>
        </row>
        <row r="120">
          <cell r="A120" t="str">
            <v>三、营业利润</v>
          </cell>
          <cell r="B120">
            <v>-814124.3000000004</v>
          </cell>
          <cell r="C120">
            <v>0</v>
          </cell>
          <cell r="D120">
            <v>-814124.3000000004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102335.96</v>
          </cell>
          <cell r="D123">
            <v>102335.96</v>
          </cell>
        </row>
        <row r="124">
          <cell r="A124" t="str">
            <v xml:space="preserve">    减：营业外支出</v>
          </cell>
          <cell r="B124">
            <v>43196.03</v>
          </cell>
          <cell r="D124">
            <v>43196.03</v>
          </cell>
        </row>
        <row r="125">
          <cell r="B125">
            <v>0</v>
          </cell>
        </row>
        <row r="126">
          <cell r="A126" t="str">
            <v xml:space="preserve">四、利润总额 </v>
          </cell>
          <cell r="B126">
            <v>-754984.37000000046</v>
          </cell>
          <cell r="C126">
            <v>0</v>
          </cell>
          <cell r="D126">
            <v>-754984.37000000046</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-754984.37000000046</v>
          </cell>
          <cell r="C129">
            <v>0</v>
          </cell>
          <cell r="D129">
            <v>-754984.37000000046</v>
          </cell>
        </row>
        <row r="130">
          <cell r="B130">
            <v>0</v>
          </cell>
        </row>
        <row r="131">
          <cell r="A131" t="str">
            <v>利 润 分 配 表</v>
          </cell>
        </row>
        <row r="133">
          <cell r="A133" t="str">
            <v>编制单位：包头</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-754984.37000000046</v>
          </cell>
          <cell r="C136">
            <v>0</v>
          </cell>
          <cell r="D136">
            <v>-754984.37000000046</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sheetData>
      <sheetData sheetId="5"/>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24921853.489999998</v>
          </cell>
          <cell r="D7">
            <v>24921853.489999998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341763.5</v>
          </cell>
          <cell r="D14">
            <v>341763.5</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382364.63</v>
          </cell>
          <cell r="D17">
            <v>382364.63</v>
          </cell>
        </row>
        <row r="18">
          <cell r="A18" t="str">
            <v xml:space="preserve">              减：其他应收款坏帐准备</v>
          </cell>
          <cell r="B18">
            <v>0</v>
          </cell>
          <cell r="D18">
            <v>0</v>
          </cell>
        </row>
        <row r="19">
          <cell r="A19" t="str">
            <v xml:space="preserve">    其他应收款净值  </v>
          </cell>
          <cell r="B19">
            <v>0</v>
          </cell>
          <cell r="C19">
            <v>0</v>
          </cell>
          <cell r="D19">
            <v>382364.63</v>
          </cell>
        </row>
        <row r="20">
          <cell r="A20" t="str">
            <v xml:space="preserve">    预付帐款 </v>
          </cell>
          <cell r="B20">
            <v>2824058.15</v>
          </cell>
          <cell r="D20">
            <v>2824058.15</v>
          </cell>
        </row>
        <row r="21">
          <cell r="A21" t="str">
            <v xml:space="preserve">    应收补贴款</v>
          </cell>
          <cell r="B21">
            <v>0</v>
          </cell>
          <cell r="D21">
            <v>0</v>
          </cell>
        </row>
        <row r="22">
          <cell r="A22" t="str">
            <v xml:space="preserve">    存货 </v>
          </cell>
          <cell r="B22">
            <v>11117376.539999999</v>
          </cell>
          <cell r="D22">
            <v>11117376.539999999</v>
          </cell>
        </row>
        <row r="23">
          <cell r="A23" t="str">
            <v xml:space="preserve">              减：存货跌价准备</v>
          </cell>
          <cell r="B23">
            <v>0</v>
          </cell>
          <cell r="D23">
            <v>0</v>
          </cell>
        </row>
        <row r="24">
          <cell r="A24" t="str">
            <v xml:space="preserve">    存货净值 </v>
          </cell>
          <cell r="B24">
            <v>0</v>
          </cell>
          <cell r="C24">
            <v>0</v>
          </cell>
          <cell r="D24">
            <v>11117376.539999999</v>
          </cell>
        </row>
        <row r="25">
          <cell r="A25" t="str">
            <v xml:space="preserve">    待摊费用 </v>
          </cell>
          <cell r="B25">
            <v>4421915.9400000004</v>
          </cell>
          <cell r="D25">
            <v>4421915.9400000004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44009332.249999993</v>
          </cell>
          <cell r="C28">
            <v>0</v>
          </cell>
          <cell r="D28">
            <v>44009332.249999993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6593356.6799999997</v>
          </cell>
          <cell r="D40">
            <v>6593356.6799999997</v>
          </cell>
        </row>
        <row r="41">
          <cell r="A41" t="str">
            <v xml:space="preserve">      减：累计折旧 </v>
          </cell>
          <cell r="B41">
            <v>2027589.59</v>
          </cell>
          <cell r="D41">
            <v>2027589.59</v>
          </cell>
        </row>
        <row r="42">
          <cell r="A42" t="str">
            <v xml:space="preserve">    固定资产净值 </v>
          </cell>
          <cell r="B42">
            <v>4565767.09</v>
          </cell>
          <cell r="C42">
            <v>0</v>
          </cell>
          <cell r="D42">
            <v>4565767.09</v>
          </cell>
        </row>
        <row r="43">
          <cell r="A43" t="str">
            <v xml:space="preserve">      减：固定资产减值准备</v>
          </cell>
          <cell r="B43">
            <v>0</v>
          </cell>
          <cell r="D43">
            <v>0</v>
          </cell>
        </row>
        <row r="44">
          <cell r="A44" t="str">
            <v xml:space="preserve">    固定资产净额</v>
          </cell>
          <cell r="B44">
            <v>4565767.09</v>
          </cell>
          <cell r="C44">
            <v>0</v>
          </cell>
          <cell r="D44">
            <v>4565767.09</v>
          </cell>
        </row>
        <row r="45">
          <cell r="A45" t="str">
            <v xml:space="preserve">    工程物资</v>
          </cell>
          <cell r="B45">
            <v>0</v>
          </cell>
          <cell r="D45">
            <v>0</v>
          </cell>
        </row>
        <row r="46">
          <cell r="A46" t="str">
            <v xml:space="preserve">    在建工程 </v>
          </cell>
          <cell r="B46">
            <v>98502.1</v>
          </cell>
          <cell r="D46">
            <v>98502.1</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4664269.1899999995</v>
          </cell>
          <cell r="C50">
            <v>0</v>
          </cell>
          <cell r="D50">
            <v>4664269.1899999995</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19414887.48</v>
          </cell>
          <cell r="D56">
            <v>19414887.48</v>
          </cell>
        </row>
        <row r="57">
          <cell r="A57" t="str">
            <v xml:space="preserve">    其他长期资产</v>
          </cell>
          <cell r="B57">
            <v>0</v>
          </cell>
          <cell r="D57">
            <v>0</v>
          </cell>
        </row>
        <row r="58">
          <cell r="A58" t="str">
            <v xml:space="preserve">    无形及其他资产合计 </v>
          </cell>
          <cell r="B58">
            <v>19414887.48</v>
          </cell>
          <cell r="C58">
            <v>0</v>
          </cell>
          <cell r="D58">
            <v>19414887.48</v>
          </cell>
        </row>
        <row r="59">
          <cell r="B59">
            <v>0</v>
          </cell>
          <cell r="D59">
            <v>0</v>
          </cell>
        </row>
        <row r="60">
          <cell r="A60" t="str">
            <v xml:space="preserve">    资产总计 </v>
          </cell>
          <cell r="B60">
            <v>68088488.919999987</v>
          </cell>
          <cell r="C60">
            <v>0</v>
          </cell>
          <cell r="D60">
            <v>68088488.919999987</v>
          </cell>
        </row>
        <row r="62">
          <cell r="A62" t="str">
            <v>资产负债表（续）</v>
          </cell>
        </row>
        <row r="64">
          <cell r="A64" t="str">
            <v>编制单位：南京大厂</v>
          </cell>
          <cell r="B64" t="str">
            <v>编制：吴海鸥</v>
          </cell>
          <cell r="C64" t="str">
            <v>复核：</v>
          </cell>
          <cell r="D64" t="str">
            <v>索引：A9</v>
          </cell>
        </row>
        <row r="65">
          <cell r="A65" t="str">
            <v>会计期间：2003.6.30</v>
          </cell>
          <cell r="B65" t="str">
            <v>日期:July 28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6878400</v>
          </cell>
          <cell r="D69">
            <v>6878400</v>
          </cell>
        </row>
        <row r="70">
          <cell r="A70" t="str">
            <v xml:space="preserve">    应付帐款 </v>
          </cell>
          <cell r="B70">
            <v>25322790.280000001</v>
          </cell>
          <cell r="D70">
            <v>25322790.280000001</v>
          </cell>
        </row>
        <row r="71">
          <cell r="A71" t="str">
            <v xml:space="preserve">    预收帐款 </v>
          </cell>
          <cell r="B71">
            <v>277394.45</v>
          </cell>
          <cell r="D71">
            <v>277394.45</v>
          </cell>
        </row>
        <row r="72">
          <cell r="A72" t="str">
            <v xml:space="preserve">    应付工资 </v>
          </cell>
          <cell r="B72">
            <v>-342483.51</v>
          </cell>
          <cell r="D72">
            <v>-342483.51</v>
          </cell>
        </row>
        <row r="73">
          <cell r="A73" t="str">
            <v xml:space="preserve">    应付福利费 </v>
          </cell>
          <cell r="B73">
            <v>119970.04</v>
          </cell>
          <cell r="D73">
            <v>119970.04</v>
          </cell>
        </row>
        <row r="74">
          <cell r="A74" t="str">
            <v xml:space="preserve">    应付股利</v>
          </cell>
          <cell r="B74">
            <v>0</v>
          </cell>
          <cell r="D74">
            <v>0</v>
          </cell>
        </row>
        <row r="75">
          <cell r="A75" t="str">
            <v xml:space="preserve">    应交税金 </v>
          </cell>
          <cell r="B75">
            <v>318617.3</v>
          </cell>
          <cell r="D75">
            <v>318617.3</v>
          </cell>
        </row>
        <row r="76">
          <cell r="A76" t="str">
            <v xml:space="preserve">    其他未交款 </v>
          </cell>
          <cell r="B76">
            <v>1993.34</v>
          </cell>
          <cell r="D76">
            <v>1993.34</v>
          </cell>
        </row>
        <row r="77">
          <cell r="A77" t="str">
            <v xml:space="preserve">    其他应付款 </v>
          </cell>
          <cell r="B77">
            <v>542052.85</v>
          </cell>
          <cell r="D77">
            <v>542052.85</v>
          </cell>
        </row>
        <row r="78">
          <cell r="A78" t="str">
            <v xml:space="preserve">    预提费用 </v>
          </cell>
          <cell r="B78">
            <v>605021.46</v>
          </cell>
          <cell r="D78">
            <v>605021.46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33723756.210000001</v>
          </cell>
          <cell r="C83">
            <v>0</v>
          </cell>
          <cell r="D83">
            <v>33723756.210000001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33723756.210000001</v>
          </cell>
          <cell r="C93">
            <v>0</v>
          </cell>
          <cell r="D93">
            <v>33723756.210000001</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30000000</v>
          </cell>
          <cell r="D96">
            <v>30000000</v>
          </cell>
        </row>
        <row r="97">
          <cell r="A97" t="str">
            <v xml:space="preserve">    资本公积 </v>
          </cell>
          <cell r="B97">
            <v>111859.61</v>
          </cell>
          <cell r="D97">
            <v>111859.61</v>
          </cell>
        </row>
        <row r="98">
          <cell r="A98" t="str">
            <v xml:space="preserve">    盈余公积 </v>
          </cell>
          <cell r="B98">
            <v>374009.34</v>
          </cell>
          <cell r="D98">
            <v>374009.34</v>
          </cell>
        </row>
        <row r="99">
          <cell r="A99" t="str">
            <v xml:space="preserve">      其中：公益金</v>
          </cell>
          <cell r="B99">
            <v>124009.76</v>
          </cell>
          <cell r="C99">
            <v>0</v>
          </cell>
          <cell r="D99">
            <v>124009.76</v>
          </cell>
        </row>
        <row r="100">
          <cell r="A100" t="str">
            <v xml:space="preserve">    未分配利润 </v>
          </cell>
          <cell r="B100">
            <v>3878863.76</v>
          </cell>
          <cell r="C100">
            <v>0</v>
          </cell>
          <cell r="D100">
            <v>3878863.76</v>
          </cell>
        </row>
        <row r="102">
          <cell r="A102" t="str">
            <v xml:space="preserve">    所有者权益合计 </v>
          </cell>
          <cell r="B102">
            <v>34364732.710000001</v>
          </cell>
          <cell r="C102">
            <v>0</v>
          </cell>
          <cell r="D102">
            <v>34364732.710000001</v>
          </cell>
        </row>
        <row r="103">
          <cell r="B103">
            <v>0</v>
          </cell>
        </row>
        <row r="104">
          <cell r="A104" t="str">
            <v xml:space="preserve">   负债及所有者权益总计 </v>
          </cell>
          <cell r="B104">
            <v>68088488.920000002</v>
          </cell>
          <cell r="C104">
            <v>0</v>
          </cell>
          <cell r="D104">
            <v>68088488.920000002</v>
          </cell>
        </row>
        <row r="105">
          <cell r="A105" t="str">
            <v>利  润  表</v>
          </cell>
        </row>
        <row r="107">
          <cell r="A107" t="str">
            <v>编制单位：南京大厂</v>
          </cell>
          <cell r="B107" t="str">
            <v>编制：吴海鸥</v>
          </cell>
          <cell r="C107" t="str">
            <v>复核：</v>
          </cell>
          <cell r="D107" t="str">
            <v>索引：A9</v>
          </cell>
        </row>
        <row r="108">
          <cell r="A108" t="str">
            <v>会计期间：2003年1-6</v>
          </cell>
          <cell r="B108" t="str">
            <v>日期:July 28</v>
          </cell>
          <cell r="C108" t="str">
            <v>日期：</v>
          </cell>
          <cell r="D108" t="str">
            <v>页次：3</v>
          </cell>
        </row>
        <row r="109">
          <cell r="A109" t="str">
            <v>项         目</v>
          </cell>
          <cell r="B109" t="str">
            <v>原报</v>
          </cell>
          <cell r="C109" t="str">
            <v>调整</v>
          </cell>
          <cell r="D109" t="str">
            <v>审定</v>
          </cell>
        </row>
        <row r="110">
          <cell r="A110" t="str">
            <v>一、主营业务收入</v>
          </cell>
          <cell r="B110">
            <v>50858628.710000001</v>
          </cell>
          <cell r="D110">
            <v>50858628.710000001</v>
          </cell>
        </row>
        <row r="111">
          <cell r="A111" t="str">
            <v xml:space="preserve">    减：主营业务成本</v>
          </cell>
          <cell r="B111">
            <v>45443316.780000001</v>
          </cell>
          <cell r="D111">
            <v>45443316.780000001</v>
          </cell>
        </row>
        <row r="112">
          <cell r="A112" t="str">
            <v xml:space="preserve">        主营业务税金及附加</v>
          </cell>
          <cell r="B112">
            <v>107296.06</v>
          </cell>
          <cell r="D112">
            <v>107296.06</v>
          </cell>
        </row>
        <row r="113">
          <cell r="B113">
            <v>0</v>
          </cell>
        </row>
        <row r="114">
          <cell r="A114" t="str">
            <v>二、主营业务利润</v>
          </cell>
          <cell r="B114">
            <v>5308015.87</v>
          </cell>
          <cell r="C114">
            <v>0</v>
          </cell>
          <cell r="D114">
            <v>5308015.87</v>
          </cell>
        </row>
        <row r="115">
          <cell r="A115" t="str">
            <v xml:space="preserve">    加：其他业务利润</v>
          </cell>
          <cell r="B115">
            <v>2224758.52</v>
          </cell>
          <cell r="D115">
            <v>2224758.52</v>
          </cell>
        </row>
        <row r="116">
          <cell r="A116" t="str">
            <v xml:space="preserve">    减：营业费用</v>
          </cell>
          <cell r="B116">
            <v>4348640.07</v>
          </cell>
          <cell r="D116">
            <v>4348640.07</v>
          </cell>
        </row>
        <row r="117">
          <cell r="A117" t="str">
            <v xml:space="preserve">        管理费用</v>
          </cell>
          <cell r="B117">
            <v>644047.74</v>
          </cell>
          <cell r="D117">
            <v>644047.74</v>
          </cell>
        </row>
        <row r="118">
          <cell r="A118" t="str">
            <v xml:space="preserve">        财务费用</v>
          </cell>
          <cell r="B118">
            <v>-1542.26</v>
          </cell>
          <cell r="D118">
            <v>-1542.26</v>
          </cell>
        </row>
        <row r="119">
          <cell r="B119">
            <v>0</v>
          </cell>
        </row>
        <row r="120">
          <cell r="A120" t="str">
            <v>三、营业利润</v>
          </cell>
          <cell r="B120">
            <v>2541628.84</v>
          </cell>
          <cell r="C120">
            <v>0</v>
          </cell>
          <cell r="D120">
            <v>2541628.84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114415.62</v>
          </cell>
          <cell r="D123">
            <v>114415.62</v>
          </cell>
        </row>
        <row r="124">
          <cell r="A124" t="str">
            <v xml:space="preserve">    减：营业外支出</v>
          </cell>
          <cell r="B124">
            <v>16094.6</v>
          </cell>
          <cell r="D124">
            <v>16094.6</v>
          </cell>
        </row>
        <row r="125">
          <cell r="B125">
            <v>0</v>
          </cell>
        </row>
        <row r="126">
          <cell r="A126" t="str">
            <v xml:space="preserve">四、利润总额 </v>
          </cell>
          <cell r="B126">
            <v>2639949.86</v>
          </cell>
          <cell r="C126">
            <v>0</v>
          </cell>
          <cell r="D126">
            <v>2639949.86</v>
          </cell>
        </row>
        <row r="127">
          <cell r="A127" t="str">
            <v xml:space="preserve">    减：所得税</v>
          </cell>
          <cell r="B127">
            <v>880472.31</v>
          </cell>
          <cell r="D127">
            <v>880472.31</v>
          </cell>
        </row>
        <row r="128">
          <cell r="A128" t="str">
            <v xml:space="preserve">                    少数股东本期收益</v>
          </cell>
          <cell r="B128">
            <v>0</v>
          </cell>
          <cell r="D128">
            <v>0</v>
          </cell>
        </row>
        <row r="129">
          <cell r="A129" t="str">
            <v>五、净利润</v>
          </cell>
          <cell r="B129">
            <v>1759477.5499999998</v>
          </cell>
          <cell r="C129">
            <v>0</v>
          </cell>
          <cell r="D129">
            <v>1759477.5499999998</v>
          </cell>
        </row>
        <row r="131">
          <cell r="A131" t="str">
            <v>利 润 分 配 表</v>
          </cell>
        </row>
        <row r="133">
          <cell r="A133" t="str">
            <v>编制单位：南京大厂</v>
          </cell>
          <cell r="B133" t="str">
            <v>编制：吴海鸥</v>
          </cell>
          <cell r="C133" t="str">
            <v>复核：</v>
          </cell>
          <cell r="D133" t="str">
            <v>索引：A9</v>
          </cell>
        </row>
        <row r="134">
          <cell r="A134" t="str">
            <v>会计期间：2003年1-6</v>
          </cell>
          <cell r="B134" t="str">
            <v>日期:July 28</v>
          </cell>
          <cell r="C134" t="str">
            <v>日期：</v>
          </cell>
          <cell r="D134" t="str">
            <v>页次：3</v>
          </cell>
        </row>
        <row r="135">
          <cell r="A135" t="str">
            <v>项         目</v>
          </cell>
          <cell r="B135" t="str">
            <v>原报</v>
          </cell>
          <cell r="C135" t="str">
            <v>调整</v>
          </cell>
          <cell r="D135" t="str">
            <v>审定</v>
          </cell>
        </row>
        <row r="136">
          <cell r="A136" t="str">
            <v>一、净利润</v>
          </cell>
          <cell r="B136">
            <v>1759477.5499999998</v>
          </cell>
          <cell r="C136">
            <v>0</v>
          </cell>
          <cell r="D136">
            <v>1759477.5499999998</v>
          </cell>
        </row>
        <row r="137">
          <cell r="A137" t="str">
            <v xml:space="preserve">    加：年初未分配利润</v>
          </cell>
          <cell r="B137">
            <v>2119386.21</v>
          </cell>
          <cell r="D137">
            <v>2119386.21</v>
          </cell>
        </row>
        <row r="138">
          <cell r="A138" t="str">
            <v xml:space="preserve">        其他转入</v>
          </cell>
          <cell r="D138">
            <v>0</v>
          </cell>
        </row>
      </sheetData>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短期借款余额表"/>
      <sheetName val="*REF!"/>
      <sheetName val="累计产销存"/>
      <sheetName val="_REF!"/>
      <sheetName val="W"/>
      <sheetName val="应收账款贷方余额表"/>
      <sheetName val="应收账款借方余额表"/>
      <sheetName val="应收账款余额表"/>
      <sheetName val="完"/>
      <sheetName val="Sheet3"/>
      <sheetName val="B"/>
      <sheetName val="余额表"/>
      <sheetName val="科目余额表"/>
      <sheetName val="库存商品"/>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凭证核对内容"/>
      <sheetName val="包增减变动"/>
      <sheetName val="FA Breakdown"/>
      <sheetName val="索引"/>
      <sheetName val="收入、人数真实数据--曲线"/>
      <sheetName val="填写参数"/>
      <sheetName val="主表 "/>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B"/>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sheetData sheetId="26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 val="清单12.31"/>
      <sheetName val="企业表一"/>
      <sheetName val="M-5C"/>
      <sheetName val="M-5A"/>
    </sheetNames>
    <sheetDataSet>
      <sheetData sheetId="0"/>
      <sheetData sheetId="1"/>
      <sheetData sheetId="2"/>
      <sheetData sheetId="3"/>
      <sheetData sheetId="4"/>
      <sheetData sheetId="5"/>
      <sheetData sheetId="6"/>
      <sheetData sheetId="7"/>
      <sheetData sheetId="8"/>
      <sheetData sheetId="9"/>
      <sheetData sheetId="10" refreshError="1">
        <row r="1">
          <cell r="A1" t="str">
            <v>月</v>
          </cell>
          <cell r="B1" t="str">
            <v>日</v>
          </cell>
          <cell r="C1" t="str">
            <v>凭证号</v>
          </cell>
          <cell r="D1" t="str">
            <v>项目编码</v>
          </cell>
          <cell r="E1" t="str">
            <v>项目名称</v>
          </cell>
          <cell r="F1" t="str">
            <v>摘要</v>
          </cell>
          <cell r="G1" t="str">
            <v>单价</v>
          </cell>
          <cell r="H1" t="str">
            <v>借方数量</v>
          </cell>
          <cell r="I1" t="str">
            <v>借方金额</v>
          </cell>
          <cell r="J1" t="str">
            <v>贷方数量</v>
          </cell>
          <cell r="K1" t="str">
            <v>贷方金额</v>
          </cell>
          <cell r="L1" t="str">
            <v>方向</v>
          </cell>
          <cell r="M1" t="str">
            <v>余额数量</v>
          </cell>
          <cell r="N1" t="str">
            <v>余额单价</v>
          </cell>
          <cell r="O1" t="str">
            <v>余额金额</v>
          </cell>
        </row>
        <row r="2">
          <cell r="D2" t="str">
            <v>001</v>
          </cell>
          <cell r="E2" t="str">
            <v>商标乙草条</v>
          </cell>
          <cell r="F2" t="str">
            <v>上年结转</v>
          </cell>
          <cell r="G2">
            <v>0</v>
          </cell>
          <cell r="H2">
            <v>0</v>
          </cell>
          <cell r="I2">
            <v>0</v>
          </cell>
          <cell r="J2">
            <v>0</v>
          </cell>
          <cell r="K2">
            <v>0</v>
          </cell>
          <cell r="L2" t="str">
            <v>借</v>
          </cell>
          <cell r="M2">
            <v>7439.4</v>
          </cell>
          <cell r="N2">
            <v>21.955410000000001</v>
          </cell>
          <cell r="O2">
            <v>163335.1</v>
          </cell>
        </row>
        <row r="3">
          <cell r="A3" t="str">
            <v>04</v>
          </cell>
          <cell r="B3" t="str">
            <v>30</v>
          </cell>
          <cell r="C3" t="str">
            <v>记-0051</v>
          </cell>
          <cell r="D3" t="str">
            <v>001</v>
          </cell>
          <cell r="E3" t="str">
            <v>商标乙草条</v>
          </cell>
          <cell r="F3" t="str">
            <v>转成本</v>
          </cell>
          <cell r="G3">
            <v>15.76</v>
          </cell>
          <cell r="H3">
            <v>0</v>
          </cell>
          <cell r="I3">
            <v>0</v>
          </cell>
          <cell r="J3">
            <v>36.5</v>
          </cell>
          <cell r="K3">
            <v>575.24</v>
          </cell>
          <cell r="L3" t="str">
            <v>借</v>
          </cell>
          <cell r="M3">
            <v>7402.9</v>
          </cell>
          <cell r="N3">
            <v>0</v>
          </cell>
          <cell r="O3">
            <v>162759.85999999999</v>
          </cell>
        </row>
        <row r="4">
          <cell r="A4" t="str">
            <v>04</v>
          </cell>
          <cell r="B4" t="str">
            <v>30</v>
          </cell>
          <cell r="C4" t="str">
            <v>记-0051</v>
          </cell>
          <cell r="D4" t="str">
            <v>001</v>
          </cell>
          <cell r="E4" t="str">
            <v>商标乙草条</v>
          </cell>
          <cell r="F4" t="str">
            <v>转成本</v>
          </cell>
          <cell r="G4">
            <v>21.955500000000001</v>
          </cell>
          <cell r="H4">
            <v>0</v>
          </cell>
          <cell r="I4">
            <v>0</v>
          </cell>
          <cell r="J4">
            <v>3205.9</v>
          </cell>
          <cell r="K4">
            <v>70387.14</v>
          </cell>
          <cell r="L4" t="str">
            <v>借</v>
          </cell>
          <cell r="M4">
            <v>4197</v>
          </cell>
          <cell r="N4">
            <v>0</v>
          </cell>
          <cell r="O4">
            <v>92372.72</v>
          </cell>
        </row>
        <row r="5">
          <cell r="A5" t="str">
            <v>04</v>
          </cell>
          <cell r="B5" t="str">
            <v>30</v>
          </cell>
          <cell r="C5" t="str">
            <v>记-0051</v>
          </cell>
          <cell r="D5" t="str">
            <v>001</v>
          </cell>
          <cell r="E5" t="str">
            <v>商标乙草条</v>
          </cell>
          <cell r="F5" t="str">
            <v>转成本</v>
          </cell>
          <cell r="G5">
            <v>21.955469999999998</v>
          </cell>
          <cell r="H5">
            <v>0</v>
          </cell>
          <cell r="I5">
            <v>0</v>
          </cell>
          <cell r="J5">
            <v>100.6</v>
          </cell>
          <cell r="K5">
            <v>2208.7199999999998</v>
          </cell>
          <cell r="L5" t="str">
            <v>借</v>
          </cell>
          <cell r="M5">
            <v>4096.3999999999996</v>
          </cell>
          <cell r="N5">
            <v>0</v>
          </cell>
          <cell r="O5">
            <v>90164</v>
          </cell>
        </row>
        <row r="6">
          <cell r="A6" t="str">
            <v>04</v>
          </cell>
          <cell r="F6" t="str">
            <v>本月合计</v>
          </cell>
          <cell r="G6">
            <v>0</v>
          </cell>
          <cell r="H6">
            <v>0</v>
          </cell>
          <cell r="I6">
            <v>0</v>
          </cell>
          <cell r="J6">
            <v>3343</v>
          </cell>
          <cell r="K6">
            <v>73171.100000000006</v>
          </cell>
          <cell r="L6" t="str">
            <v>借</v>
          </cell>
          <cell r="M6">
            <v>4096.3999999999996</v>
          </cell>
          <cell r="N6">
            <v>22.010549999999999</v>
          </cell>
          <cell r="O6">
            <v>90164</v>
          </cell>
        </row>
        <row r="7">
          <cell r="A7" t="str">
            <v>04</v>
          </cell>
          <cell r="F7" t="str">
            <v>累    计</v>
          </cell>
          <cell r="G7">
            <v>0</v>
          </cell>
          <cell r="H7">
            <v>0</v>
          </cell>
          <cell r="I7">
            <v>0</v>
          </cell>
          <cell r="J7">
            <v>3343</v>
          </cell>
          <cell r="K7">
            <v>73171.100000000006</v>
          </cell>
          <cell r="L7" t="str">
            <v>借</v>
          </cell>
          <cell r="M7">
            <v>4096.3999999999996</v>
          </cell>
          <cell r="N7">
            <v>22.010549999999999</v>
          </cell>
          <cell r="O7">
            <v>90164</v>
          </cell>
        </row>
        <row r="8">
          <cell r="A8" t="str">
            <v>10</v>
          </cell>
          <cell r="B8" t="str">
            <v>22</v>
          </cell>
          <cell r="C8" t="str">
            <v>记-0068</v>
          </cell>
          <cell r="D8" t="str">
            <v>001</v>
          </cell>
          <cell r="E8" t="str">
            <v>商标乙草条</v>
          </cell>
          <cell r="F8" t="str">
            <v>结转成本</v>
          </cell>
          <cell r="G8">
            <v>17.02196</v>
          </cell>
          <cell r="H8">
            <v>0</v>
          </cell>
          <cell r="I8">
            <v>0</v>
          </cell>
          <cell r="J8">
            <v>100.2</v>
          </cell>
          <cell r="K8">
            <v>1705.6</v>
          </cell>
          <cell r="L8" t="str">
            <v>借</v>
          </cell>
          <cell r="M8">
            <v>3996.2</v>
          </cell>
          <cell r="N8">
            <v>0</v>
          </cell>
          <cell r="O8">
            <v>88458.4</v>
          </cell>
        </row>
        <row r="9">
          <cell r="A9" t="str">
            <v>10</v>
          </cell>
          <cell r="F9" t="str">
            <v>本月合计</v>
          </cell>
          <cell r="G9">
            <v>0</v>
          </cell>
          <cell r="H9">
            <v>0</v>
          </cell>
          <cell r="I9">
            <v>0</v>
          </cell>
          <cell r="J9">
            <v>100.2</v>
          </cell>
          <cell r="K9">
            <v>1705.6</v>
          </cell>
          <cell r="L9" t="str">
            <v>借</v>
          </cell>
          <cell r="M9">
            <v>3996.2</v>
          </cell>
          <cell r="N9">
            <v>22.135629999999999</v>
          </cell>
          <cell r="O9">
            <v>88458.4</v>
          </cell>
        </row>
        <row r="10">
          <cell r="A10" t="str">
            <v>10</v>
          </cell>
          <cell r="F10" t="str">
            <v>累    计</v>
          </cell>
          <cell r="G10">
            <v>0</v>
          </cell>
          <cell r="H10">
            <v>0</v>
          </cell>
          <cell r="I10">
            <v>0</v>
          </cell>
          <cell r="J10">
            <v>3443.2</v>
          </cell>
          <cell r="K10">
            <v>74876.7</v>
          </cell>
          <cell r="L10" t="str">
            <v>借</v>
          </cell>
          <cell r="M10">
            <v>3996.2</v>
          </cell>
          <cell r="N10">
            <v>22.135629999999999</v>
          </cell>
          <cell r="O10">
            <v>88458.4</v>
          </cell>
        </row>
        <row r="11">
          <cell r="A11" t="str">
            <v>11</v>
          </cell>
          <cell r="B11" t="str">
            <v>30</v>
          </cell>
          <cell r="C11" t="str">
            <v>记-0055</v>
          </cell>
          <cell r="D11" t="str">
            <v>001</v>
          </cell>
          <cell r="E11" t="str">
            <v>商标乙草条</v>
          </cell>
          <cell r="F11" t="str">
            <v>合并名称</v>
          </cell>
          <cell r="G11">
            <v>22.135629999999999</v>
          </cell>
          <cell r="H11">
            <v>-3996.2</v>
          </cell>
          <cell r="I11">
            <v>-88458.4</v>
          </cell>
          <cell r="J11">
            <v>0</v>
          </cell>
          <cell r="K11">
            <v>0</v>
          </cell>
          <cell r="L11" t="str">
            <v>平</v>
          </cell>
          <cell r="M11">
            <v>0</v>
          </cell>
          <cell r="N11">
            <v>0</v>
          </cell>
          <cell r="O11">
            <v>0</v>
          </cell>
        </row>
        <row r="12">
          <cell r="A12" t="str">
            <v>11</v>
          </cell>
          <cell r="F12" t="str">
            <v>本月合计</v>
          </cell>
          <cell r="G12">
            <v>0</v>
          </cell>
          <cell r="H12">
            <v>-3996.2</v>
          </cell>
          <cell r="I12">
            <v>-88458.4</v>
          </cell>
          <cell r="J12">
            <v>0</v>
          </cell>
          <cell r="K12">
            <v>0</v>
          </cell>
          <cell r="L12" t="str">
            <v>平</v>
          </cell>
          <cell r="M12">
            <v>0</v>
          </cell>
          <cell r="N12">
            <v>0</v>
          </cell>
          <cell r="O12">
            <v>0</v>
          </cell>
        </row>
        <row r="13">
          <cell r="A13" t="str">
            <v>11</v>
          </cell>
          <cell r="E13" t="str">
            <v>商标乙草条</v>
          </cell>
          <cell r="F13" t="str">
            <v>本年累计</v>
          </cell>
          <cell r="G13">
            <v>0</v>
          </cell>
          <cell r="H13">
            <v>-3996.2</v>
          </cell>
          <cell r="I13">
            <v>-88458.4</v>
          </cell>
          <cell r="J13">
            <v>3443.2</v>
          </cell>
          <cell r="K13">
            <v>74876.7</v>
          </cell>
          <cell r="L13" t="str">
            <v>平</v>
          </cell>
          <cell r="M13">
            <v>0</v>
          </cell>
          <cell r="N13">
            <v>0</v>
          </cell>
          <cell r="O13">
            <v>0</v>
          </cell>
        </row>
        <row r="15">
          <cell r="D15" t="str">
            <v>002</v>
          </cell>
          <cell r="E15" t="str">
            <v>非标乙条</v>
          </cell>
          <cell r="F15" t="str">
            <v>上年结转</v>
          </cell>
          <cell r="G15">
            <v>0</v>
          </cell>
          <cell r="H15">
            <v>0</v>
          </cell>
          <cell r="I15">
            <v>0</v>
          </cell>
          <cell r="J15">
            <v>0</v>
          </cell>
          <cell r="K15">
            <v>0</v>
          </cell>
          <cell r="L15" t="str">
            <v>借</v>
          </cell>
          <cell r="M15">
            <v>1674.5</v>
          </cell>
          <cell r="N15">
            <v>16.488859999999999</v>
          </cell>
          <cell r="O15">
            <v>27610.6</v>
          </cell>
        </row>
        <row r="16">
          <cell r="A16" t="str">
            <v>11</v>
          </cell>
          <cell r="B16" t="str">
            <v>30</v>
          </cell>
          <cell r="C16" t="str">
            <v>记-0054</v>
          </cell>
          <cell r="D16" t="str">
            <v>002</v>
          </cell>
          <cell r="E16" t="str">
            <v>非标乙条</v>
          </cell>
          <cell r="F16" t="str">
            <v>合并名称</v>
          </cell>
          <cell r="G16">
            <v>16.488859999999999</v>
          </cell>
          <cell r="H16">
            <v>-1674.5</v>
          </cell>
          <cell r="I16">
            <v>-27610.6</v>
          </cell>
          <cell r="J16">
            <v>0</v>
          </cell>
          <cell r="K16">
            <v>0</v>
          </cell>
          <cell r="L16" t="str">
            <v>平</v>
          </cell>
          <cell r="M16">
            <v>0</v>
          </cell>
          <cell r="N16">
            <v>0</v>
          </cell>
          <cell r="O16">
            <v>0</v>
          </cell>
        </row>
        <row r="17">
          <cell r="A17" t="str">
            <v>11</v>
          </cell>
          <cell r="F17" t="str">
            <v>本月合计</v>
          </cell>
          <cell r="G17">
            <v>0</v>
          </cell>
          <cell r="H17">
            <v>-1674.5</v>
          </cell>
          <cell r="I17">
            <v>-27610.6</v>
          </cell>
          <cell r="J17">
            <v>0</v>
          </cell>
          <cell r="K17">
            <v>0</v>
          </cell>
          <cell r="L17" t="str">
            <v>平</v>
          </cell>
          <cell r="M17">
            <v>0</v>
          </cell>
          <cell r="N17">
            <v>0</v>
          </cell>
          <cell r="O17">
            <v>0</v>
          </cell>
        </row>
        <row r="18">
          <cell r="A18" t="str">
            <v>11</v>
          </cell>
          <cell r="E18" t="str">
            <v>非标乙条</v>
          </cell>
          <cell r="F18" t="str">
            <v>本年累计</v>
          </cell>
          <cell r="G18">
            <v>0</v>
          </cell>
          <cell r="H18">
            <v>-1674.5</v>
          </cell>
          <cell r="I18">
            <v>-27610.6</v>
          </cell>
          <cell r="J18">
            <v>0</v>
          </cell>
          <cell r="K18">
            <v>0</v>
          </cell>
          <cell r="L18" t="str">
            <v>平</v>
          </cell>
          <cell r="M18">
            <v>0</v>
          </cell>
          <cell r="N18">
            <v>0</v>
          </cell>
          <cell r="O18">
            <v>0</v>
          </cell>
        </row>
        <row r="19">
          <cell r="D19" t="str">
            <v>003</v>
          </cell>
          <cell r="E19" t="str">
            <v>野生丙草</v>
          </cell>
          <cell r="F19" t="str">
            <v>上年结转</v>
          </cell>
          <cell r="G19">
            <v>0</v>
          </cell>
          <cell r="H19">
            <v>0</v>
          </cell>
          <cell r="I19">
            <v>0</v>
          </cell>
          <cell r="J19">
            <v>0</v>
          </cell>
          <cell r="K19">
            <v>0</v>
          </cell>
          <cell r="L19" t="str">
            <v>借</v>
          </cell>
          <cell r="M19">
            <v>17129.2</v>
          </cell>
          <cell r="N19">
            <v>13.33212</v>
          </cell>
          <cell r="O19">
            <v>228368.62</v>
          </cell>
        </row>
        <row r="20">
          <cell r="A20" t="str">
            <v>03</v>
          </cell>
          <cell r="B20" t="str">
            <v>31</v>
          </cell>
          <cell r="C20" t="str">
            <v>记-0055</v>
          </cell>
          <cell r="D20" t="str">
            <v>003</v>
          </cell>
          <cell r="E20" t="str">
            <v>野生丙草</v>
          </cell>
          <cell r="F20" t="str">
            <v>收购产品</v>
          </cell>
          <cell r="G20">
            <v>13.05</v>
          </cell>
          <cell r="H20">
            <v>5792</v>
          </cell>
          <cell r="I20">
            <v>75585.600000000006</v>
          </cell>
          <cell r="J20">
            <v>0</v>
          </cell>
          <cell r="K20">
            <v>0</v>
          </cell>
          <cell r="L20" t="str">
            <v>借</v>
          </cell>
          <cell r="M20">
            <v>22921.200000000001</v>
          </cell>
          <cell r="N20">
            <v>0</v>
          </cell>
          <cell r="O20">
            <v>303954.21999999997</v>
          </cell>
        </row>
        <row r="21">
          <cell r="A21" t="str">
            <v>03</v>
          </cell>
          <cell r="F21" t="str">
            <v>本月合计</v>
          </cell>
          <cell r="G21">
            <v>0</v>
          </cell>
          <cell r="H21">
            <v>5792</v>
          </cell>
          <cell r="I21">
            <v>75585.600000000006</v>
          </cell>
          <cell r="J21">
            <v>0</v>
          </cell>
          <cell r="K21">
            <v>0</v>
          </cell>
          <cell r="L21" t="str">
            <v>借</v>
          </cell>
          <cell r="M21">
            <v>22921.200000000001</v>
          </cell>
          <cell r="N21">
            <v>13.26083</v>
          </cell>
          <cell r="O21">
            <v>303954.21999999997</v>
          </cell>
        </row>
        <row r="22">
          <cell r="A22" t="str">
            <v>03</v>
          </cell>
          <cell r="F22" t="str">
            <v>累    计</v>
          </cell>
          <cell r="G22">
            <v>0</v>
          </cell>
          <cell r="H22">
            <v>5792</v>
          </cell>
          <cell r="I22">
            <v>75585.600000000006</v>
          </cell>
          <cell r="J22">
            <v>0</v>
          </cell>
          <cell r="K22">
            <v>0</v>
          </cell>
          <cell r="L22" t="str">
            <v>借</v>
          </cell>
          <cell r="M22">
            <v>22921.200000000001</v>
          </cell>
          <cell r="N22">
            <v>13.26083</v>
          </cell>
          <cell r="O22">
            <v>303954.21999999997</v>
          </cell>
        </row>
        <row r="23">
          <cell r="A23" t="str">
            <v>05</v>
          </cell>
          <cell r="B23" t="str">
            <v>31</v>
          </cell>
          <cell r="C23" t="str">
            <v>记-0023</v>
          </cell>
          <cell r="D23" t="str">
            <v>003</v>
          </cell>
          <cell r="E23" t="str">
            <v>野生丙草</v>
          </cell>
          <cell r="F23" t="str">
            <v>收购产品</v>
          </cell>
          <cell r="G23">
            <v>13.224</v>
          </cell>
          <cell r="H23">
            <v>4364.6000000000004</v>
          </cell>
          <cell r="I23">
            <v>57717.47</v>
          </cell>
          <cell r="J23">
            <v>0</v>
          </cell>
          <cell r="K23">
            <v>0</v>
          </cell>
          <cell r="L23" t="str">
            <v>借</v>
          </cell>
          <cell r="M23">
            <v>27285.8</v>
          </cell>
          <cell r="N23">
            <v>0</v>
          </cell>
          <cell r="O23">
            <v>361671.69</v>
          </cell>
        </row>
        <row r="24">
          <cell r="A24" t="str">
            <v>05</v>
          </cell>
          <cell r="B24" t="str">
            <v>31</v>
          </cell>
          <cell r="C24" t="str">
            <v>记-0030</v>
          </cell>
          <cell r="D24" t="str">
            <v>003</v>
          </cell>
          <cell r="E24" t="str">
            <v>野生丙草</v>
          </cell>
          <cell r="F24" t="str">
            <v>收购产品</v>
          </cell>
          <cell r="G24">
            <v>14.389799999999999</v>
          </cell>
          <cell r="H24">
            <v>10950.5</v>
          </cell>
          <cell r="I24">
            <v>157575.5</v>
          </cell>
          <cell r="J24">
            <v>0</v>
          </cell>
          <cell r="K24">
            <v>0</v>
          </cell>
          <cell r="L24" t="str">
            <v>借</v>
          </cell>
          <cell r="M24">
            <v>38236.300000000003</v>
          </cell>
          <cell r="N24">
            <v>0</v>
          </cell>
          <cell r="O24">
            <v>519247.19</v>
          </cell>
        </row>
        <row r="25">
          <cell r="A25" t="str">
            <v>05</v>
          </cell>
          <cell r="B25" t="str">
            <v>31</v>
          </cell>
          <cell r="C25" t="str">
            <v>记-0036</v>
          </cell>
          <cell r="D25" t="str">
            <v>003</v>
          </cell>
          <cell r="E25" t="str">
            <v>野生丙草</v>
          </cell>
          <cell r="F25" t="str">
            <v>收购产品</v>
          </cell>
          <cell r="G25">
            <v>15.04425</v>
          </cell>
          <cell r="H25">
            <v>3693.9</v>
          </cell>
          <cell r="I25">
            <v>55571.95</v>
          </cell>
          <cell r="J25">
            <v>0</v>
          </cell>
          <cell r="K25">
            <v>0</v>
          </cell>
          <cell r="L25" t="str">
            <v>借</v>
          </cell>
          <cell r="M25">
            <v>41930.199999999997</v>
          </cell>
          <cell r="N25">
            <v>0</v>
          </cell>
          <cell r="O25">
            <v>574819.14</v>
          </cell>
        </row>
        <row r="26">
          <cell r="A26" t="str">
            <v>05</v>
          </cell>
          <cell r="B26" t="str">
            <v>31</v>
          </cell>
          <cell r="C26" t="str">
            <v>记-0036</v>
          </cell>
          <cell r="D26" t="str">
            <v>003</v>
          </cell>
          <cell r="E26" t="str">
            <v>野生丙草</v>
          </cell>
          <cell r="F26" t="str">
            <v>收购产品</v>
          </cell>
          <cell r="G26">
            <v>15.04425</v>
          </cell>
          <cell r="H26">
            <v>4932.5</v>
          </cell>
          <cell r="I26">
            <v>74205.75</v>
          </cell>
          <cell r="J26">
            <v>0</v>
          </cell>
          <cell r="K26">
            <v>0</v>
          </cell>
          <cell r="L26" t="str">
            <v>借</v>
          </cell>
          <cell r="M26">
            <v>46862.7</v>
          </cell>
          <cell r="N26">
            <v>0</v>
          </cell>
          <cell r="O26">
            <v>649024.89</v>
          </cell>
        </row>
        <row r="27">
          <cell r="A27" t="str">
            <v>05</v>
          </cell>
          <cell r="B27" t="str">
            <v>31</v>
          </cell>
          <cell r="C27" t="str">
            <v>记-0045</v>
          </cell>
          <cell r="D27" t="str">
            <v>003</v>
          </cell>
          <cell r="E27" t="str">
            <v>野生丙草</v>
          </cell>
          <cell r="F27" t="str">
            <v>收购产品</v>
          </cell>
          <cell r="G27">
            <v>11.518800000000001</v>
          </cell>
          <cell r="H27">
            <v>5100</v>
          </cell>
          <cell r="I27">
            <v>58745.88</v>
          </cell>
          <cell r="J27">
            <v>0</v>
          </cell>
          <cell r="K27">
            <v>0</v>
          </cell>
          <cell r="L27" t="str">
            <v>借</v>
          </cell>
          <cell r="M27">
            <v>51962.7</v>
          </cell>
          <cell r="N27">
            <v>0</v>
          </cell>
          <cell r="O27">
            <v>707770.77</v>
          </cell>
        </row>
        <row r="28">
          <cell r="A28" t="str">
            <v>05</v>
          </cell>
          <cell r="B28" t="str">
            <v>31</v>
          </cell>
          <cell r="C28" t="str">
            <v>记-0045</v>
          </cell>
          <cell r="D28" t="str">
            <v>003</v>
          </cell>
          <cell r="E28" t="str">
            <v>野生丙草</v>
          </cell>
          <cell r="F28" t="str">
            <v>收购产品</v>
          </cell>
          <cell r="G28">
            <v>11.518800000000001</v>
          </cell>
          <cell r="H28">
            <v>5114.5</v>
          </cell>
          <cell r="I28">
            <v>58912.9</v>
          </cell>
          <cell r="J28">
            <v>0</v>
          </cell>
          <cell r="K28">
            <v>0</v>
          </cell>
          <cell r="L28" t="str">
            <v>借</v>
          </cell>
          <cell r="M28">
            <v>57077.2</v>
          </cell>
          <cell r="N28">
            <v>0</v>
          </cell>
          <cell r="O28">
            <v>766683.67</v>
          </cell>
        </row>
        <row r="29">
          <cell r="A29" t="str">
            <v>05</v>
          </cell>
          <cell r="B29" t="str">
            <v>31</v>
          </cell>
          <cell r="C29" t="str">
            <v>记-0087</v>
          </cell>
          <cell r="D29" t="str">
            <v>003</v>
          </cell>
          <cell r="E29" t="str">
            <v>野生丙草</v>
          </cell>
          <cell r="F29" t="str">
            <v>转成本</v>
          </cell>
          <cell r="G29">
            <v>22.120080000000002</v>
          </cell>
          <cell r="H29">
            <v>0</v>
          </cell>
          <cell r="I29">
            <v>0</v>
          </cell>
          <cell r="J29">
            <v>52.3</v>
          </cell>
          <cell r="K29">
            <v>1156.8800000000001</v>
          </cell>
          <cell r="L29" t="str">
            <v>借</v>
          </cell>
          <cell r="M29">
            <v>57024.9</v>
          </cell>
          <cell r="N29">
            <v>0</v>
          </cell>
          <cell r="O29">
            <v>765526.79</v>
          </cell>
        </row>
        <row r="30">
          <cell r="A30" t="str">
            <v>05</v>
          </cell>
          <cell r="B30" t="str">
            <v>31</v>
          </cell>
          <cell r="C30" t="str">
            <v>记-0087</v>
          </cell>
          <cell r="D30" t="str">
            <v>003</v>
          </cell>
          <cell r="E30" t="str">
            <v>野生丙草</v>
          </cell>
          <cell r="F30" t="str">
            <v>转成本</v>
          </cell>
          <cell r="G30">
            <v>14.39</v>
          </cell>
          <cell r="H30">
            <v>0</v>
          </cell>
          <cell r="I30">
            <v>0</v>
          </cell>
          <cell r="J30">
            <v>4963.1000000000004</v>
          </cell>
          <cell r="K30">
            <v>71419.009999999995</v>
          </cell>
          <cell r="L30" t="str">
            <v>借</v>
          </cell>
          <cell r="M30">
            <v>52061.8</v>
          </cell>
          <cell r="N30">
            <v>0</v>
          </cell>
          <cell r="O30">
            <v>694107.78</v>
          </cell>
        </row>
        <row r="31">
          <cell r="A31" t="str">
            <v>05</v>
          </cell>
          <cell r="F31" t="str">
            <v>本月合计</v>
          </cell>
          <cell r="G31">
            <v>0</v>
          </cell>
          <cell r="H31">
            <v>34156</v>
          </cell>
          <cell r="I31">
            <v>462729.45</v>
          </cell>
          <cell r="J31">
            <v>5015.3999999999996</v>
          </cell>
          <cell r="K31">
            <v>72575.89</v>
          </cell>
          <cell r="L31" t="str">
            <v>借</v>
          </cell>
          <cell r="M31">
            <v>52061.8</v>
          </cell>
          <cell r="N31">
            <v>13.332380000000001</v>
          </cell>
          <cell r="O31">
            <v>694107.78</v>
          </cell>
        </row>
        <row r="32">
          <cell r="A32" t="str">
            <v>05</v>
          </cell>
          <cell r="F32" t="str">
            <v>累    计</v>
          </cell>
          <cell r="G32">
            <v>0</v>
          </cell>
          <cell r="H32">
            <v>39948</v>
          </cell>
          <cell r="I32">
            <v>538315.05000000005</v>
          </cell>
          <cell r="J32">
            <v>5015.3999999999996</v>
          </cell>
          <cell r="K32">
            <v>72575.89</v>
          </cell>
          <cell r="L32" t="str">
            <v>借</v>
          </cell>
          <cell r="M32">
            <v>52061.8</v>
          </cell>
          <cell r="N32">
            <v>13.332380000000001</v>
          </cell>
          <cell r="O32">
            <v>694107.78</v>
          </cell>
        </row>
        <row r="33">
          <cell r="A33" t="str">
            <v>06</v>
          </cell>
          <cell r="B33" t="str">
            <v>24</v>
          </cell>
          <cell r="C33" t="str">
            <v>记-0020</v>
          </cell>
          <cell r="D33" t="str">
            <v>003</v>
          </cell>
          <cell r="E33" t="str">
            <v>野生丙草</v>
          </cell>
          <cell r="F33" t="str">
            <v>收购产品</v>
          </cell>
          <cell r="G33">
            <v>9.57</v>
          </cell>
          <cell r="H33">
            <v>2997</v>
          </cell>
          <cell r="I33">
            <v>28681.29</v>
          </cell>
          <cell r="J33">
            <v>0</v>
          </cell>
          <cell r="K33">
            <v>0</v>
          </cell>
          <cell r="L33" t="str">
            <v>借</v>
          </cell>
          <cell r="M33">
            <v>55058.8</v>
          </cell>
          <cell r="N33">
            <v>0</v>
          </cell>
          <cell r="O33">
            <v>722789.07</v>
          </cell>
        </row>
        <row r="34">
          <cell r="A34" t="str">
            <v>06</v>
          </cell>
          <cell r="B34" t="str">
            <v>24</v>
          </cell>
          <cell r="C34" t="str">
            <v>记-0073</v>
          </cell>
          <cell r="D34" t="str">
            <v>003</v>
          </cell>
          <cell r="E34" t="str">
            <v>野生丙草</v>
          </cell>
          <cell r="F34" t="str">
            <v>转成本</v>
          </cell>
          <cell r="G34">
            <v>13.05</v>
          </cell>
          <cell r="H34">
            <v>0</v>
          </cell>
          <cell r="I34">
            <v>0</v>
          </cell>
          <cell r="J34">
            <v>100000</v>
          </cell>
          <cell r="K34">
            <v>1305000</v>
          </cell>
          <cell r="L34" t="str">
            <v>贷</v>
          </cell>
          <cell r="M34">
            <v>44941.2</v>
          </cell>
          <cell r="N34">
            <v>0</v>
          </cell>
          <cell r="O34">
            <v>582210.93000000005</v>
          </cell>
        </row>
        <row r="35">
          <cell r="A35" t="str">
            <v>06</v>
          </cell>
          <cell r="B35" t="str">
            <v>24</v>
          </cell>
          <cell r="C35" t="str">
            <v>记-0078</v>
          </cell>
          <cell r="D35" t="str">
            <v>003</v>
          </cell>
          <cell r="E35" t="str">
            <v>野生丙草</v>
          </cell>
          <cell r="F35" t="str">
            <v>收购产品</v>
          </cell>
          <cell r="G35">
            <v>13.05</v>
          </cell>
          <cell r="H35">
            <v>100000</v>
          </cell>
          <cell r="I35">
            <v>1305000</v>
          </cell>
          <cell r="J35">
            <v>0</v>
          </cell>
          <cell r="K35">
            <v>0</v>
          </cell>
          <cell r="L35" t="str">
            <v>借</v>
          </cell>
          <cell r="M35">
            <v>55058.8</v>
          </cell>
          <cell r="N35">
            <v>0</v>
          </cell>
          <cell r="O35">
            <v>722789.07</v>
          </cell>
        </row>
        <row r="36">
          <cell r="A36" t="str">
            <v>06</v>
          </cell>
          <cell r="F36" t="str">
            <v>本月合计</v>
          </cell>
          <cell r="G36">
            <v>0</v>
          </cell>
          <cell r="H36">
            <v>102997</v>
          </cell>
          <cell r="I36">
            <v>1333681.29</v>
          </cell>
          <cell r="J36">
            <v>100000</v>
          </cell>
          <cell r="K36">
            <v>1305000</v>
          </cell>
          <cell r="L36" t="str">
            <v>借</v>
          </cell>
          <cell r="M36">
            <v>55058.8</v>
          </cell>
          <cell r="N36">
            <v>13.12758</v>
          </cell>
          <cell r="O36">
            <v>722789.07</v>
          </cell>
        </row>
        <row r="37">
          <cell r="A37" t="str">
            <v>06</v>
          </cell>
          <cell r="F37" t="str">
            <v>累    计</v>
          </cell>
          <cell r="G37">
            <v>0</v>
          </cell>
          <cell r="H37">
            <v>142945</v>
          </cell>
          <cell r="I37">
            <v>1871996.34</v>
          </cell>
          <cell r="J37">
            <v>105015.4</v>
          </cell>
          <cell r="K37">
            <v>1377575.89</v>
          </cell>
          <cell r="L37" t="str">
            <v>借</v>
          </cell>
          <cell r="M37">
            <v>55058.8</v>
          </cell>
          <cell r="N37">
            <v>13.12758</v>
          </cell>
          <cell r="O37">
            <v>722789.07</v>
          </cell>
        </row>
        <row r="38">
          <cell r="A38" t="str">
            <v>09</v>
          </cell>
          <cell r="B38" t="str">
            <v>22</v>
          </cell>
          <cell r="C38" t="str">
            <v>记-0012</v>
          </cell>
          <cell r="D38" t="str">
            <v>003</v>
          </cell>
          <cell r="E38" t="str">
            <v>野生丙草</v>
          </cell>
          <cell r="F38" t="str">
            <v>付收购款</v>
          </cell>
          <cell r="G38">
            <v>12.18</v>
          </cell>
          <cell r="H38">
            <v>1137</v>
          </cell>
          <cell r="I38">
            <v>13848.66</v>
          </cell>
          <cell r="J38">
            <v>0</v>
          </cell>
          <cell r="K38">
            <v>0</v>
          </cell>
          <cell r="L38" t="str">
            <v>借</v>
          </cell>
          <cell r="M38">
            <v>56195.8</v>
          </cell>
          <cell r="N38">
            <v>0</v>
          </cell>
          <cell r="O38">
            <v>736637.73</v>
          </cell>
        </row>
        <row r="39">
          <cell r="A39" t="str">
            <v>09</v>
          </cell>
          <cell r="F39" t="str">
            <v>本月合计</v>
          </cell>
          <cell r="G39">
            <v>0</v>
          </cell>
          <cell r="H39">
            <v>1137</v>
          </cell>
          <cell r="I39">
            <v>13848.66</v>
          </cell>
          <cell r="J39">
            <v>0</v>
          </cell>
          <cell r="K39">
            <v>0</v>
          </cell>
          <cell r="L39" t="str">
            <v>借</v>
          </cell>
          <cell r="M39">
            <v>56195.8</v>
          </cell>
          <cell r="N39">
            <v>13.108409999999999</v>
          </cell>
          <cell r="O39">
            <v>736637.73</v>
          </cell>
        </row>
        <row r="40">
          <cell r="A40" t="str">
            <v>09</v>
          </cell>
          <cell r="F40" t="str">
            <v>累    计</v>
          </cell>
          <cell r="G40">
            <v>0</v>
          </cell>
          <cell r="H40">
            <v>144082</v>
          </cell>
          <cell r="I40">
            <v>1885845</v>
          </cell>
          <cell r="J40">
            <v>105015.4</v>
          </cell>
          <cell r="K40">
            <v>1377575.89</v>
          </cell>
          <cell r="L40" t="str">
            <v>借</v>
          </cell>
          <cell r="M40">
            <v>56195.8</v>
          </cell>
          <cell r="N40">
            <v>13.108409999999999</v>
          </cell>
          <cell r="O40">
            <v>736637.73</v>
          </cell>
        </row>
        <row r="41">
          <cell r="A41" t="str">
            <v>10</v>
          </cell>
          <cell r="B41" t="str">
            <v>22</v>
          </cell>
          <cell r="C41" t="str">
            <v>记-0050</v>
          </cell>
          <cell r="D41" t="str">
            <v>003</v>
          </cell>
          <cell r="E41" t="str">
            <v>野生丙草</v>
          </cell>
          <cell r="F41" t="str">
            <v>收购产品</v>
          </cell>
          <cell r="G41">
            <v>15.04425</v>
          </cell>
          <cell r="H41">
            <v>8320.7000000000007</v>
          </cell>
          <cell r="I41">
            <v>125178.67</v>
          </cell>
          <cell r="J41">
            <v>0</v>
          </cell>
          <cell r="K41">
            <v>0</v>
          </cell>
          <cell r="L41" t="str">
            <v>借</v>
          </cell>
          <cell r="M41">
            <v>64516.5</v>
          </cell>
          <cell r="N41">
            <v>0</v>
          </cell>
          <cell r="O41">
            <v>861816.4</v>
          </cell>
        </row>
        <row r="42">
          <cell r="A42" t="str">
            <v>10</v>
          </cell>
          <cell r="B42" t="str">
            <v>22</v>
          </cell>
          <cell r="C42" t="str">
            <v>记-0051</v>
          </cell>
          <cell r="D42" t="str">
            <v>003</v>
          </cell>
          <cell r="E42" t="str">
            <v>野生丙草</v>
          </cell>
          <cell r="F42" t="str">
            <v>付收购款</v>
          </cell>
          <cell r="G42">
            <v>12.615</v>
          </cell>
          <cell r="H42">
            <v>6000</v>
          </cell>
          <cell r="I42">
            <v>75690</v>
          </cell>
          <cell r="J42">
            <v>0</v>
          </cell>
          <cell r="K42">
            <v>0</v>
          </cell>
          <cell r="L42" t="str">
            <v>借</v>
          </cell>
          <cell r="M42">
            <v>70516.5</v>
          </cell>
          <cell r="N42">
            <v>0</v>
          </cell>
          <cell r="O42">
            <v>937506.4</v>
          </cell>
        </row>
        <row r="43">
          <cell r="A43" t="str">
            <v>10</v>
          </cell>
          <cell r="B43" t="str">
            <v>22</v>
          </cell>
          <cell r="C43" t="str">
            <v>记-0051</v>
          </cell>
          <cell r="D43" t="str">
            <v>003</v>
          </cell>
          <cell r="E43" t="str">
            <v>野生丙草</v>
          </cell>
          <cell r="F43" t="str">
            <v>付收购款</v>
          </cell>
          <cell r="G43">
            <v>14.355</v>
          </cell>
          <cell r="H43">
            <v>7165.3</v>
          </cell>
          <cell r="I43">
            <v>102857.88</v>
          </cell>
          <cell r="J43">
            <v>0</v>
          </cell>
          <cell r="K43">
            <v>0</v>
          </cell>
          <cell r="L43" t="str">
            <v>借</v>
          </cell>
          <cell r="M43">
            <v>77681.8</v>
          </cell>
          <cell r="N43">
            <v>0</v>
          </cell>
          <cell r="O43">
            <v>1040364.28</v>
          </cell>
        </row>
        <row r="44">
          <cell r="A44" t="str">
            <v>10</v>
          </cell>
          <cell r="B44" t="str">
            <v>22</v>
          </cell>
          <cell r="C44" t="str">
            <v>记-0068</v>
          </cell>
          <cell r="D44" t="str">
            <v>003</v>
          </cell>
          <cell r="E44" t="str">
            <v>野生丙草</v>
          </cell>
          <cell r="F44" t="str">
            <v>结转成本</v>
          </cell>
          <cell r="G44">
            <v>13.11998</v>
          </cell>
          <cell r="H44">
            <v>0</v>
          </cell>
          <cell r="I44">
            <v>0</v>
          </cell>
          <cell r="J44">
            <v>209.2</v>
          </cell>
          <cell r="K44">
            <v>2744.7</v>
          </cell>
          <cell r="L44" t="str">
            <v>借</v>
          </cell>
          <cell r="M44">
            <v>77472.600000000006</v>
          </cell>
          <cell r="N44">
            <v>0</v>
          </cell>
          <cell r="O44">
            <v>1037619.58</v>
          </cell>
        </row>
        <row r="45">
          <cell r="A45" t="str">
            <v>10</v>
          </cell>
          <cell r="B45" t="str">
            <v>22</v>
          </cell>
          <cell r="C45" t="str">
            <v>记-0069</v>
          </cell>
          <cell r="D45" t="str">
            <v>003</v>
          </cell>
          <cell r="E45" t="str">
            <v>野生丙草</v>
          </cell>
          <cell r="F45" t="str">
            <v>结转成本</v>
          </cell>
          <cell r="G45">
            <v>13.11</v>
          </cell>
          <cell r="H45">
            <v>0</v>
          </cell>
          <cell r="I45">
            <v>0</v>
          </cell>
          <cell r="J45">
            <v>13165.3</v>
          </cell>
          <cell r="K45">
            <v>172597.08</v>
          </cell>
          <cell r="L45" t="str">
            <v>借</v>
          </cell>
          <cell r="M45">
            <v>64307.3</v>
          </cell>
          <cell r="N45">
            <v>0</v>
          </cell>
          <cell r="O45">
            <v>865022.5</v>
          </cell>
        </row>
        <row r="46">
          <cell r="A46" t="str">
            <v>10</v>
          </cell>
          <cell r="B46" t="str">
            <v>22</v>
          </cell>
          <cell r="C46" t="str">
            <v>记-0069</v>
          </cell>
          <cell r="D46" t="str">
            <v>003</v>
          </cell>
          <cell r="E46" t="str">
            <v>野生丙草</v>
          </cell>
          <cell r="F46" t="str">
            <v>结转成本</v>
          </cell>
          <cell r="G46">
            <v>13.11</v>
          </cell>
          <cell r="H46">
            <v>0</v>
          </cell>
          <cell r="I46">
            <v>0</v>
          </cell>
          <cell r="J46">
            <v>5686.9</v>
          </cell>
          <cell r="K46">
            <v>74555.259999999995</v>
          </cell>
          <cell r="L46" t="str">
            <v>借</v>
          </cell>
          <cell r="M46">
            <v>58620.4</v>
          </cell>
          <cell r="N46">
            <v>0</v>
          </cell>
          <cell r="O46">
            <v>790467.24</v>
          </cell>
        </row>
        <row r="47">
          <cell r="A47" t="str">
            <v>10</v>
          </cell>
          <cell r="B47" t="str">
            <v>22</v>
          </cell>
          <cell r="C47" t="str">
            <v>记-0069</v>
          </cell>
          <cell r="D47" t="str">
            <v>003</v>
          </cell>
          <cell r="E47" t="str">
            <v>野生丙草</v>
          </cell>
          <cell r="F47" t="str">
            <v>结转成本</v>
          </cell>
          <cell r="G47">
            <v>13.11</v>
          </cell>
          <cell r="H47">
            <v>0</v>
          </cell>
          <cell r="I47">
            <v>0</v>
          </cell>
          <cell r="J47">
            <v>3734.3</v>
          </cell>
          <cell r="K47">
            <v>48956.67</v>
          </cell>
          <cell r="L47" t="str">
            <v>借</v>
          </cell>
          <cell r="M47">
            <v>54886.1</v>
          </cell>
          <cell r="N47">
            <v>0</v>
          </cell>
          <cell r="O47">
            <v>741510.57</v>
          </cell>
        </row>
        <row r="48">
          <cell r="A48" t="str">
            <v>10</v>
          </cell>
          <cell r="B48" t="str">
            <v>22</v>
          </cell>
          <cell r="C48" t="str">
            <v>记-0069</v>
          </cell>
          <cell r="D48" t="str">
            <v>003</v>
          </cell>
          <cell r="E48" t="str">
            <v>野生丙草</v>
          </cell>
          <cell r="F48" t="str">
            <v>结转成本</v>
          </cell>
          <cell r="G48">
            <v>13.10999</v>
          </cell>
          <cell r="H48">
            <v>0</v>
          </cell>
          <cell r="I48">
            <v>0</v>
          </cell>
          <cell r="J48">
            <v>103.1</v>
          </cell>
          <cell r="K48">
            <v>1351.64</v>
          </cell>
          <cell r="L48" t="str">
            <v>借</v>
          </cell>
          <cell r="M48">
            <v>54783</v>
          </cell>
          <cell r="N48">
            <v>0</v>
          </cell>
          <cell r="O48">
            <v>740158.93</v>
          </cell>
        </row>
        <row r="49">
          <cell r="A49" t="str">
            <v>10</v>
          </cell>
          <cell r="F49" t="str">
            <v>本月合计</v>
          </cell>
          <cell r="G49">
            <v>0</v>
          </cell>
          <cell r="H49">
            <v>21486</v>
          </cell>
          <cell r="I49">
            <v>303726.55</v>
          </cell>
          <cell r="J49">
            <v>22898.799999999999</v>
          </cell>
          <cell r="K49">
            <v>300205.34999999998</v>
          </cell>
          <cell r="L49" t="str">
            <v>借</v>
          </cell>
          <cell r="M49">
            <v>54783</v>
          </cell>
          <cell r="N49">
            <v>13.51074</v>
          </cell>
          <cell r="O49">
            <v>740158.93</v>
          </cell>
        </row>
        <row r="50">
          <cell r="A50" t="str">
            <v>10</v>
          </cell>
          <cell r="F50" t="str">
            <v>累    计</v>
          </cell>
          <cell r="G50">
            <v>0</v>
          </cell>
          <cell r="H50">
            <v>165568</v>
          </cell>
          <cell r="I50">
            <v>2189571.5499999998</v>
          </cell>
          <cell r="J50">
            <v>127914.2</v>
          </cell>
          <cell r="K50">
            <v>1677781.24</v>
          </cell>
          <cell r="L50" t="str">
            <v>借</v>
          </cell>
          <cell r="M50">
            <v>54783</v>
          </cell>
          <cell r="N50">
            <v>13.51074</v>
          </cell>
          <cell r="O50">
            <v>740158.93</v>
          </cell>
        </row>
        <row r="51">
          <cell r="A51" t="str">
            <v>11</v>
          </cell>
          <cell r="B51" t="str">
            <v>30</v>
          </cell>
          <cell r="C51" t="str">
            <v>记-0056</v>
          </cell>
          <cell r="D51" t="str">
            <v>003</v>
          </cell>
          <cell r="E51" t="str">
            <v>野生丙草</v>
          </cell>
          <cell r="F51" t="str">
            <v>调整5月45号凭</v>
          </cell>
          <cell r="G51">
            <v>11.52</v>
          </cell>
          <cell r="H51">
            <v>-6134.5</v>
          </cell>
          <cell r="I51">
            <v>-70669.440000000002</v>
          </cell>
          <cell r="J51">
            <v>0</v>
          </cell>
          <cell r="K51">
            <v>0</v>
          </cell>
          <cell r="L51" t="str">
            <v>借</v>
          </cell>
          <cell r="M51">
            <v>48648.5</v>
          </cell>
          <cell r="N51">
            <v>0</v>
          </cell>
          <cell r="O51">
            <v>669489.49</v>
          </cell>
        </row>
        <row r="52">
          <cell r="A52" t="str">
            <v>11</v>
          </cell>
          <cell r="B52" t="str">
            <v>30</v>
          </cell>
          <cell r="C52" t="str">
            <v>记-0057</v>
          </cell>
          <cell r="D52" t="str">
            <v>003</v>
          </cell>
          <cell r="E52" t="str">
            <v>野生丙草</v>
          </cell>
          <cell r="F52" t="str">
            <v>转库存</v>
          </cell>
          <cell r="G52">
            <v>12.22</v>
          </cell>
          <cell r="H52">
            <v>10739.7</v>
          </cell>
          <cell r="I52">
            <v>131239.13</v>
          </cell>
          <cell r="J52">
            <v>0</v>
          </cell>
          <cell r="K52">
            <v>0</v>
          </cell>
          <cell r="L52" t="str">
            <v>借</v>
          </cell>
          <cell r="M52">
            <v>59388.2</v>
          </cell>
          <cell r="N52">
            <v>0</v>
          </cell>
          <cell r="O52">
            <v>800728.62</v>
          </cell>
        </row>
        <row r="53">
          <cell r="A53" t="str">
            <v>11</v>
          </cell>
          <cell r="B53" t="str">
            <v>30</v>
          </cell>
          <cell r="C53" t="str">
            <v>记-0058</v>
          </cell>
          <cell r="D53" t="str">
            <v>003</v>
          </cell>
          <cell r="E53" t="str">
            <v>野生丙草</v>
          </cell>
          <cell r="F53" t="str">
            <v>调整5月36号凭</v>
          </cell>
          <cell r="G53">
            <v>15.04425</v>
          </cell>
          <cell r="H53">
            <v>-16947.099999999999</v>
          </cell>
          <cell r="I53">
            <v>-254956.37</v>
          </cell>
          <cell r="J53">
            <v>0</v>
          </cell>
          <cell r="K53">
            <v>0</v>
          </cell>
          <cell r="L53" t="str">
            <v>借</v>
          </cell>
          <cell r="M53">
            <v>42441.1</v>
          </cell>
          <cell r="N53">
            <v>0</v>
          </cell>
          <cell r="O53">
            <v>545772.25</v>
          </cell>
        </row>
        <row r="54">
          <cell r="A54" t="str">
            <v>11</v>
          </cell>
          <cell r="B54" t="str">
            <v>30</v>
          </cell>
          <cell r="C54" t="str">
            <v>记-0059</v>
          </cell>
          <cell r="D54" t="str">
            <v>003</v>
          </cell>
          <cell r="E54" t="str">
            <v>野生丙草</v>
          </cell>
          <cell r="F54" t="str">
            <v>调整3月46号凭</v>
          </cell>
          <cell r="G54">
            <v>17.956040000000002</v>
          </cell>
          <cell r="H54">
            <v>0</v>
          </cell>
          <cell r="I54">
            <v>0</v>
          </cell>
          <cell r="J54">
            <v>105.1</v>
          </cell>
          <cell r="K54">
            <v>1887.18</v>
          </cell>
          <cell r="L54" t="str">
            <v>借</v>
          </cell>
          <cell r="M54">
            <v>42336</v>
          </cell>
          <cell r="N54">
            <v>0</v>
          </cell>
          <cell r="O54">
            <v>543885.06999999995</v>
          </cell>
        </row>
        <row r="55">
          <cell r="A55" t="str">
            <v>11</v>
          </cell>
          <cell r="B55" t="str">
            <v>30</v>
          </cell>
          <cell r="C55" t="str">
            <v>记-0060</v>
          </cell>
          <cell r="D55" t="str">
            <v>003</v>
          </cell>
          <cell r="E55" t="str">
            <v>野生丙草</v>
          </cell>
          <cell r="F55" t="str">
            <v>调整4月51号凭</v>
          </cell>
          <cell r="G55">
            <v>12.91</v>
          </cell>
          <cell r="H55">
            <v>0</v>
          </cell>
          <cell r="I55">
            <v>0</v>
          </cell>
          <cell r="J55">
            <v>1593.5</v>
          </cell>
          <cell r="K55">
            <v>20572.09</v>
          </cell>
          <cell r="L55" t="str">
            <v>借</v>
          </cell>
          <cell r="M55">
            <v>40742.5</v>
          </cell>
          <cell r="N55">
            <v>0</v>
          </cell>
          <cell r="O55">
            <v>523312.98</v>
          </cell>
        </row>
        <row r="56">
          <cell r="A56" t="str">
            <v>11</v>
          </cell>
          <cell r="B56" t="str">
            <v>30</v>
          </cell>
          <cell r="C56" t="str">
            <v>记-0115</v>
          </cell>
          <cell r="D56" t="str">
            <v>003</v>
          </cell>
          <cell r="E56" t="str">
            <v>野生丙草</v>
          </cell>
          <cell r="F56" t="str">
            <v>调整</v>
          </cell>
          <cell r="G56">
            <v>13.33212</v>
          </cell>
          <cell r="H56">
            <v>-17129.2</v>
          </cell>
          <cell r="I56">
            <v>-228368.62</v>
          </cell>
          <cell r="J56">
            <v>0</v>
          </cell>
          <cell r="K56">
            <v>0</v>
          </cell>
          <cell r="L56" t="str">
            <v>借</v>
          </cell>
          <cell r="M56">
            <v>23613.3</v>
          </cell>
          <cell r="N56">
            <v>0</v>
          </cell>
          <cell r="O56">
            <v>294944.36</v>
          </cell>
        </row>
        <row r="57">
          <cell r="A57" t="str">
            <v>11</v>
          </cell>
          <cell r="B57" t="str">
            <v>30</v>
          </cell>
          <cell r="C57" t="str">
            <v>记-0130</v>
          </cell>
          <cell r="D57" t="str">
            <v>003</v>
          </cell>
          <cell r="E57" t="str">
            <v>野生丙草</v>
          </cell>
          <cell r="F57" t="str">
            <v>收购产品</v>
          </cell>
          <cell r="G57">
            <v>20.06653</v>
          </cell>
          <cell r="H57">
            <v>170</v>
          </cell>
          <cell r="I57">
            <v>3411.31</v>
          </cell>
          <cell r="J57">
            <v>0</v>
          </cell>
          <cell r="K57">
            <v>0</v>
          </cell>
          <cell r="L57" t="str">
            <v>借</v>
          </cell>
          <cell r="M57">
            <v>23783.3</v>
          </cell>
          <cell r="N57">
            <v>0</v>
          </cell>
          <cell r="O57">
            <v>298355.67</v>
          </cell>
        </row>
        <row r="58">
          <cell r="A58" t="str">
            <v>11</v>
          </cell>
          <cell r="B58" t="str">
            <v>30</v>
          </cell>
          <cell r="C58" t="str">
            <v>记-0136</v>
          </cell>
          <cell r="D58" t="str">
            <v>003</v>
          </cell>
          <cell r="E58" t="str">
            <v>野生丙草</v>
          </cell>
          <cell r="F58" t="str">
            <v>结转成本</v>
          </cell>
          <cell r="G58">
            <v>20.06653</v>
          </cell>
          <cell r="H58">
            <v>0</v>
          </cell>
          <cell r="I58">
            <v>0</v>
          </cell>
          <cell r="J58">
            <v>170</v>
          </cell>
          <cell r="K58">
            <v>3411.31</v>
          </cell>
          <cell r="L58" t="str">
            <v>借</v>
          </cell>
          <cell r="M58">
            <v>23613.3</v>
          </cell>
          <cell r="N58">
            <v>0</v>
          </cell>
          <cell r="O58">
            <v>294944.36</v>
          </cell>
        </row>
        <row r="59">
          <cell r="A59" t="str">
            <v>11</v>
          </cell>
          <cell r="B59" t="str">
            <v>30</v>
          </cell>
          <cell r="C59" t="str">
            <v>记-0158</v>
          </cell>
          <cell r="D59" t="str">
            <v>003</v>
          </cell>
          <cell r="E59" t="str">
            <v>野生丙草</v>
          </cell>
          <cell r="F59" t="str">
            <v>调整库存</v>
          </cell>
          <cell r="G59">
            <v>12.489979999999999</v>
          </cell>
          <cell r="H59">
            <v>168.6</v>
          </cell>
          <cell r="I59">
            <v>2105.81</v>
          </cell>
          <cell r="J59">
            <v>0</v>
          </cell>
          <cell r="K59">
            <v>0</v>
          </cell>
          <cell r="L59" t="str">
            <v>借</v>
          </cell>
          <cell r="M59">
            <v>23781.9</v>
          </cell>
          <cell r="N59">
            <v>0</v>
          </cell>
          <cell r="O59">
            <v>297050.17</v>
          </cell>
        </row>
        <row r="60">
          <cell r="A60" t="str">
            <v>11</v>
          </cell>
          <cell r="F60" t="str">
            <v>本月合计</v>
          </cell>
          <cell r="G60">
            <v>0</v>
          </cell>
          <cell r="H60">
            <v>-29132.5</v>
          </cell>
          <cell r="I60">
            <v>-417238.18</v>
          </cell>
          <cell r="J60">
            <v>1868.6</v>
          </cell>
          <cell r="K60">
            <v>25870.58</v>
          </cell>
          <cell r="L60" t="str">
            <v>借</v>
          </cell>
          <cell r="M60">
            <v>23781.9</v>
          </cell>
          <cell r="N60">
            <v>12.490600000000001</v>
          </cell>
          <cell r="O60">
            <v>297050.17</v>
          </cell>
        </row>
        <row r="61">
          <cell r="A61" t="str">
            <v>11</v>
          </cell>
          <cell r="F61" t="str">
            <v>累    计</v>
          </cell>
          <cell r="G61">
            <v>0</v>
          </cell>
          <cell r="H61">
            <v>136435.5</v>
          </cell>
          <cell r="I61">
            <v>1772333.37</v>
          </cell>
          <cell r="J61">
            <v>129782.8</v>
          </cell>
          <cell r="K61">
            <v>1703651.82</v>
          </cell>
          <cell r="L61" t="str">
            <v>借</v>
          </cell>
          <cell r="M61">
            <v>23781.9</v>
          </cell>
          <cell r="N61">
            <v>12.490600000000001</v>
          </cell>
          <cell r="O61">
            <v>297050.17</v>
          </cell>
        </row>
        <row r="62">
          <cell r="A62" t="str">
            <v>12</v>
          </cell>
          <cell r="B62" t="str">
            <v>31</v>
          </cell>
          <cell r="C62" t="str">
            <v>记-0189</v>
          </cell>
          <cell r="D62" t="str">
            <v>003</v>
          </cell>
          <cell r="E62" t="str">
            <v>野生丙草</v>
          </cell>
          <cell r="F62" t="str">
            <v>调整6月78-80</v>
          </cell>
          <cell r="G62">
            <v>0</v>
          </cell>
          <cell r="H62">
            <v>0</v>
          </cell>
          <cell r="I62">
            <v>-1305000</v>
          </cell>
          <cell r="J62">
            <v>0</v>
          </cell>
          <cell r="K62">
            <v>0</v>
          </cell>
          <cell r="L62" t="str">
            <v>贷</v>
          </cell>
          <cell r="M62">
            <v>-23781.9</v>
          </cell>
          <cell r="N62">
            <v>0</v>
          </cell>
          <cell r="O62">
            <v>1007949.83</v>
          </cell>
        </row>
        <row r="63">
          <cell r="A63" t="str">
            <v>12</v>
          </cell>
          <cell r="B63" t="str">
            <v>31</v>
          </cell>
          <cell r="C63" t="str">
            <v>记-0189</v>
          </cell>
          <cell r="D63" t="str">
            <v>003</v>
          </cell>
          <cell r="E63" t="str">
            <v>野生丙草</v>
          </cell>
          <cell r="F63" t="str">
            <v>调整6月78-80</v>
          </cell>
          <cell r="G63">
            <v>0</v>
          </cell>
          <cell r="H63">
            <v>0</v>
          </cell>
          <cell r="I63">
            <v>1305000</v>
          </cell>
          <cell r="J63">
            <v>0</v>
          </cell>
          <cell r="K63">
            <v>0</v>
          </cell>
          <cell r="L63" t="str">
            <v>借</v>
          </cell>
          <cell r="M63">
            <v>23781.9</v>
          </cell>
          <cell r="N63">
            <v>0</v>
          </cell>
          <cell r="O63">
            <v>297050.17</v>
          </cell>
        </row>
        <row r="64">
          <cell r="A64" t="str">
            <v>12</v>
          </cell>
          <cell r="F64" t="str">
            <v>本月合计</v>
          </cell>
          <cell r="G64">
            <v>0</v>
          </cell>
          <cell r="H64">
            <v>0</v>
          </cell>
          <cell r="I64">
            <v>0</v>
          </cell>
          <cell r="J64">
            <v>0</v>
          </cell>
          <cell r="K64">
            <v>0</v>
          </cell>
          <cell r="L64" t="str">
            <v>借</v>
          </cell>
          <cell r="M64">
            <v>23781.9</v>
          </cell>
          <cell r="N64">
            <v>12.490600000000001</v>
          </cell>
          <cell r="O64">
            <v>297050.17</v>
          </cell>
        </row>
        <row r="65">
          <cell r="A65" t="str">
            <v>12</v>
          </cell>
          <cell r="E65" t="str">
            <v>野生丙草</v>
          </cell>
          <cell r="F65" t="str">
            <v>本年累计</v>
          </cell>
          <cell r="G65">
            <v>0</v>
          </cell>
          <cell r="H65">
            <v>136435.5</v>
          </cell>
          <cell r="I65">
            <v>1772333.37</v>
          </cell>
          <cell r="J65">
            <v>129782.8</v>
          </cell>
          <cell r="K65">
            <v>1703651.82</v>
          </cell>
          <cell r="L65" t="str">
            <v>借</v>
          </cell>
          <cell r="M65">
            <v>23781.9</v>
          </cell>
          <cell r="N65">
            <v>12.490600000000001</v>
          </cell>
          <cell r="O65">
            <v>297050.17</v>
          </cell>
        </row>
        <row r="66">
          <cell r="D66" t="str">
            <v>004</v>
          </cell>
          <cell r="E66" t="str">
            <v>非标丁条</v>
          </cell>
          <cell r="F66" t="str">
            <v>上年结转</v>
          </cell>
          <cell r="G66">
            <v>0</v>
          </cell>
          <cell r="H66">
            <v>0</v>
          </cell>
          <cell r="I66">
            <v>0</v>
          </cell>
          <cell r="J66">
            <v>0</v>
          </cell>
          <cell r="K66">
            <v>0</v>
          </cell>
          <cell r="L66" t="str">
            <v>借</v>
          </cell>
          <cell r="M66">
            <v>9094.2999999999993</v>
          </cell>
          <cell r="N66">
            <v>8.7068200000000004</v>
          </cell>
          <cell r="O66">
            <v>79182.460000000006</v>
          </cell>
        </row>
        <row r="67">
          <cell r="A67" t="str">
            <v>03</v>
          </cell>
          <cell r="B67" t="str">
            <v>31</v>
          </cell>
          <cell r="C67" t="str">
            <v>记-0046</v>
          </cell>
          <cell r="D67" t="str">
            <v>004</v>
          </cell>
          <cell r="E67" t="str">
            <v>非标丁条</v>
          </cell>
          <cell r="F67" t="str">
            <v>转成本</v>
          </cell>
          <cell r="G67">
            <v>8.7070000000000007</v>
          </cell>
          <cell r="H67">
            <v>0</v>
          </cell>
          <cell r="I67">
            <v>0</v>
          </cell>
          <cell r="J67">
            <v>7671</v>
          </cell>
          <cell r="K67">
            <v>66791.399999999994</v>
          </cell>
          <cell r="L67" t="str">
            <v>借</v>
          </cell>
          <cell r="M67">
            <v>1423.3</v>
          </cell>
          <cell r="N67">
            <v>0</v>
          </cell>
          <cell r="O67">
            <v>12391.06</v>
          </cell>
        </row>
        <row r="68">
          <cell r="A68" t="str">
            <v>03</v>
          </cell>
          <cell r="F68" t="str">
            <v>本月合计</v>
          </cell>
          <cell r="G68">
            <v>0</v>
          </cell>
          <cell r="H68">
            <v>0</v>
          </cell>
          <cell r="I68">
            <v>0</v>
          </cell>
          <cell r="J68">
            <v>7671</v>
          </cell>
          <cell r="K68">
            <v>66791.399999999994</v>
          </cell>
          <cell r="L68" t="str">
            <v>借</v>
          </cell>
          <cell r="M68">
            <v>1423.3</v>
          </cell>
          <cell r="N68">
            <v>8.7058700000000009</v>
          </cell>
          <cell r="O68">
            <v>12391.06</v>
          </cell>
        </row>
        <row r="69">
          <cell r="A69" t="str">
            <v>03</v>
          </cell>
          <cell r="F69" t="str">
            <v>累    计</v>
          </cell>
          <cell r="G69">
            <v>0</v>
          </cell>
          <cell r="H69">
            <v>0</v>
          </cell>
          <cell r="I69">
            <v>0</v>
          </cell>
          <cell r="J69">
            <v>7671</v>
          </cell>
          <cell r="K69">
            <v>66791.399999999994</v>
          </cell>
          <cell r="L69" t="str">
            <v>借</v>
          </cell>
          <cell r="M69">
            <v>1423.3</v>
          </cell>
          <cell r="N69">
            <v>8.7058700000000009</v>
          </cell>
          <cell r="O69">
            <v>12391.06</v>
          </cell>
        </row>
        <row r="70">
          <cell r="A70" t="str">
            <v>11</v>
          </cell>
          <cell r="B70" t="str">
            <v>30</v>
          </cell>
          <cell r="C70" t="str">
            <v>记-0070</v>
          </cell>
          <cell r="D70" t="str">
            <v>004</v>
          </cell>
          <cell r="E70" t="str">
            <v>非标丁条</v>
          </cell>
          <cell r="F70" t="str">
            <v>调整3月46号凭</v>
          </cell>
          <cell r="G70">
            <v>8.7070000000000007</v>
          </cell>
          <cell r="H70">
            <v>0</v>
          </cell>
          <cell r="I70">
            <v>0</v>
          </cell>
          <cell r="J70">
            <v>-7671</v>
          </cell>
          <cell r="K70">
            <v>-66791.399999999994</v>
          </cell>
          <cell r="L70" t="str">
            <v>借</v>
          </cell>
          <cell r="M70">
            <v>9094.2999999999993</v>
          </cell>
          <cell r="N70">
            <v>0</v>
          </cell>
          <cell r="O70">
            <v>79182.460000000006</v>
          </cell>
        </row>
        <row r="71">
          <cell r="A71" t="str">
            <v>11</v>
          </cell>
          <cell r="B71" t="str">
            <v>30</v>
          </cell>
          <cell r="C71" t="str">
            <v>记-0077</v>
          </cell>
          <cell r="D71" t="str">
            <v>004</v>
          </cell>
          <cell r="E71" t="str">
            <v>非标丁条</v>
          </cell>
          <cell r="F71" t="str">
            <v>合并名称</v>
          </cell>
          <cell r="G71">
            <v>8.7068200000000004</v>
          </cell>
          <cell r="H71">
            <v>-9094.2999999999993</v>
          </cell>
          <cell r="I71">
            <v>-79182.460000000006</v>
          </cell>
          <cell r="J71">
            <v>0</v>
          </cell>
          <cell r="K71">
            <v>0</v>
          </cell>
          <cell r="L71" t="str">
            <v>平</v>
          </cell>
          <cell r="M71">
            <v>0</v>
          </cell>
          <cell r="N71">
            <v>0</v>
          </cell>
          <cell r="O71">
            <v>0</v>
          </cell>
        </row>
        <row r="72">
          <cell r="A72" t="str">
            <v>11</v>
          </cell>
          <cell r="F72" t="str">
            <v>本月合计</v>
          </cell>
          <cell r="G72">
            <v>0</v>
          </cell>
          <cell r="H72">
            <v>-9094.2999999999993</v>
          </cell>
          <cell r="I72">
            <v>-79182.460000000006</v>
          </cell>
          <cell r="J72">
            <v>-7671</v>
          </cell>
          <cell r="K72">
            <v>-66791.399999999994</v>
          </cell>
          <cell r="L72" t="str">
            <v>平</v>
          </cell>
          <cell r="M72">
            <v>0</v>
          </cell>
          <cell r="N72">
            <v>0</v>
          </cell>
          <cell r="O72">
            <v>0</v>
          </cell>
        </row>
        <row r="73">
          <cell r="A73" t="str">
            <v>11</v>
          </cell>
          <cell r="E73" t="str">
            <v>非标丁条</v>
          </cell>
          <cell r="F73" t="str">
            <v>本年累计</v>
          </cell>
          <cell r="G73">
            <v>0</v>
          </cell>
          <cell r="H73">
            <v>-9094.2999999999993</v>
          </cell>
          <cell r="I73">
            <v>-79182.460000000006</v>
          </cell>
          <cell r="J73">
            <v>0</v>
          </cell>
          <cell r="K73">
            <v>0</v>
          </cell>
          <cell r="L73" t="str">
            <v>平</v>
          </cell>
          <cell r="M73">
            <v>0</v>
          </cell>
          <cell r="N73">
            <v>0</v>
          </cell>
          <cell r="O73">
            <v>0</v>
          </cell>
        </row>
        <row r="74">
          <cell r="D74" t="str">
            <v>005</v>
          </cell>
          <cell r="E74" t="str">
            <v>野生商标丁草</v>
          </cell>
          <cell r="F74" t="str">
            <v>上年结转</v>
          </cell>
          <cell r="G74">
            <v>0</v>
          </cell>
          <cell r="H74">
            <v>0</v>
          </cell>
          <cell r="I74">
            <v>0</v>
          </cell>
          <cell r="J74">
            <v>0</v>
          </cell>
          <cell r="K74">
            <v>0</v>
          </cell>
          <cell r="L74" t="str">
            <v>借</v>
          </cell>
          <cell r="M74">
            <v>17879.900000000001</v>
          </cell>
          <cell r="N74">
            <v>7.7468700000000004</v>
          </cell>
          <cell r="O74">
            <v>138513.29999999999</v>
          </cell>
        </row>
        <row r="75">
          <cell r="A75" t="str">
            <v>02</v>
          </cell>
          <cell r="B75" t="str">
            <v>28</v>
          </cell>
          <cell r="C75" t="str">
            <v>记-0057</v>
          </cell>
          <cell r="D75" t="str">
            <v>005</v>
          </cell>
          <cell r="E75" t="str">
            <v>野生商标丁草</v>
          </cell>
          <cell r="F75" t="str">
            <v>销售商品</v>
          </cell>
          <cell r="G75">
            <v>15.328989999999999</v>
          </cell>
          <cell r="H75">
            <v>0</v>
          </cell>
          <cell r="I75">
            <v>0</v>
          </cell>
          <cell r="J75">
            <v>155.9</v>
          </cell>
          <cell r="K75">
            <v>2389.79</v>
          </cell>
          <cell r="L75" t="str">
            <v>借</v>
          </cell>
          <cell r="M75">
            <v>17724</v>
          </cell>
          <cell r="N75">
            <v>0</v>
          </cell>
          <cell r="O75">
            <v>136123.51</v>
          </cell>
        </row>
        <row r="76">
          <cell r="A76" t="str">
            <v>02</v>
          </cell>
          <cell r="B76" t="str">
            <v>28</v>
          </cell>
          <cell r="C76" t="str">
            <v>记-0057</v>
          </cell>
          <cell r="D76" t="str">
            <v>005</v>
          </cell>
          <cell r="E76" t="str">
            <v>野生商标丁草</v>
          </cell>
          <cell r="F76" t="str">
            <v>销售商品</v>
          </cell>
          <cell r="G76">
            <v>15.329000000000001</v>
          </cell>
          <cell r="H76">
            <v>0</v>
          </cell>
          <cell r="I76">
            <v>0</v>
          </cell>
          <cell r="J76">
            <v>1573.6</v>
          </cell>
          <cell r="K76">
            <v>24121.71</v>
          </cell>
          <cell r="L76" t="str">
            <v>借</v>
          </cell>
          <cell r="M76">
            <v>16150.4</v>
          </cell>
          <cell r="N76">
            <v>0</v>
          </cell>
          <cell r="O76">
            <v>112001.8</v>
          </cell>
        </row>
        <row r="77">
          <cell r="A77" t="str">
            <v>02</v>
          </cell>
          <cell r="F77" t="str">
            <v>本月合计</v>
          </cell>
          <cell r="G77">
            <v>0</v>
          </cell>
          <cell r="H77">
            <v>0</v>
          </cell>
          <cell r="I77">
            <v>0</v>
          </cell>
          <cell r="J77">
            <v>1729.5</v>
          </cell>
          <cell r="K77">
            <v>26511.5</v>
          </cell>
          <cell r="L77" t="str">
            <v>借</v>
          </cell>
          <cell r="M77">
            <v>16150.4</v>
          </cell>
          <cell r="N77">
            <v>6.93492</v>
          </cell>
          <cell r="O77">
            <v>112001.8</v>
          </cell>
        </row>
        <row r="78">
          <cell r="A78" t="str">
            <v>02</v>
          </cell>
          <cell r="F78" t="str">
            <v>累    计</v>
          </cell>
          <cell r="G78">
            <v>0</v>
          </cell>
          <cell r="H78">
            <v>0</v>
          </cell>
          <cell r="I78">
            <v>0</v>
          </cell>
          <cell r="J78">
            <v>1729.5</v>
          </cell>
          <cell r="K78">
            <v>26511.5</v>
          </cell>
          <cell r="L78" t="str">
            <v>借</v>
          </cell>
          <cell r="M78">
            <v>16150.4</v>
          </cell>
          <cell r="N78">
            <v>6.93492</v>
          </cell>
          <cell r="O78">
            <v>112001.8</v>
          </cell>
        </row>
        <row r="79">
          <cell r="A79" t="str">
            <v>03</v>
          </cell>
          <cell r="B79" t="str">
            <v>31</v>
          </cell>
          <cell r="C79" t="str">
            <v>记-0035</v>
          </cell>
          <cell r="D79" t="str">
            <v>005</v>
          </cell>
          <cell r="E79" t="str">
            <v>野生商标丁草</v>
          </cell>
          <cell r="F79" t="str">
            <v>转成本</v>
          </cell>
          <cell r="G79">
            <v>7.7469000000000001</v>
          </cell>
          <cell r="H79">
            <v>0</v>
          </cell>
          <cell r="I79">
            <v>0</v>
          </cell>
          <cell r="J79">
            <v>4959.5</v>
          </cell>
          <cell r="K79">
            <v>38420.75</v>
          </cell>
          <cell r="L79" t="str">
            <v>借</v>
          </cell>
          <cell r="M79">
            <v>11190.9</v>
          </cell>
          <cell r="N79">
            <v>0</v>
          </cell>
          <cell r="O79">
            <v>73581.05</v>
          </cell>
        </row>
        <row r="80">
          <cell r="A80" t="str">
            <v>03</v>
          </cell>
          <cell r="F80" t="str">
            <v>本月合计</v>
          </cell>
          <cell r="G80">
            <v>0</v>
          </cell>
          <cell r="H80">
            <v>0</v>
          </cell>
          <cell r="I80">
            <v>0</v>
          </cell>
          <cell r="J80">
            <v>4959.5</v>
          </cell>
          <cell r="K80">
            <v>38420.75</v>
          </cell>
          <cell r="L80" t="str">
            <v>借</v>
          </cell>
          <cell r="M80">
            <v>11190.9</v>
          </cell>
          <cell r="N80">
            <v>6.5750799999999998</v>
          </cell>
          <cell r="O80">
            <v>73581.05</v>
          </cell>
        </row>
        <row r="81">
          <cell r="A81" t="str">
            <v>03</v>
          </cell>
          <cell r="F81" t="str">
            <v>累    计</v>
          </cell>
          <cell r="G81">
            <v>0</v>
          </cell>
          <cell r="H81">
            <v>0</v>
          </cell>
          <cell r="I81">
            <v>0</v>
          </cell>
          <cell r="J81">
            <v>6689</v>
          </cell>
          <cell r="K81">
            <v>64932.25</v>
          </cell>
          <cell r="L81" t="str">
            <v>借</v>
          </cell>
          <cell r="M81">
            <v>11190.9</v>
          </cell>
          <cell r="N81">
            <v>6.5750799999999998</v>
          </cell>
          <cell r="O81">
            <v>73581.05</v>
          </cell>
        </row>
        <row r="82">
          <cell r="A82" t="str">
            <v>05</v>
          </cell>
          <cell r="B82" t="str">
            <v>31</v>
          </cell>
          <cell r="C82" t="str">
            <v>记-0087</v>
          </cell>
          <cell r="D82" t="str">
            <v>005</v>
          </cell>
          <cell r="E82" t="str">
            <v>野生商标丁草</v>
          </cell>
          <cell r="F82" t="str">
            <v>转成本</v>
          </cell>
          <cell r="G82">
            <v>15.04</v>
          </cell>
          <cell r="H82">
            <v>0</v>
          </cell>
          <cell r="I82">
            <v>0</v>
          </cell>
          <cell r="J82">
            <v>14739</v>
          </cell>
          <cell r="K82">
            <v>221674.56</v>
          </cell>
          <cell r="L82" t="str">
            <v>贷</v>
          </cell>
          <cell r="M82">
            <v>3548.1</v>
          </cell>
          <cell r="N82">
            <v>0</v>
          </cell>
          <cell r="O82">
            <v>148093.51</v>
          </cell>
        </row>
        <row r="83">
          <cell r="A83" t="str">
            <v>05</v>
          </cell>
          <cell r="B83" t="str">
            <v>31</v>
          </cell>
          <cell r="C83" t="str">
            <v>记-0087</v>
          </cell>
          <cell r="D83" t="str">
            <v>005</v>
          </cell>
          <cell r="E83" t="str">
            <v>野生商标丁草</v>
          </cell>
          <cell r="F83" t="str">
            <v>转成本</v>
          </cell>
          <cell r="G83">
            <v>11.62</v>
          </cell>
          <cell r="H83">
            <v>0</v>
          </cell>
          <cell r="I83">
            <v>0</v>
          </cell>
          <cell r="J83">
            <v>4908.8999999999996</v>
          </cell>
          <cell r="K83">
            <v>57041.42</v>
          </cell>
          <cell r="L83" t="str">
            <v>贷</v>
          </cell>
          <cell r="M83">
            <v>8457</v>
          </cell>
          <cell r="N83">
            <v>0</v>
          </cell>
          <cell r="O83">
            <v>205134.93</v>
          </cell>
        </row>
        <row r="84">
          <cell r="A84" t="str">
            <v>05</v>
          </cell>
          <cell r="B84" t="str">
            <v>31</v>
          </cell>
          <cell r="C84" t="str">
            <v>记-0087</v>
          </cell>
          <cell r="D84" t="str">
            <v>005</v>
          </cell>
          <cell r="E84" t="str">
            <v>野生商标丁草</v>
          </cell>
          <cell r="F84" t="str">
            <v>转成本</v>
          </cell>
          <cell r="G84">
            <v>11.62</v>
          </cell>
          <cell r="H84">
            <v>0</v>
          </cell>
          <cell r="I84">
            <v>0</v>
          </cell>
          <cell r="J84">
            <v>50</v>
          </cell>
          <cell r="K84">
            <v>581</v>
          </cell>
          <cell r="L84" t="str">
            <v>贷</v>
          </cell>
          <cell r="M84">
            <v>8507</v>
          </cell>
          <cell r="N84">
            <v>0</v>
          </cell>
          <cell r="O84">
            <v>205715.93</v>
          </cell>
        </row>
        <row r="85">
          <cell r="A85" t="str">
            <v>05</v>
          </cell>
          <cell r="B85" t="str">
            <v>31</v>
          </cell>
          <cell r="C85" t="str">
            <v>记-0087</v>
          </cell>
          <cell r="D85" t="str">
            <v>005</v>
          </cell>
          <cell r="E85" t="str">
            <v>野生商标丁草</v>
          </cell>
          <cell r="F85" t="str">
            <v>转成本</v>
          </cell>
          <cell r="G85">
            <v>11.62</v>
          </cell>
          <cell r="H85">
            <v>0</v>
          </cell>
          <cell r="I85">
            <v>0</v>
          </cell>
          <cell r="J85">
            <v>9804</v>
          </cell>
          <cell r="K85">
            <v>113922.48</v>
          </cell>
          <cell r="L85" t="str">
            <v>贷</v>
          </cell>
          <cell r="M85">
            <v>18311</v>
          </cell>
          <cell r="N85">
            <v>0</v>
          </cell>
          <cell r="O85">
            <v>319638.40999999997</v>
          </cell>
        </row>
        <row r="86">
          <cell r="A86" t="str">
            <v>05</v>
          </cell>
          <cell r="B86" t="str">
            <v>31</v>
          </cell>
          <cell r="C86" t="str">
            <v>记-0087</v>
          </cell>
          <cell r="D86" t="str">
            <v>005</v>
          </cell>
          <cell r="E86" t="str">
            <v>野生商标丁草</v>
          </cell>
          <cell r="F86" t="str">
            <v>转成本</v>
          </cell>
          <cell r="G86">
            <v>11.62</v>
          </cell>
          <cell r="H86">
            <v>0</v>
          </cell>
          <cell r="I86">
            <v>0</v>
          </cell>
          <cell r="J86">
            <v>13370.7</v>
          </cell>
          <cell r="K86">
            <v>155367.53</v>
          </cell>
          <cell r="L86" t="str">
            <v>贷</v>
          </cell>
          <cell r="M86">
            <v>31681.7</v>
          </cell>
          <cell r="N86">
            <v>0</v>
          </cell>
          <cell r="O86">
            <v>475005.94</v>
          </cell>
        </row>
        <row r="87">
          <cell r="A87" t="str">
            <v>05</v>
          </cell>
          <cell r="F87" t="str">
            <v>本月合计</v>
          </cell>
          <cell r="G87">
            <v>0</v>
          </cell>
          <cell r="H87">
            <v>0</v>
          </cell>
          <cell r="I87">
            <v>0</v>
          </cell>
          <cell r="J87">
            <v>42872.6</v>
          </cell>
          <cell r="K87">
            <v>548586.99</v>
          </cell>
          <cell r="L87" t="str">
            <v>贷</v>
          </cell>
          <cell r="M87">
            <v>31681.7</v>
          </cell>
          <cell r="N87">
            <v>14.993069999999999</v>
          </cell>
          <cell r="O87">
            <v>475005.94</v>
          </cell>
        </row>
        <row r="88">
          <cell r="A88" t="str">
            <v>05</v>
          </cell>
          <cell r="F88" t="str">
            <v>累    计</v>
          </cell>
          <cell r="G88">
            <v>0</v>
          </cell>
          <cell r="H88">
            <v>0</v>
          </cell>
          <cell r="I88">
            <v>0</v>
          </cell>
          <cell r="J88">
            <v>49561.599999999999</v>
          </cell>
          <cell r="K88">
            <v>613519.24</v>
          </cell>
          <cell r="L88" t="str">
            <v>贷</v>
          </cell>
          <cell r="M88">
            <v>31681.7</v>
          </cell>
          <cell r="N88">
            <v>14.993069999999999</v>
          </cell>
          <cell r="O88">
            <v>475005.94</v>
          </cell>
        </row>
        <row r="89">
          <cell r="A89" t="str">
            <v>10</v>
          </cell>
          <cell r="B89" t="str">
            <v>22</v>
          </cell>
          <cell r="C89" t="str">
            <v>记-0069</v>
          </cell>
          <cell r="D89" t="str">
            <v>005</v>
          </cell>
          <cell r="E89" t="str">
            <v>野生商标丁草</v>
          </cell>
          <cell r="F89" t="str">
            <v>结转成本</v>
          </cell>
          <cell r="G89">
            <v>8.5619999999999994</v>
          </cell>
          <cell r="H89">
            <v>0</v>
          </cell>
          <cell r="I89">
            <v>0</v>
          </cell>
          <cell r="J89">
            <v>5086</v>
          </cell>
          <cell r="K89">
            <v>43546.33</v>
          </cell>
          <cell r="L89" t="str">
            <v>贷</v>
          </cell>
          <cell r="M89">
            <v>36767.699999999997</v>
          </cell>
          <cell r="N89">
            <v>0</v>
          </cell>
          <cell r="O89">
            <v>518552.27</v>
          </cell>
        </row>
        <row r="90">
          <cell r="A90" t="str">
            <v>10</v>
          </cell>
          <cell r="F90" t="str">
            <v>本月合计</v>
          </cell>
          <cell r="G90">
            <v>0</v>
          </cell>
          <cell r="H90">
            <v>0</v>
          </cell>
          <cell r="I90">
            <v>0</v>
          </cell>
          <cell r="J90">
            <v>5086</v>
          </cell>
          <cell r="K90">
            <v>43546.33</v>
          </cell>
          <cell r="L90" t="str">
            <v>贷</v>
          </cell>
          <cell r="M90">
            <v>36767.699999999997</v>
          </cell>
          <cell r="N90">
            <v>14.10347</v>
          </cell>
          <cell r="O90">
            <v>518552.27</v>
          </cell>
        </row>
        <row r="91">
          <cell r="A91" t="str">
            <v>10</v>
          </cell>
          <cell r="F91" t="str">
            <v>累    计</v>
          </cell>
          <cell r="G91">
            <v>0</v>
          </cell>
          <cell r="H91">
            <v>0</v>
          </cell>
          <cell r="I91">
            <v>0</v>
          </cell>
          <cell r="J91">
            <v>54647.6</v>
          </cell>
          <cell r="K91">
            <v>657065.56999999995</v>
          </cell>
          <cell r="L91" t="str">
            <v>贷</v>
          </cell>
          <cell r="M91">
            <v>36767.699999999997</v>
          </cell>
          <cell r="N91">
            <v>14.10347</v>
          </cell>
          <cell r="O91">
            <v>518552.27</v>
          </cell>
        </row>
        <row r="92">
          <cell r="A92" t="str">
            <v>11</v>
          </cell>
          <cell r="B92" t="str">
            <v>30</v>
          </cell>
          <cell r="C92" t="str">
            <v>记-0073</v>
          </cell>
          <cell r="D92" t="str">
            <v>005</v>
          </cell>
          <cell r="E92" t="str">
            <v>野生商标丁草</v>
          </cell>
          <cell r="F92" t="str">
            <v>合并名称</v>
          </cell>
          <cell r="G92">
            <v>14.10347</v>
          </cell>
          <cell r="H92">
            <v>0</v>
          </cell>
          <cell r="I92">
            <v>0</v>
          </cell>
          <cell r="J92">
            <v>-36767.699999999997</v>
          </cell>
          <cell r="K92">
            <v>-518552.27</v>
          </cell>
          <cell r="L92" t="str">
            <v>平</v>
          </cell>
          <cell r="M92">
            <v>0</v>
          </cell>
          <cell r="N92">
            <v>0</v>
          </cell>
          <cell r="O92">
            <v>0</v>
          </cell>
        </row>
        <row r="93">
          <cell r="A93" t="str">
            <v>11</v>
          </cell>
          <cell r="F93" t="str">
            <v>本月合计</v>
          </cell>
          <cell r="G93">
            <v>0</v>
          </cell>
          <cell r="H93">
            <v>0</v>
          </cell>
          <cell r="I93">
            <v>0</v>
          </cell>
          <cell r="J93">
            <v>-36767.699999999997</v>
          </cell>
          <cell r="K93">
            <v>-518552.27</v>
          </cell>
          <cell r="L93" t="str">
            <v>平</v>
          </cell>
          <cell r="M93">
            <v>0</v>
          </cell>
          <cell r="N93">
            <v>0</v>
          </cell>
          <cell r="O93">
            <v>0</v>
          </cell>
        </row>
        <row r="94">
          <cell r="A94" t="str">
            <v>11</v>
          </cell>
          <cell r="E94" t="str">
            <v>野生商标丁草</v>
          </cell>
          <cell r="F94" t="str">
            <v>本年累计</v>
          </cell>
          <cell r="G94">
            <v>0</v>
          </cell>
          <cell r="H94">
            <v>0</v>
          </cell>
          <cell r="I94">
            <v>0</v>
          </cell>
          <cell r="J94">
            <v>17879.900000000001</v>
          </cell>
          <cell r="K94">
            <v>138513.29999999999</v>
          </cell>
          <cell r="L94" t="str">
            <v>平</v>
          </cell>
          <cell r="M94">
            <v>0</v>
          </cell>
          <cell r="N94">
            <v>0</v>
          </cell>
          <cell r="O94">
            <v>0</v>
          </cell>
        </row>
        <row r="95">
          <cell r="D95" t="str">
            <v>006</v>
          </cell>
          <cell r="E95" t="str">
            <v>野生小丁</v>
          </cell>
          <cell r="F95" t="str">
            <v>上年结转</v>
          </cell>
          <cell r="G95">
            <v>0</v>
          </cell>
          <cell r="H95">
            <v>0</v>
          </cell>
          <cell r="I95">
            <v>0</v>
          </cell>
          <cell r="J95">
            <v>0</v>
          </cell>
          <cell r="K95">
            <v>0</v>
          </cell>
          <cell r="L95" t="str">
            <v>借</v>
          </cell>
          <cell r="M95">
            <v>6118</v>
          </cell>
          <cell r="N95">
            <v>4.4460499999999996</v>
          </cell>
          <cell r="O95">
            <v>27200.94</v>
          </cell>
        </row>
        <row r="96">
          <cell r="A96" t="str">
            <v>02</v>
          </cell>
          <cell r="B96" t="str">
            <v>28</v>
          </cell>
          <cell r="C96" t="str">
            <v>记-0050</v>
          </cell>
          <cell r="D96" t="str">
            <v>006</v>
          </cell>
          <cell r="E96" t="str">
            <v>野生小丁</v>
          </cell>
          <cell r="F96" t="str">
            <v>收货款</v>
          </cell>
          <cell r="G96">
            <v>7.4423899999999996</v>
          </cell>
          <cell r="H96">
            <v>0</v>
          </cell>
          <cell r="I96">
            <v>0</v>
          </cell>
          <cell r="J96">
            <v>13022.9</v>
          </cell>
          <cell r="K96">
            <v>96921.5</v>
          </cell>
          <cell r="L96" t="str">
            <v>贷</v>
          </cell>
          <cell r="M96">
            <v>6904.9</v>
          </cell>
          <cell r="N96">
            <v>0</v>
          </cell>
          <cell r="O96">
            <v>69720.56</v>
          </cell>
        </row>
        <row r="97">
          <cell r="A97" t="str">
            <v>02</v>
          </cell>
          <cell r="B97" t="str">
            <v>28</v>
          </cell>
          <cell r="C97" t="str">
            <v>记-0057</v>
          </cell>
          <cell r="D97" t="str">
            <v>006</v>
          </cell>
          <cell r="E97" t="str">
            <v>野生小丁</v>
          </cell>
          <cell r="F97" t="str">
            <v>销售商品</v>
          </cell>
          <cell r="G97">
            <v>5.2866099999999996</v>
          </cell>
          <cell r="H97">
            <v>0</v>
          </cell>
          <cell r="I97">
            <v>0</v>
          </cell>
          <cell r="J97">
            <v>495</v>
          </cell>
          <cell r="K97">
            <v>2616.87</v>
          </cell>
          <cell r="L97" t="str">
            <v>贷</v>
          </cell>
          <cell r="M97">
            <v>7399.9</v>
          </cell>
          <cell r="N97">
            <v>0</v>
          </cell>
          <cell r="O97">
            <v>72337.429999999993</v>
          </cell>
        </row>
        <row r="98">
          <cell r="A98" t="str">
            <v>02</v>
          </cell>
          <cell r="F98" t="str">
            <v>本月合计</v>
          </cell>
          <cell r="G98">
            <v>0</v>
          </cell>
          <cell r="H98">
            <v>0</v>
          </cell>
          <cell r="I98">
            <v>0</v>
          </cell>
          <cell r="J98">
            <v>13517.9</v>
          </cell>
          <cell r="K98">
            <v>99538.37</v>
          </cell>
          <cell r="L98" t="str">
            <v>贷</v>
          </cell>
          <cell r="M98">
            <v>7399.9</v>
          </cell>
          <cell r="N98">
            <v>9.7754600000000007</v>
          </cell>
          <cell r="O98">
            <v>72337.429999999993</v>
          </cell>
        </row>
        <row r="99">
          <cell r="A99" t="str">
            <v>02</v>
          </cell>
          <cell r="F99" t="str">
            <v>累    计</v>
          </cell>
          <cell r="G99">
            <v>0</v>
          </cell>
          <cell r="H99">
            <v>0</v>
          </cell>
          <cell r="I99">
            <v>0</v>
          </cell>
          <cell r="J99">
            <v>13517.9</v>
          </cell>
          <cell r="K99">
            <v>99538.37</v>
          </cell>
          <cell r="L99" t="str">
            <v>贷</v>
          </cell>
          <cell r="M99">
            <v>7399.9</v>
          </cell>
          <cell r="N99">
            <v>9.7754600000000007</v>
          </cell>
          <cell r="O99">
            <v>72337.429999999993</v>
          </cell>
        </row>
        <row r="100">
          <cell r="A100" t="str">
            <v>03</v>
          </cell>
          <cell r="B100" t="str">
            <v>31</v>
          </cell>
          <cell r="C100" t="str">
            <v>记-0046</v>
          </cell>
          <cell r="D100" t="str">
            <v>006</v>
          </cell>
          <cell r="E100" t="str">
            <v>野生小丁</v>
          </cell>
          <cell r="F100" t="str">
            <v>转成本</v>
          </cell>
          <cell r="G100">
            <v>5.2866</v>
          </cell>
          <cell r="H100">
            <v>0</v>
          </cell>
          <cell r="I100">
            <v>0</v>
          </cell>
          <cell r="J100">
            <v>4602.6000000000004</v>
          </cell>
          <cell r="K100">
            <v>24332.11</v>
          </cell>
          <cell r="L100" t="str">
            <v>贷</v>
          </cell>
          <cell r="M100">
            <v>12002.5</v>
          </cell>
          <cell r="N100">
            <v>0</v>
          </cell>
          <cell r="O100">
            <v>96669.54</v>
          </cell>
        </row>
        <row r="101">
          <cell r="A101" t="str">
            <v>03</v>
          </cell>
          <cell r="F101" t="str">
            <v>本月合计</v>
          </cell>
          <cell r="G101">
            <v>0</v>
          </cell>
          <cell r="H101">
            <v>0</v>
          </cell>
          <cell r="I101">
            <v>0</v>
          </cell>
          <cell r="J101">
            <v>4602.6000000000004</v>
          </cell>
          <cell r="K101">
            <v>24332.11</v>
          </cell>
          <cell r="L101" t="str">
            <v>贷</v>
          </cell>
          <cell r="M101">
            <v>12002.5</v>
          </cell>
          <cell r="N101">
            <v>8.0541199999999993</v>
          </cell>
          <cell r="O101">
            <v>96669.54</v>
          </cell>
        </row>
        <row r="102">
          <cell r="A102" t="str">
            <v>03</v>
          </cell>
          <cell r="F102" t="str">
            <v>累    计</v>
          </cell>
          <cell r="G102">
            <v>0</v>
          </cell>
          <cell r="H102">
            <v>0</v>
          </cell>
          <cell r="I102">
            <v>0</v>
          </cell>
          <cell r="J102">
            <v>18120.5</v>
          </cell>
          <cell r="K102">
            <v>123870.48</v>
          </cell>
          <cell r="L102" t="str">
            <v>贷</v>
          </cell>
          <cell r="M102">
            <v>12002.5</v>
          </cell>
          <cell r="N102">
            <v>8.0541199999999993</v>
          </cell>
          <cell r="O102">
            <v>96669.54</v>
          </cell>
        </row>
        <row r="103">
          <cell r="A103" t="str">
            <v>05</v>
          </cell>
          <cell r="B103" t="str">
            <v>31</v>
          </cell>
          <cell r="C103" t="str">
            <v>记-0030</v>
          </cell>
          <cell r="D103" t="str">
            <v>006</v>
          </cell>
          <cell r="E103" t="str">
            <v>野生小丁</v>
          </cell>
          <cell r="F103" t="str">
            <v>收购产品</v>
          </cell>
          <cell r="G103">
            <v>6.1279000000000003</v>
          </cell>
          <cell r="H103">
            <v>9361</v>
          </cell>
          <cell r="I103">
            <v>57363.24</v>
          </cell>
          <cell r="J103">
            <v>0</v>
          </cell>
          <cell r="K103">
            <v>0</v>
          </cell>
          <cell r="L103" t="str">
            <v>贷</v>
          </cell>
          <cell r="M103">
            <v>2641.5</v>
          </cell>
          <cell r="N103">
            <v>0</v>
          </cell>
          <cell r="O103">
            <v>39306.300000000003</v>
          </cell>
        </row>
        <row r="104">
          <cell r="A104" t="str">
            <v>05</v>
          </cell>
          <cell r="F104" t="str">
            <v>本月合计</v>
          </cell>
          <cell r="G104">
            <v>0</v>
          </cell>
          <cell r="H104">
            <v>9361</v>
          </cell>
          <cell r="I104">
            <v>57363.24</v>
          </cell>
          <cell r="J104">
            <v>0</v>
          </cell>
          <cell r="K104">
            <v>0</v>
          </cell>
          <cell r="L104" t="str">
            <v>贷</v>
          </cell>
          <cell r="M104">
            <v>2641.5</v>
          </cell>
          <cell r="N104">
            <v>14.8803</v>
          </cell>
          <cell r="O104">
            <v>39306.300000000003</v>
          </cell>
        </row>
        <row r="105">
          <cell r="A105" t="str">
            <v>05</v>
          </cell>
          <cell r="F105" t="str">
            <v>累    计</v>
          </cell>
          <cell r="G105">
            <v>0</v>
          </cell>
          <cell r="H105">
            <v>9361</v>
          </cell>
          <cell r="I105">
            <v>57363.24</v>
          </cell>
          <cell r="J105">
            <v>18120.5</v>
          </cell>
          <cell r="K105">
            <v>123870.48</v>
          </cell>
          <cell r="L105" t="str">
            <v>贷</v>
          </cell>
          <cell r="M105">
            <v>2641.5</v>
          </cell>
          <cell r="N105">
            <v>14.8803</v>
          </cell>
          <cell r="O105">
            <v>39306.300000000003</v>
          </cell>
        </row>
        <row r="106">
          <cell r="A106" t="str">
            <v>07</v>
          </cell>
          <cell r="B106" t="str">
            <v>22</v>
          </cell>
          <cell r="C106" t="str">
            <v>记-0067</v>
          </cell>
          <cell r="D106" t="str">
            <v>006</v>
          </cell>
          <cell r="E106" t="str">
            <v>野生小丁</v>
          </cell>
          <cell r="F106" t="str">
            <v>结转成本</v>
          </cell>
          <cell r="G106">
            <v>6.13</v>
          </cell>
          <cell r="H106">
            <v>0</v>
          </cell>
          <cell r="I106">
            <v>0</v>
          </cell>
          <cell r="J106">
            <v>4258</v>
          </cell>
          <cell r="K106">
            <v>26101.54</v>
          </cell>
          <cell r="L106" t="str">
            <v>贷</v>
          </cell>
          <cell r="M106">
            <v>6899.5</v>
          </cell>
          <cell r="N106">
            <v>0</v>
          </cell>
          <cell r="O106">
            <v>65407.839999999997</v>
          </cell>
        </row>
        <row r="107">
          <cell r="A107" t="str">
            <v>07</v>
          </cell>
          <cell r="F107" t="str">
            <v>本月合计</v>
          </cell>
          <cell r="G107">
            <v>0</v>
          </cell>
          <cell r="H107">
            <v>0</v>
          </cell>
          <cell r="I107">
            <v>0</v>
          </cell>
          <cell r="J107">
            <v>4258</v>
          </cell>
          <cell r="K107">
            <v>26101.54</v>
          </cell>
          <cell r="L107" t="str">
            <v>贷</v>
          </cell>
          <cell r="M107">
            <v>6899.5</v>
          </cell>
          <cell r="N107">
            <v>9.4800799999999992</v>
          </cell>
          <cell r="O107">
            <v>65407.839999999997</v>
          </cell>
        </row>
        <row r="108">
          <cell r="A108" t="str">
            <v>07</v>
          </cell>
          <cell r="F108" t="str">
            <v>累    计</v>
          </cell>
          <cell r="G108">
            <v>0</v>
          </cell>
          <cell r="H108">
            <v>9361</v>
          </cell>
          <cell r="I108">
            <v>57363.24</v>
          </cell>
          <cell r="J108">
            <v>22378.5</v>
          </cell>
          <cell r="K108">
            <v>149972.01999999999</v>
          </cell>
          <cell r="L108" t="str">
            <v>贷</v>
          </cell>
          <cell r="M108">
            <v>6899.5</v>
          </cell>
          <cell r="N108">
            <v>9.4800799999999992</v>
          </cell>
          <cell r="O108">
            <v>65407.839999999997</v>
          </cell>
        </row>
        <row r="109">
          <cell r="A109" t="str">
            <v>09</v>
          </cell>
          <cell r="B109" t="str">
            <v>22</v>
          </cell>
          <cell r="C109" t="str">
            <v>记-0040</v>
          </cell>
          <cell r="D109" t="str">
            <v>006</v>
          </cell>
          <cell r="E109" t="str">
            <v>野生小丁</v>
          </cell>
          <cell r="F109" t="str">
            <v>结转成本</v>
          </cell>
          <cell r="G109">
            <v>6.1299900000000003</v>
          </cell>
          <cell r="H109">
            <v>0</v>
          </cell>
          <cell r="I109">
            <v>0</v>
          </cell>
          <cell r="J109">
            <v>381.1</v>
          </cell>
          <cell r="K109">
            <v>2336.14</v>
          </cell>
          <cell r="L109" t="str">
            <v>贷</v>
          </cell>
          <cell r="M109">
            <v>7280.6</v>
          </cell>
          <cell r="N109">
            <v>0</v>
          </cell>
          <cell r="O109">
            <v>67743.98</v>
          </cell>
        </row>
        <row r="110">
          <cell r="A110" t="str">
            <v>09</v>
          </cell>
          <cell r="B110" t="str">
            <v>22</v>
          </cell>
          <cell r="C110" t="str">
            <v>记-0040</v>
          </cell>
          <cell r="D110" t="str">
            <v>006</v>
          </cell>
          <cell r="E110" t="str">
            <v>野生小丁</v>
          </cell>
          <cell r="F110" t="str">
            <v>结转成本</v>
          </cell>
          <cell r="G110">
            <v>6.13</v>
          </cell>
          <cell r="H110">
            <v>0</v>
          </cell>
          <cell r="I110">
            <v>0</v>
          </cell>
          <cell r="J110">
            <v>4723.6000000000004</v>
          </cell>
          <cell r="K110">
            <v>28955.67</v>
          </cell>
          <cell r="L110" t="str">
            <v>贷</v>
          </cell>
          <cell r="M110">
            <v>12004.2</v>
          </cell>
          <cell r="N110">
            <v>0</v>
          </cell>
          <cell r="O110">
            <v>96699.65</v>
          </cell>
        </row>
        <row r="111">
          <cell r="A111" t="str">
            <v>09</v>
          </cell>
          <cell r="F111" t="str">
            <v>本月合计</v>
          </cell>
          <cell r="G111">
            <v>0</v>
          </cell>
          <cell r="H111">
            <v>0</v>
          </cell>
          <cell r="I111">
            <v>0</v>
          </cell>
          <cell r="J111">
            <v>5104.7</v>
          </cell>
          <cell r="K111">
            <v>31291.81</v>
          </cell>
          <cell r="L111" t="str">
            <v>贷</v>
          </cell>
          <cell r="M111">
            <v>12004.2</v>
          </cell>
          <cell r="N111">
            <v>8.0554799999999993</v>
          </cell>
          <cell r="O111">
            <v>96699.65</v>
          </cell>
        </row>
        <row r="112">
          <cell r="A112" t="str">
            <v>09</v>
          </cell>
          <cell r="F112" t="str">
            <v>累    计</v>
          </cell>
          <cell r="G112">
            <v>0</v>
          </cell>
          <cell r="H112">
            <v>9361</v>
          </cell>
          <cell r="I112">
            <v>57363.24</v>
          </cell>
          <cell r="J112">
            <v>27483.200000000001</v>
          </cell>
          <cell r="K112">
            <v>181263.83</v>
          </cell>
          <cell r="L112" t="str">
            <v>贷</v>
          </cell>
          <cell r="M112">
            <v>12004.2</v>
          </cell>
          <cell r="N112">
            <v>8.0554799999999993</v>
          </cell>
          <cell r="O112">
            <v>96699.65</v>
          </cell>
        </row>
        <row r="113">
          <cell r="A113" t="str">
            <v>10</v>
          </cell>
          <cell r="B113" t="str">
            <v>22</v>
          </cell>
          <cell r="C113" t="str">
            <v>记-0068</v>
          </cell>
          <cell r="D113" t="str">
            <v>006</v>
          </cell>
          <cell r="E113" t="str">
            <v>野生小丁</v>
          </cell>
          <cell r="F113" t="str">
            <v>结转成本</v>
          </cell>
          <cell r="G113">
            <v>8.06</v>
          </cell>
          <cell r="H113">
            <v>0</v>
          </cell>
          <cell r="I113">
            <v>0</v>
          </cell>
          <cell r="J113">
            <v>579.70000000000005</v>
          </cell>
          <cell r="K113">
            <v>4672.38</v>
          </cell>
          <cell r="L113" t="str">
            <v>贷</v>
          </cell>
          <cell r="M113">
            <v>12583.9</v>
          </cell>
          <cell r="N113">
            <v>0</v>
          </cell>
          <cell r="O113">
            <v>101372.03</v>
          </cell>
        </row>
        <row r="114">
          <cell r="A114" t="str">
            <v>10</v>
          </cell>
          <cell r="F114" t="str">
            <v>本月合计</v>
          </cell>
          <cell r="G114">
            <v>0</v>
          </cell>
          <cell r="H114">
            <v>0</v>
          </cell>
          <cell r="I114">
            <v>0</v>
          </cell>
          <cell r="J114">
            <v>579.70000000000005</v>
          </cell>
          <cell r="K114">
            <v>4672.38</v>
          </cell>
          <cell r="L114" t="str">
            <v>贷</v>
          </cell>
          <cell r="M114">
            <v>12583.9</v>
          </cell>
          <cell r="N114">
            <v>8.0556900000000002</v>
          </cell>
          <cell r="O114">
            <v>101372.03</v>
          </cell>
        </row>
        <row r="115">
          <cell r="A115" t="str">
            <v>10</v>
          </cell>
          <cell r="F115" t="str">
            <v>累    计</v>
          </cell>
          <cell r="G115">
            <v>0</v>
          </cell>
          <cell r="H115">
            <v>9361</v>
          </cell>
          <cell r="I115">
            <v>57363.24</v>
          </cell>
          <cell r="J115">
            <v>28062.9</v>
          </cell>
          <cell r="K115">
            <v>185936.21</v>
          </cell>
          <cell r="L115" t="str">
            <v>贷</v>
          </cell>
          <cell r="M115">
            <v>12583.9</v>
          </cell>
          <cell r="N115">
            <v>8.0556900000000002</v>
          </cell>
          <cell r="O115">
            <v>101372.03</v>
          </cell>
        </row>
        <row r="116">
          <cell r="A116" t="str">
            <v>11</v>
          </cell>
          <cell r="B116" t="str">
            <v>30</v>
          </cell>
          <cell r="C116" t="str">
            <v>记-0078</v>
          </cell>
          <cell r="D116" t="str">
            <v>006</v>
          </cell>
          <cell r="E116" t="str">
            <v>野生小丁</v>
          </cell>
          <cell r="F116" t="str">
            <v>调整3月42号凭</v>
          </cell>
          <cell r="G116">
            <v>5.2866099999999996</v>
          </cell>
          <cell r="H116">
            <v>0</v>
          </cell>
          <cell r="I116">
            <v>0</v>
          </cell>
          <cell r="J116">
            <v>344.3</v>
          </cell>
          <cell r="K116">
            <v>1820.18</v>
          </cell>
          <cell r="L116" t="str">
            <v>贷</v>
          </cell>
          <cell r="M116">
            <v>12928.2</v>
          </cell>
          <cell r="N116">
            <v>0</v>
          </cell>
          <cell r="O116">
            <v>103192.21</v>
          </cell>
        </row>
        <row r="117">
          <cell r="A117" t="str">
            <v>11</v>
          </cell>
          <cell r="B117" t="str">
            <v>30</v>
          </cell>
          <cell r="C117" t="str">
            <v>记-0101</v>
          </cell>
          <cell r="D117" t="str">
            <v>006</v>
          </cell>
          <cell r="E117" t="str">
            <v>野生小丁</v>
          </cell>
          <cell r="F117" t="str">
            <v>调整2月28号凭</v>
          </cell>
          <cell r="G117">
            <v>7.4423899999999996</v>
          </cell>
          <cell r="H117">
            <v>0</v>
          </cell>
          <cell r="I117">
            <v>0</v>
          </cell>
          <cell r="J117">
            <v>-13022.9</v>
          </cell>
          <cell r="K117">
            <v>-96921.5</v>
          </cell>
          <cell r="L117" t="str">
            <v>贷</v>
          </cell>
          <cell r="M117">
            <v>-94.7</v>
          </cell>
          <cell r="N117">
            <v>0</v>
          </cell>
          <cell r="O117">
            <v>6270.71</v>
          </cell>
        </row>
        <row r="118">
          <cell r="A118" t="str">
            <v>11</v>
          </cell>
          <cell r="B118" t="str">
            <v>30</v>
          </cell>
          <cell r="C118" t="str">
            <v>记-0102</v>
          </cell>
          <cell r="D118" t="str">
            <v>006</v>
          </cell>
          <cell r="E118" t="str">
            <v>野生小丁</v>
          </cell>
          <cell r="F118" t="str">
            <v>合并名称</v>
          </cell>
          <cell r="G118">
            <v>6.0900100000000004</v>
          </cell>
          <cell r="H118">
            <v>566.79999999999995</v>
          </cell>
          <cell r="I118">
            <v>3451.82</v>
          </cell>
          <cell r="J118">
            <v>0</v>
          </cell>
          <cell r="K118">
            <v>0</v>
          </cell>
          <cell r="L118" t="str">
            <v>贷</v>
          </cell>
          <cell r="M118">
            <v>-661.5</v>
          </cell>
          <cell r="N118">
            <v>0</v>
          </cell>
          <cell r="O118">
            <v>2818.89</v>
          </cell>
        </row>
        <row r="119">
          <cell r="A119" t="str">
            <v>11</v>
          </cell>
          <cell r="B119" t="str">
            <v>30</v>
          </cell>
          <cell r="C119" t="str">
            <v>记-0160</v>
          </cell>
          <cell r="D119" t="str">
            <v>006</v>
          </cell>
          <cell r="E119" t="str">
            <v>野生小丁</v>
          </cell>
          <cell r="F119" t="str">
            <v>调整库存</v>
          </cell>
          <cell r="G119">
            <v>4.2614999999999998</v>
          </cell>
          <cell r="H119">
            <v>-661.5</v>
          </cell>
          <cell r="I119">
            <v>2818.98</v>
          </cell>
          <cell r="J119">
            <v>0</v>
          </cell>
          <cell r="K119">
            <v>0</v>
          </cell>
          <cell r="L119" t="str">
            <v>借</v>
          </cell>
          <cell r="M119">
            <v>0</v>
          </cell>
          <cell r="N119">
            <v>0</v>
          </cell>
          <cell r="O119">
            <v>0.09</v>
          </cell>
        </row>
        <row r="120">
          <cell r="A120" t="str">
            <v>11</v>
          </cell>
          <cell r="F120" t="str">
            <v>本月合计</v>
          </cell>
          <cell r="G120">
            <v>0</v>
          </cell>
          <cell r="H120">
            <v>-94.7</v>
          </cell>
          <cell r="I120">
            <v>6270.8</v>
          </cell>
          <cell r="J120">
            <v>-12678.6</v>
          </cell>
          <cell r="K120">
            <v>-95101.32</v>
          </cell>
          <cell r="L120" t="str">
            <v>借</v>
          </cell>
          <cell r="M120">
            <v>0</v>
          </cell>
          <cell r="N120">
            <v>79164837199.871994</v>
          </cell>
          <cell r="O120">
            <v>0.09</v>
          </cell>
        </row>
        <row r="121">
          <cell r="A121" t="str">
            <v>11</v>
          </cell>
          <cell r="F121" t="str">
            <v>累    计</v>
          </cell>
          <cell r="G121">
            <v>0</v>
          </cell>
          <cell r="H121">
            <v>9266.2999999999993</v>
          </cell>
          <cell r="I121">
            <v>63634.04</v>
          </cell>
          <cell r="J121">
            <v>15384.3</v>
          </cell>
          <cell r="K121">
            <v>90834.89</v>
          </cell>
          <cell r="L121" t="str">
            <v>借</v>
          </cell>
          <cell r="M121">
            <v>0</v>
          </cell>
          <cell r="N121">
            <v>79164837199.871994</v>
          </cell>
          <cell r="O121">
            <v>0.09</v>
          </cell>
        </row>
        <row r="122">
          <cell r="A122" t="str">
            <v>12</v>
          </cell>
          <cell r="B122" t="str">
            <v>11</v>
          </cell>
          <cell r="C122" t="str">
            <v>记-0005</v>
          </cell>
          <cell r="D122" t="str">
            <v>006</v>
          </cell>
          <cell r="E122" t="str">
            <v>野生小丁</v>
          </cell>
          <cell r="F122" t="str">
            <v>调整160号凭证</v>
          </cell>
          <cell r="G122">
            <v>0</v>
          </cell>
          <cell r="H122">
            <v>0</v>
          </cell>
          <cell r="I122">
            <v>-0.09</v>
          </cell>
          <cell r="J122">
            <v>0</v>
          </cell>
          <cell r="K122">
            <v>0</v>
          </cell>
          <cell r="L122" t="str">
            <v>平</v>
          </cell>
          <cell r="M122">
            <v>0</v>
          </cell>
          <cell r="N122">
            <v>0</v>
          </cell>
          <cell r="O122">
            <v>0</v>
          </cell>
        </row>
        <row r="123">
          <cell r="A123" t="str">
            <v>12</v>
          </cell>
          <cell r="F123" t="str">
            <v>本月合计</v>
          </cell>
          <cell r="G123">
            <v>0</v>
          </cell>
          <cell r="H123">
            <v>0</v>
          </cell>
          <cell r="I123">
            <v>-0.09</v>
          </cell>
          <cell r="J123">
            <v>0</v>
          </cell>
          <cell r="K123">
            <v>0</v>
          </cell>
          <cell r="L123" t="str">
            <v>平</v>
          </cell>
          <cell r="M123">
            <v>0</v>
          </cell>
          <cell r="N123">
            <v>0</v>
          </cell>
          <cell r="O123">
            <v>0</v>
          </cell>
        </row>
        <row r="124">
          <cell r="A124" t="str">
            <v>12</v>
          </cell>
          <cell r="E124" t="str">
            <v>野生小丁</v>
          </cell>
          <cell r="F124" t="str">
            <v>本年累计</v>
          </cell>
          <cell r="G124">
            <v>0</v>
          </cell>
          <cell r="H124">
            <v>9266.2999999999993</v>
          </cell>
          <cell r="I124">
            <v>63633.95</v>
          </cell>
          <cell r="J124">
            <v>15384.3</v>
          </cell>
          <cell r="K124">
            <v>90834.89</v>
          </cell>
          <cell r="L124" t="str">
            <v>平</v>
          </cell>
          <cell r="M124">
            <v>0</v>
          </cell>
          <cell r="N124">
            <v>0</v>
          </cell>
          <cell r="O124">
            <v>0</v>
          </cell>
        </row>
        <row r="125">
          <cell r="A125" t="str">
            <v>06</v>
          </cell>
          <cell r="B125" t="str">
            <v>24</v>
          </cell>
          <cell r="C125" t="str">
            <v>记-0020</v>
          </cell>
          <cell r="D125" t="str">
            <v>007</v>
          </cell>
          <cell r="E125" t="str">
            <v>家种丁条</v>
          </cell>
          <cell r="F125" t="str">
            <v>收购产品</v>
          </cell>
          <cell r="G125">
            <v>6.52501</v>
          </cell>
          <cell r="H125">
            <v>889</v>
          </cell>
          <cell r="I125">
            <v>5800.73</v>
          </cell>
          <cell r="J125">
            <v>0</v>
          </cell>
          <cell r="K125">
            <v>0</v>
          </cell>
          <cell r="L125" t="str">
            <v>借</v>
          </cell>
          <cell r="M125">
            <v>889</v>
          </cell>
          <cell r="N125">
            <v>0</v>
          </cell>
          <cell r="O125">
            <v>5800.73</v>
          </cell>
        </row>
        <row r="126">
          <cell r="A126" t="str">
            <v>06</v>
          </cell>
          <cell r="F126" t="str">
            <v>本月合计</v>
          </cell>
          <cell r="G126">
            <v>0</v>
          </cell>
          <cell r="H126">
            <v>889</v>
          </cell>
          <cell r="I126">
            <v>5800.73</v>
          </cell>
          <cell r="J126">
            <v>0</v>
          </cell>
          <cell r="K126">
            <v>0</v>
          </cell>
          <cell r="L126" t="str">
            <v>借</v>
          </cell>
          <cell r="M126">
            <v>889</v>
          </cell>
          <cell r="N126">
            <v>6.52501</v>
          </cell>
          <cell r="O126">
            <v>5800.73</v>
          </cell>
        </row>
        <row r="127">
          <cell r="A127" t="str">
            <v>06</v>
          </cell>
          <cell r="F127" t="str">
            <v>累    计</v>
          </cell>
          <cell r="G127">
            <v>0</v>
          </cell>
          <cell r="H127">
            <v>889</v>
          </cell>
          <cell r="I127">
            <v>5800.73</v>
          </cell>
          <cell r="J127">
            <v>0</v>
          </cell>
          <cell r="K127">
            <v>0</v>
          </cell>
          <cell r="L127" t="str">
            <v>借</v>
          </cell>
          <cell r="M127">
            <v>889</v>
          </cell>
          <cell r="N127">
            <v>6.52501</v>
          </cell>
          <cell r="O127">
            <v>5800.73</v>
          </cell>
        </row>
        <row r="128">
          <cell r="A128" t="str">
            <v>07</v>
          </cell>
          <cell r="B128" t="str">
            <v>22</v>
          </cell>
          <cell r="C128" t="str">
            <v>记-0068</v>
          </cell>
          <cell r="D128" t="str">
            <v>007</v>
          </cell>
          <cell r="E128" t="str">
            <v>家种丁条</v>
          </cell>
          <cell r="F128" t="str">
            <v>结转成本</v>
          </cell>
          <cell r="G128">
            <v>6.53</v>
          </cell>
          <cell r="H128">
            <v>0</v>
          </cell>
          <cell r="I128">
            <v>0</v>
          </cell>
          <cell r="J128">
            <v>107</v>
          </cell>
          <cell r="K128">
            <v>698.71</v>
          </cell>
          <cell r="L128" t="str">
            <v>借</v>
          </cell>
          <cell r="M128">
            <v>782</v>
          </cell>
          <cell r="N128">
            <v>0</v>
          </cell>
          <cell r="O128">
            <v>5102.0200000000004</v>
          </cell>
        </row>
        <row r="129">
          <cell r="A129" t="str">
            <v>07</v>
          </cell>
          <cell r="F129" t="str">
            <v>本月合计</v>
          </cell>
          <cell r="G129">
            <v>0</v>
          </cell>
          <cell r="H129">
            <v>0</v>
          </cell>
          <cell r="I129">
            <v>0</v>
          </cell>
          <cell r="J129">
            <v>107</v>
          </cell>
          <cell r="K129">
            <v>698.71</v>
          </cell>
          <cell r="L129" t="str">
            <v>借</v>
          </cell>
          <cell r="M129">
            <v>782</v>
          </cell>
          <cell r="N129">
            <v>6.5243200000000003</v>
          </cell>
          <cell r="O129">
            <v>5102.0200000000004</v>
          </cell>
        </row>
        <row r="130">
          <cell r="A130" t="str">
            <v>07</v>
          </cell>
          <cell r="F130" t="str">
            <v>累    计</v>
          </cell>
          <cell r="G130">
            <v>0</v>
          </cell>
          <cell r="H130">
            <v>889</v>
          </cell>
          <cell r="I130">
            <v>5800.73</v>
          </cell>
          <cell r="J130">
            <v>107</v>
          </cell>
          <cell r="K130">
            <v>698.71</v>
          </cell>
          <cell r="L130" t="str">
            <v>借</v>
          </cell>
          <cell r="M130">
            <v>782</v>
          </cell>
          <cell r="N130">
            <v>6.5243200000000003</v>
          </cell>
          <cell r="O130">
            <v>5102.0200000000004</v>
          </cell>
        </row>
        <row r="131">
          <cell r="A131" t="str">
            <v>09</v>
          </cell>
          <cell r="B131" t="str">
            <v>22</v>
          </cell>
          <cell r="C131" t="str">
            <v>记-0040</v>
          </cell>
          <cell r="D131" t="str">
            <v>007</v>
          </cell>
          <cell r="E131" t="str">
            <v>家种丁条</v>
          </cell>
          <cell r="F131" t="str">
            <v>结转成本</v>
          </cell>
          <cell r="G131">
            <v>6.53</v>
          </cell>
          <cell r="H131">
            <v>0</v>
          </cell>
          <cell r="I131">
            <v>0</v>
          </cell>
          <cell r="J131">
            <v>780</v>
          </cell>
          <cell r="K131">
            <v>5093.3999999999996</v>
          </cell>
          <cell r="L131" t="str">
            <v>借</v>
          </cell>
          <cell r="M131">
            <v>2</v>
          </cell>
          <cell r="N131">
            <v>0</v>
          </cell>
          <cell r="O131">
            <v>8.6199999999999992</v>
          </cell>
        </row>
        <row r="132">
          <cell r="A132" t="str">
            <v>09</v>
          </cell>
          <cell r="F132" t="str">
            <v>本月合计</v>
          </cell>
          <cell r="G132">
            <v>0</v>
          </cell>
          <cell r="H132">
            <v>0</v>
          </cell>
          <cell r="I132">
            <v>0</v>
          </cell>
          <cell r="J132">
            <v>780</v>
          </cell>
          <cell r="K132">
            <v>5093.3999999999996</v>
          </cell>
          <cell r="L132" t="str">
            <v>借</v>
          </cell>
          <cell r="M132">
            <v>2</v>
          </cell>
          <cell r="N132">
            <v>4.3099999999999996</v>
          </cell>
          <cell r="O132">
            <v>8.6199999999999992</v>
          </cell>
        </row>
        <row r="133">
          <cell r="A133" t="str">
            <v>09</v>
          </cell>
          <cell r="F133" t="str">
            <v>累    计</v>
          </cell>
          <cell r="G133">
            <v>0</v>
          </cell>
          <cell r="H133">
            <v>889</v>
          </cell>
          <cell r="I133">
            <v>5800.73</v>
          </cell>
          <cell r="J133">
            <v>887</v>
          </cell>
          <cell r="K133">
            <v>5792.11</v>
          </cell>
          <cell r="L133" t="str">
            <v>借</v>
          </cell>
          <cell r="M133">
            <v>2</v>
          </cell>
          <cell r="N133">
            <v>4.3099999999999996</v>
          </cell>
          <cell r="O133">
            <v>8.6199999999999992</v>
          </cell>
        </row>
        <row r="134">
          <cell r="A134" t="str">
            <v>11</v>
          </cell>
          <cell r="B134" t="str">
            <v>30</v>
          </cell>
          <cell r="C134" t="str">
            <v>记-0161</v>
          </cell>
          <cell r="D134" t="str">
            <v>007</v>
          </cell>
          <cell r="E134" t="str">
            <v>家种丁条</v>
          </cell>
          <cell r="F134" t="str">
            <v>调整库存</v>
          </cell>
          <cell r="G134">
            <v>4.3099999999999996</v>
          </cell>
          <cell r="H134">
            <v>-2</v>
          </cell>
          <cell r="I134">
            <v>-8.6199999999999992</v>
          </cell>
          <cell r="J134">
            <v>0</v>
          </cell>
          <cell r="K134">
            <v>0</v>
          </cell>
          <cell r="L134" t="str">
            <v>平</v>
          </cell>
          <cell r="M134">
            <v>0</v>
          </cell>
          <cell r="N134">
            <v>0</v>
          </cell>
          <cell r="O134">
            <v>0</v>
          </cell>
        </row>
        <row r="135">
          <cell r="A135" t="str">
            <v>11</v>
          </cell>
          <cell r="F135" t="str">
            <v>本月合计</v>
          </cell>
          <cell r="G135">
            <v>0</v>
          </cell>
          <cell r="H135">
            <v>-2</v>
          </cell>
          <cell r="I135">
            <v>-8.6199999999999992</v>
          </cell>
          <cell r="J135">
            <v>0</v>
          </cell>
          <cell r="K135">
            <v>0</v>
          </cell>
          <cell r="L135" t="str">
            <v>平</v>
          </cell>
          <cell r="M135">
            <v>0</v>
          </cell>
          <cell r="N135">
            <v>0</v>
          </cell>
          <cell r="O135">
            <v>0</v>
          </cell>
        </row>
        <row r="136">
          <cell r="A136" t="str">
            <v>11</v>
          </cell>
          <cell r="E136" t="str">
            <v>家种丁条</v>
          </cell>
          <cell r="F136" t="str">
            <v>本年累计</v>
          </cell>
          <cell r="G136">
            <v>0</v>
          </cell>
          <cell r="H136">
            <v>887</v>
          </cell>
          <cell r="I136">
            <v>5792.11</v>
          </cell>
          <cell r="J136">
            <v>887</v>
          </cell>
          <cell r="K136">
            <v>5792.11</v>
          </cell>
          <cell r="L136" t="str">
            <v>平</v>
          </cell>
          <cell r="M136">
            <v>0</v>
          </cell>
          <cell r="N136">
            <v>0</v>
          </cell>
          <cell r="O136">
            <v>0</v>
          </cell>
        </row>
        <row r="137">
          <cell r="D137" t="str">
            <v>008</v>
          </cell>
          <cell r="E137" t="str">
            <v>野生毛草</v>
          </cell>
          <cell r="F137" t="str">
            <v>上年结转</v>
          </cell>
          <cell r="G137">
            <v>0</v>
          </cell>
          <cell r="H137">
            <v>0</v>
          </cell>
          <cell r="I137">
            <v>0</v>
          </cell>
          <cell r="J137">
            <v>0</v>
          </cell>
          <cell r="K137">
            <v>0</v>
          </cell>
          <cell r="L137" t="str">
            <v>借</v>
          </cell>
          <cell r="M137">
            <v>384.4</v>
          </cell>
          <cell r="N137">
            <v>2.6548600000000002</v>
          </cell>
          <cell r="O137">
            <v>1020.53</v>
          </cell>
        </row>
        <row r="138">
          <cell r="A138" t="str">
            <v>03</v>
          </cell>
          <cell r="B138" t="str">
            <v>31</v>
          </cell>
          <cell r="C138" t="str">
            <v>记-0046</v>
          </cell>
          <cell r="D138" t="str">
            <v>008</v>
          </cell>
          <cell r="E138" t="str">
            <v>野生毛草</v>
          </cell>
          <cell r="F138" t="str">
            <v>转成本</v>
          </cell>
          <cell r="G138">
            <v>2.6548600000000002</v>
          </cell>
          <cell r="H138">
            <v>0</v>
          </cell>
          <cell r="I138">
            <v>0</v>
          </cell>
          <cell r="J138">
            <v>384.4</v>
          </cell>
          <cell r="K138">
            <v>1020.53</v>
          </cell>
          <cell r="L138" t="str">
            <v>平</v>
          </cell>
          <cell r="M138">
            <v>0</v>
          </cell>
          <cell r="N138">
            <v>0</v>
          </cell>
          <cell r="O138">
            <v>0</v>
          </cell>
        </row>
        <row r="139">
          <cell r="A139" t="str">
            <v>03</v>
          </cell>
          <cell r="F139" t="str">
            <v>本月合计</v>
          </cell>
          <cell r="G139">
            <v>0</v>
          </cell>
          <cell r="H139">
            <v>0</v>
          </cell>
          <cell r="I139">
            <v>0</v>
          </cell>
          <cell r="J139">
            <v>384.4</v>
          </cell>
          <cell r="K139">
            <v>1020.53</v>
          </cell>
          <cell r="L139" t="str">
            <v>平</v>
          </cell>
          <cell r="M139">
            <v>0</v>
          </cell>
          <cell r="N139">
            <v>0</v>
          </cell>
          <cell r="O139">
            <v>0</v>
          </cell>
        </row>
        <row r="140">
          <cell r="A140" t="str">
            <v>03</v>
          </cell>
          <cell r="E140" t="str">
            <v>野生毛草</v>
          </cell>
          <cell r="F140" t="str">
            <v>本年累计</v>
          </cell>
          <cell r="G140">
            <v>0</v>
          </cell>
          <cell r="H140">
            <v>0</v>
          </cell>
          <cell r="I140">
            <v>0</v>
          </cell>
          <cell r="J140">
            <v>384.4</v>
          </cell>
          <cell r="K140">
            <v>1020.53</v>
          </cell>
          <cell r="L140" t="str">
            <v>平</v>
          </cell>
          <cell r="M140">
            <v>0</v>
          </cell>
          <cell r="N140">
            <v>0</v>
          </cell>
          <cell r="O140">
            <v>0</v>
          </cell>
        </row>
        <row r="141">
          <cell r="D141" t="str">
            <v>009</v>
          </cell>
          <cell r="E141" t="str">
            <v>出口节</v>
          </cell>
          <cell r="F141" t="str">
            <v>上年结转</v>
          </cell>
          <cell r="G141">
            <v>0</v>
          </cell>
          <cell r="H141">
            <v>0</v>
          </cell>
          <cell r="I141">
            <v>0</v>
          </cell>
          <cell r="J141">
            <v>0</v>
          </cell>
          <cell r="K141">
            <v>0</v>
          </cell>
          <cell r="L141" t="str">
            <v>借</v>
          </cell>
          <cell r="M141">
            <v>3452</v>
          </cell>
          <cell r="N141">
            <v>4.6556499999999996</v>
          </cell>
          <cell r="O141">
            <v>16071.29</v>
          </cell>
        </row>
        <row r="142">
          <cell r="A142" t="str">
            <v>02</v>
          </cell>
          <cell r="B142" t="str">
            <v>28</v>
          </cell>
          <cell r="C142" t="str">
            <v>记-0051</v>
          </cell>
          <cell r="D142" t="str">
            <v>009</v>
          </cell>
          <cell r="E142" t="str">
            <v>出口节</v>
          </cell>
          <cell r="F142" t="str">
            <v>销售商品</v>
          </cell>
          <cell r="G142">
            <v>4.6557000000000004</v>
          </cell>
          <cell r="H142">
            <v>0</v>
          </cell>
          <cell r="I142">
            <v>0</v>
          </cell>
          <cell r="J142">
            <v>812</v>
          </cell>
          <cell r="K142">
            <v>3780.43</v>
          </cell>
          <cell r="L142" t="str">
            <v>借</v>
          </cell>
          <cell r="M142">
            <v>2640</v>
          </cell>
          <cell r="N142">
            <v>0</v>
          </cell>
          <cell r="O142">
            <v>12290.86</v>
          </cell>
        </row>
        <row r="143">
          <cell r="A143" t="str">
            <v>02</v>
          </cell>
          <cell r="F143" t="str">
            <v>本月合计</v>
          </cell>
          <cell r="G143">
            <v>0</v>
          </cell>
          <cell r="H143">
            <v>0</v>
          </cell>
          <cell r="I143">
            <v>0</v>
          </cell>
          <cell r="J143">
            <v>812</v>
          </cell>
          <cell r="K143">
            <v>3780.43</v>
          </cell>
          <cell r="L143" t="str">
            <v>借</v>
          </cell>
          <cell r="M143">
            <v>2640</v>
          </cell>
          <cell r="N143">
            <v>4.6556300000000004</v>
          </cell>
          <cell r="O143">
            <v>12290.86</v>
          </cell>
        </row>
        <row r="144">
          <cell r="A144" t="str">
            <v>02</v>
          </cell>
          <cell r="F144" t="str">
            <v>累    计</v>
          </cell>
          <cell r="G144">
            <v>0</v>
          </cell>
          <cell r="H144">
            <v>0</v>
          </cell>
          <cell r="I144">
            <v>0</v>
          </cell>
          <cell r="J144">
            <v>812</v>
          </cell>
          <cell r="K144">
            <v>3780.43</v>
          </cell>
          <cell r="L144" t="str">
            <v>借</v>
          </cell>
          <cell r="M144">
            <v>2640</v>
          </cell>
          <cell r="N144">
            <v>4.6556300000000004</v>
          </cell>
          <cell r="O144">
            <v>12290.86</v>
          </cell>
        </row>
        <row r="145">
          <cell r="A145" t="str">
            <v>06</v>
          </cell>
          <cell r="B145" t="str">
            <v>24</v>
          </cell>
          <cell r="C145" t="str">
            <v>记-0018</v>
          </cell>
          <cell r="D145" t="str">
            <v>009</v>
          </cell>
          <cell r="E145" t="str">
            <v>出口节</v>
          </cell>
          <cell r="F145" t="str">
            <v>结转成本</v>
          </cell>
          <cell r="G145">
            <v>4.6550000000000002</v>
          </cell>
          <cell r="H145">
            <v>0</v>
          </cell>
          <cell r="I145">
            <v>0</v>
          </cell>
          <cell r="J145">
            <v>23212</v>
          </cell>
          <cell r="K145">
            <v>108051.86</v>
          </cell>
          <cell r="L145" t="str">
            <v>贷</v>
          </cell>
          <cell r="M145">
            <v>20572</v>
          </cell>
          <cell r="N145">
            <v>0</v>
          </cell>
          <cell r="O145">
            <v>95761</v>
          </cell>
        </row>
        <row r="146">
          <cell r="A146" t="str">
            <v>06</v>
          </cell>
          <cell r="B146" t="str">
            <v>24</v>
          </cell>
          <cell r="C146" t="str">
            <v>记-0020</v>
          </cell>
          <cell r="D146" t="str">
            <v>009</v>
          </cell>
          <cell r="E146" t="str">
            <v>出口节</v>
          </cell>
          <cell r="F146" t="str">
            <v>收购产品</v>
          </cell>
          <cell r="G146">
            <v>1.9139200000000001</v>
          </cell>
          <cell r="H146">
            <v>85.5</v>
          </cell>
          <cell r="I146">
            <v>163.63999999999999</v>
          </cell>
          <cell r="J146">
            <v>0</v>
          </cell>
          <cell r="K146">
            <v>0</v>
          </cell>
          <cell r="L146" t="str">
            <v>贷</v>
          </cell>
          <cell r="M146">
            <v>20486.5</v>
          </cell>
          <cell r="N146">
            <v>0</v>
          </cell>
          <cell r="O146">
            <v>95597.36</v>
          </cell>
        </row>
        <row r="147">
          <cell r="A147" t="str">
            <v>06</v>
          </cell>
          <cell r="F147" t="str">
            <v>本月合计</v>
          </cell>
          <cell r="G147">
            <v>0</v>
          </cell>
          <cell r="H147">
            <v>85.5</v>
          </cell>
          <cell r="I147">
            <v>163.63999999999999</v>
          </cell>
          <cell r="J147">
            <v>23212</v>
          </cell>
          <cell r="K147">
            <v>108051.86</v>
          </cell>
          <cell r="L147" t="str">
            <v>贷</v>
          </cell>
          <cell r="M147">
            <v>20486.5</v>
          </cell>
          <cell r="N147">
            <v>4.6663600000000001</v>
          </cell>
          <cell r="O147">
            <v>95597.36</v>
          </cell>
        </row>
        <row r="148">
          <cell r="A148" t="str">
            <v>06</v>
          </cell>
          <cell r="F148" t="str">
            <v>累    计</v>
          </cell>
          <cell r="G148">
            <v>0</v>
          </cell>
          <cell r="H148">
            <v>85.5</v>
          </cell>
          <cell r="I148">
            <v>163.63999999999999</v>
          </cell>
          <cell r="J148">
            <v>24024</v>
          </cell>
          <cell r="K148">
            <v>111832.29</v>
          </cell>
          <cell r="L148" t="str">
            <v>贷</v>
          </cell>
          <cell r="M148">
            <v>20486.5</v>
          </cell>
          <cell r="N148">
            <v>4.6663600000000001</v>
          </cell>
          <cell r="O148">
            <v>95597.36</v>
          </cell>
        </row>
        <row r="149">
          <cell r="A149" t="str">
            <v>07</v>
          </cell>
          <cell r="B149" t="str">
            <v>22</v>
          </cell>
          <cell r="C149" t="str">
            <v>记-0041</v>
          </cell>
          <cell r="D149" t="str">
            <v>009</v>
          </cell>
          <cell r="E149" t="str">
            <v>出口节</v>
          </cell>
          <cell r="F149" t="str">
            <v>收购产品</v>
          </cell>
          <cell r="G149">
            <v>10.44</v>
          </cell>
          <cell r="H149">
            <v>13530</v>
          </cell>
          <cell r="I149">
            <v>141253.20000000001</v>
          </cell>
          <cell r="J149">
            <v>0</v>
          </cell>
          <cell r="K149">
            <v>0</v>
          </cell>
          <cell r="L149" t="str">
            <v>借</v>
          </cell>
          <cell r="M149">
            <v>-6956.5</v>
          </cell>
          <cell r="N149">
            <v>0</v>
          </cell>
          <cell r="O149">
            <v>45655.839999999997</v>
          </cell>
        </row>
        <row r="150">
          <cell r="A150" t="str">
            <v>07</v>
          </cell>
          <cell r="F150" t="str">
            <v>本月合计</v>
          </cell>
          <cell r="G150">
            <v>0</v>
          </cell>
          <cell r="H150">
            <v>13530</v>
          </cell>
          <cell r="I150">
            <v>141253.20000000001</v>
          </cell>
          <cell r="J150">
            <v>0</v>
          </cell>
          <cell r="K150">
            <v>0</v>
          </cell>
          <cell r="L150" t="str">
            <v>借</v>
          </cell>
          <cell r="M150">
            <v>-6956.5</v>
          </cell>
          <cell r="N150">
            <v>6.5630499999999996</v>
          </cell>
          <cell r="O150">
            <v>45655.839999999997</v>
          </cell>
        </row>
        <row r="151">
          <cell r="A151" t="str">
            <v>07</v>
          </cell>
          <cell r="F151" t="str">
            <v>累    计</v>
          </cell>
          <cell r="G151">
            <v>0</v>
          </cell>
          <cell r="H151">
            <v>13615.5</v>
          </cell>
          <cell r="I151">
            <v>141416.84</v>
          </cell>
          <cell r="J151">
            <v>24024</v>
          </cell>
          <cell r="K151">
            <v>111832.29</v>
          </cell>
          <cell r="L151" t="str">
            <v>借</v>
          </cell>
          <cell r="M151">
            <v>-6956.5</v>
          </cell>
          <cell r="N151">
            <v>6.5630499999999996</v>
          </cell>
          <cell r="O151">
            <v>45655.839999999997</v>
          </cell>
        </row>
        <row r="152">
          <cell r="A152" t="str">
            <v>08</v>
          </cell>
          <cell r="B152" t="str">
            <v>25</v>
          </cell>
          <cell r="C152" t="str">
            <v>记-0071</v>
          </cell>
          <cell r="D152" t="str">
            <v>009</v>
          </cell>
          <cell r="E152" t="str">
            <v>出口节</v>
          </cell>
          <cell r="F152" t="str">
            <v>收购产品</v>
          </cell>
          <cell r="G152">
            <v>11.504429999999999</v>
          </cell>
          <cell r="H152">
            <v>4592</v>
          </cell>
          <cell r="I152">
            <v>52828.32</v>
          </cell>
          <cell r="J152">
            <v>0</v>
          </cell>
          <cell r="K152">
            <v>0</v>
          </cell>
          <cell r="L152" t="str">
            <v>借</v>
          </cell>
          <cell r="M152">
            <v>-2364.5</v>
          </cell>
          <cell r="N152">
            <v>0</v>
          </cell>
          <cell r="O152">
            <v>98484.160000000003</v>
          </cell>
        </row>
        <row r="153">
          <cell r="A153" t="str">
            <v>08</v>
          </cell>
          <cell r="B153" t="str">
            <v>25</v>
          </cell>
          <cell r="C153" t="str">
            <v>记-0072</v>
          </cell>
          <cell r="D153" t="str">
            <v>009</v>
          </cell>
          <cell r="E153" t="str">
            <v>出口节</v>
          </cell>
          <cell r="F153" t="str">
            <v>收购产品</v>
          </cell>
          <cell r="G153">
            <v>11.050599999999999</v>
          </cell>
          <cell r="H153">
            <v>3822</v>
          </cell>
          <cell r="I153">
            <v>42235.39</v>
          </cell>
          <cell r="J153">
            <v>0</v>
          </cell>
          <cell r="K153">
            <v>0</v>
          </cell>
          <cell r="L153" t="str">
            <v>借</v>
          </cell>
          <cell r="M153">
            <v>1457.5</v>
          </cell>
          <cell r="N153">
            <v>0</v>
          </cell>
          <cell r="O153">
            <v>140719.54999999999</v>
          </cell>
        </row>
        <row r="154">
          <cell r="A154" t="str">
            <v>08</v>
          </cell>
          <cell r="B154" t="str">
            <v>25</v>
          </cell>
          <cell r="C154" t="str">
            <v>记-0073</v>
          </cell>
          <cell r="D154" t="str">
            <v>009</v>
          </cell>
          <cell r="E154" t="str">
            <v>出口节</v>
          </cell>
          <cell r="F154" t="str">
            <v>收购产品</v>
          </cell>
          <cell r="G154">
            <v>11.504429999999999</v>
          </cell>
          <cell r="H154">
            <v>6300</v>
          </cell>
          <cell r="I154">
            <v>72477.88</v>
          </cell>
          <cell r="J154">
            <v>0</v>
          </cell>
          <cell r="K154">
            <v>0</v>
          </cell>
          <cell r="L154" t="str">
            <v>借</v>
          </cell>
          <cell r="M154">
            <v>7757.5</v>
          </cell>
          <cell r="N154">
            <v>0</v>
          </cell>
          <cell r="O154">
            <v>213197.43</v>
          </cell>
        </row>
        <row r="155">
          <cell r="A155" t="str">
            <v>08</v>
          </cell>
          <cell r="F155" t="str">
            <v>本月合计</v>
          </cell>
          <cell r="G155">
            <v>0</v>
          </cell>
          <cell r="H155">
            <v>14714</v>
          </cell>
          <cell r="I155">
            <v>167541.59</v>
          </cell>
          <cell r="J155">
            <v>0</v>
          </cell>
          <cell r="K155">
            <v>0</v>
          </cell>
          <cell r="L155" t="str">
            <v>借</v>
          </cell>
          <cell r="M155">
            <v>7757.5</v>
          </cell>
          <cell r="N155">
            <v>27.482749999999999</v>
          </cell>
          <cell r="O155">
            <v>213197.43</v>
          </cell>
        </row>
        <row r="156">
          <cell r="A156" t="str">
            <v>08</v>
          </cell>
          <cell r="F156" t="str">
            <v>累    计</v>
          </cell>
          <cell r="G156">
            <v>0</v>
          </cell>
          <cell r="H156">
            <v>28329.5</v>
          </cell>
          <cell r="I156">
            <v>308958.43</v>
          </cell>
          <cell r="J156">
            <v>24024</v>
          </cell>
          <cell r="K156">
            <v>111832.29</v>
          </cell>
          <cell r="L156" t="str">
            <v>借</v>
          </cell>
          <cell r="M156">
            <v>7757.5</v>
          </cell>
          <cell r="N156">
            <v>27.482749999999999</v>
          </cell>
          <cell r="O156">
            <v>213197.43</v>
          </cell>
        </row>
        <row r="157">
          <cell r="A157" t="str">
            <v>10</v>
          </cell>
          <cell r="B157" t="str">
            <v>22</v>
          </cell>
          <cell r="C157" t="str">
            <v>记-0050</v>
          </cell>
          <cell r="D157" t="str">
            <v>009</v>
          </cell>
          <cell r="E157" t="str">
            <v>出口节</v>
          </cell>
          <cell r="F157" t="str">
            <v>收购产品</v>
          </cell>
          <cell r="G157">
            <v>11.50442</v>
          </cell>
          <cell r="H157">
            <v>13608</v>
          </cell>
          <cell r="I157">
            <v>156552.21</v>
          </cell>
          <cell r="J157">
            <v>0</v>
          </cell>
          <cell r="K157">
            <v>0</v>
          </cell>
          <cell r="L157" t="str">
            <v>借</v>
          </cell>
          <cell r="M157">
            <v>21365.5</v>
          </cell>
          <cell r="N157">
            <v>0</v>
          </cell>
          <cell r="O157">
            <v>369749.64</v>
          </cell>
        </row>
        <row r="158">
          <cell r="A158" t="str">
            <v>10</v>
          </cell>
          <cell r="B158" t="str">
            <v>22</v>
          </cell>
          <cell r="C158" t="str">
            <v>记-0050</v>
          </cell>
          <cell r="D158" t="str">
            <v>009</v>
          </cell>
          <cell r="E158" t="str">
            <v>出口节</v>
          </cell>
          <cell r="F158" t="str">
            <v>收购产品</v>
          </cell>
          <cell r="G158">
            <v>11.50442</v>
          </cell>
          <cell r="H158">
            <v>1316</v>
          </cell>
          <cell r="I158">
            <v>15139.82</v>
          </cell>
          <cell r="J158">
            <v>0</v>
          </cell>
          <cell r="K158">
            <v>0</v>
          </cell>
          <cell r="L158" t="str">
            <v>借</v>
          </cell>
          <cell r="M158">
            <v>22681.5</v>
          </cell>
          <cell r="N158">
            <v>0</v>
          </cell>
          <cell r="O158">
            <v>384889.46</v>
          </cell>
        </row>
        <row r="159">
          <cell r="A159" t="str">
            <v>10</v>
          </cell>
          <cell r="B159" t="str">
            <v>22</v>
          </cell>
          <cell r="C159" t="str">
            <v>记-0050</v>
          </cell>
          <cell r="D159" t="str">
            <v>009</v>
          </cell>
          <cell r="E159" t="str">
            <v>出口节</v>
          </cell>
          <cell r="F159" t="str">
            <v>收购产品</v>
          </cell>
          <cell r="G159">
            <v>11.504429999999999</v>
          </cell>
          <cell r="H159">
            <v>336</v>
          </cell>
          <cell r="I159">
            <v>3865.49</v>
          </cell>
          <cell r="J159">
            <v>0</v>
          </cell>
          <cell r="K159">
            <v>0</v>
          </cell>
          <cell r="L159" t="str">
            <v>借</v>
          </cell>
          <cell r="M159">
            <v>23017.5</v>
          </cell>
          <cell r="N159">
            <v>0</v>
          </cell>
          <cell r="O159">
            <v>388754.95</v>
          </cell>
        </row>
        <row r="160">
          <cell r="A160" t="str">
            <v>10</v>
          </cell>
          <cell r="B160" t="str">
            <v>22</v>
          </cell>
          <cell r="C160" t="str">
            <v>记-0068</v>
          </cell>
          <cell r="D160" t="str">
            <v>009</v>
          </cell>
          <cell r="E160" t="str">
            <v>出口节</v>
          </cell>
          <cell r="F160" t="str">
            <v>结转成本</v>
          </cell>
          <cell r="G160">
            <v>31.33</v>
          </cell>
          <cell r="H160">
            <v>0</v>
          </cell>
          <cell r="I160">
            <v>0</v>
          </cell>
          <cell r="J160">
            <v>5768</v>
          </cell>
          <cell r="K160">
            <v>180711.44</v>
          </cell>
          <cell r="L160" t="str">
            <v>借</v>
          </cell>
          <cell r="M160">
            <v>17249.5</v>
          </cell>
          <cell r="N160">
            <v>0</v>
          </cell>
          <cell r="O160">
            <v>208043.51</v>
          </cell>
        </row>
        <row r="161">
          <cell r="A161" t="str">
            <v>10</v>
          </cell>
          <cell r="B161" t="str">
            <v>22</v>
          </cell>
          <cell r="C161" t="str">
            <v>记-0068</v>
          </cell>
          <cell r="D161" t="str">
            <v>009</v>
          </cell>
          <cell r="E161" t="str">
            <v>出口节</v>
          </cell>
          <cell r="F161" t="str">
            <v>结转成本</v>
          </cell>
          <cell r="G161">
            <v>31.33</v>
          </cell>
          <cell r="H161">
            <v>0</v>
          </cell>
          <cell r="I161">
            <v>0</v>
          </cell>
          <cell r="J161">
            <v>87</v>
          </cell>
          <cell r="K161">
            <v>2725.71</v>
          </cell>
          <cell r="L161" t="str">
            <v>借</v>
          </cell>
          <cell r="M161">
            <v>17162.5</v>
          </cell>
          <cell r="N161">
            <v>0</v>
          </cell>
          <cell r="O161">
            <v>205317.8</v>
          </cell>
        </row>
        <row r="162">
          <cell r="A162" t="str">
            <v>10</v>
          </cell>
          <cell r="B162" t="str">
            <v>22</v>
          </cell>
          <cell r="C162" t="str">
            <v>记-0068</v>
          </cell>
          <cell r="D162" t="str">
            <v>009</v>
          </cell>
          <cell r="E162" t="str">
            <v>出口节</v>
          </cell>
          <cell r="F162" t="str">
            <v>结转成本</v>
          </cell>
          <cell r="G162">
            <v>31.33</v>
          </cell>
          <cell r="H162">
            <v>0</v>
          </cell>
          <cell r="I162">
            <v>0</v>
          </cell>
          <cell r="J162">
            <v>336</v>
          </cell>
          <cell r="K162">
            <v>10526.88</v>
          </cell>
          <cell r="L162" t="str">
            <v>借</v>
          </cell>
          <cell r="M162">
            <v>16826.5</v>
          </cell>
          <cell r="N162">
            <v>0</v>
          </cell>
          <cell r="O162">
            <v>194790.92</v>
          </cell>
        </row>
        <row r="163">
          <cell r="A163" t="str">
            <v>10</v>
          </cell>
          <cell r="B163" t="str">
            <v>22</v>
          </cell>
          <cell r="C163" t="str">
            <v>记-0068</v>
          </cell>
          <cell r="D163" t="str">
            <v>009</v>
          </cell>
          <cell r="E163" t="str">
            <v>出口节</v>
          </cell>
          <cell r="F163" t="str">
            <v>结转成本</v>
          </cell>
          <cell r="G163">
            <v>31.33</v>
          </cell>
          <cell r="H163">
            <v>0</v>
          </cell>
          <cell r="I163">
            <v>0</v>
          </cell>
          <cell r="J163">
            <v>140</v>
          </cell>
          <cell r="K163">
            <v>4386.2</v>
          </cell>
          <cell r="L163" t="str">
            <v>借</v>
          </cell>
          <cell r="M163">
            <v>16686.5</v>
          </cell>
          <cell r="N163">
            <v>0</v>
          </cell>
          <cell r="O163">
            <v>190404.72</v>
          </cell>
        </row>
        <row r="164">
          <cell r="A164" t="str">
            <v>10</v>
          </cell>
          <cell r="F164" t="str">
            <v>本月合计</v>
          </cell>
          <cell r="G164">
            <v>0</v>
          </cell>
          <cell r="H164">
            <v>15260</v>
          </cell>
          <cell r="I164">
            <v>175557.52</v>
          </cell>
          <cell r="J164">
            <v>6331</v>
          </cell>
          <cell r="K164">
            <v>198350.23</v>
          </cell>
          <cell r="L164" t="str">
            <v>借</v>
          </cell>
          <cell r="M164">
            <v>16686.5</v>
          </cell>
          <cell r="N164">
            <v>11.4107</v>
          </cell>
          <cell r="O164">
            <v>190404.72</v>
          </cell>
        </row>
        <row r="165">
          <cell r="A165" t="str">
            <v>10</v>
          </cell>
          <cell r="F165" t="str">
            <v>累    计</v>
          </cell>
          <cell r="G165">
            <v>0</v>
          </cell>
          <cell r="H165">
            <v>43589.5</v>
          </cell>
          <cell r="I165">
            <v>484515.95</v>
          </cell>
          <cell r="J165">
            <v>30355</v>
          </cell>
          <cell r="K165">
            <v>310182.52</v>
          </cell>
          <cell r="L165" t="str">
            <v>借</v>
          </cell>
          <cell r="M165">
            <v>16686.5</v>
          </cell>
          <cell r="N165">
            <v>11.4107</v>
          </cell>
          <cell r="O165">
            <v>190404.72</v>
          </cell>
        </row>
        <row r="166">
          <cell r="A166" t="str">
            <v>11</v>
          </cell>
          <cell r="B166" t="str">
            <v>30</v>
          </cell>
          <cell r="C166" t="str">
            <v>记-0085</v>
          </cell>
          <cell r="D166" t="str">
            <v>009</v>
          </cell>
          <cell r="E166" t="str">
            <v>出口节</v>
          </cell>
          <cell r="F166" t="str">
            <v>合并名称</v>
          </cell>
          <cell r="G166">
            <v>8.7722499999999997</v>
          </cell>
          <cell r="H166">
            <v>577</v>
          </cell>
          <cell r="I166">
            <v>5061.59</v>
          </cell>
          <cell r="J166">
            <v>0</v>
          </cell>
          <cell r="K166">
            <v>0</v>
          </cell>
          <cell r="L166" t="str">
            <v>借</v>
          </cell>
          <cell r="M166">
            <v>17263.5</v>
          </cell>
          <cell r="N166">
            <v>0</v>
          </cell>
          <cell r="O166">
            <v>195466.31</v>
          </cell>
        </row>
        <row r="167">
          <cell r="A167" t="str">
            <v>11</v>
          </cell>
          <cell r="B167" t="str">
            <v>30</v>
          </cell>
          <cell r="C167" t="str">
            <v>记-0086</v>
          </cell>
          <cell r="D167" t="str">
            <v>009</v>
          </cell>
          <cell r="E167" t="str">
            <v>出口节</v>
          </cell>
          <cell r="F167" t="str">
            <v>合并名称</v>
          </cell>
          <cell r="G167">
            <v>9.57</v>
          </cell>
          <cell r="H167">
            <v>0</v>
          </cell>
          <cell r="I167">
            <v>0</v>
          </cell>
          <cell r="J167">
            <v>14110</v>
          </cell>
          <cell r="K167">
            <v>135032.70000000001</v>
          </cell>
          <cell r="L167" t="str">
            <v>借</v>
          </cell>
          <cell r="M167">
            <v>3153.5</v>
          </cell>
          <cell r="N167">
            <v>0</v>
          </cell>
          <cell r="O167">
            <v>60433.61</v>
          </cell>
        </row>
        <row r="168">
          <cell r="A168" t="str">
            <v>11</v>
          </cell>
          <cell r="B168" t="str">
            <v>30</v>
          </cell>
          <cell r="C168" t="str">
            <v>记-0087</v>
          </cell>
          <cell r="D168" t="str">
            <v>009</v>
          </cell>
          <cell r="E168" t="str">
            <v>出口节</v>
          </cell>
          <cell r="F168" t="str">
            <v>调整8月72号凭</v>
          </cell>
          <cell r="G168">
            <v>11.05</v>
          </cell>
          <cell r="H168">
            <v>-490</v>
          </cell>
          <cell r="I168">
            <v>-5414.5</v>
          </cell>
          <cell r="J168">
            <v>0</v>
          </cell>
          <cell r="K168">
            <v>0</v>
          </cell>
          <cell r="L168" t="str">
            <v>借</v>
          </cell>
          <cell r="M168">
            <v>2663.5</v>
          </cell>
          <cell r="N168">
            <v>0</v>
          </cell>
          <cell r="O168">
            <v>55019.11</v>
          </cell>
        </row>
        <row r="169">
          <cell r="A169" t="str">
            <v>11</v>
          </cell>
          <cell r="B169" t="str">
            <v>30</v>
          </cell>
          <cell r="C169" t="str">
            <v>记-0088</v>
          </cell>
          <cell r="D169" t="str">
            <v>009</v>
          </cell>
          <cell r="E169" t="str">
            <v>出口节</v>
          </cell>
          <cell r="F169" t="str">
            <v>调整重复入库</v>
          </cell>
          <cell r="G169">
            <v>7.5221299999999998</v>
          </cell>
          <cell r="H169">
            <v>-2640</v>
          </cell>
          <cell r="I169">
            <v>-19858.41</v>
          </cell>
          <cell r="J169">
            <v>0</v>
          </cell>
          <cell r="K169">
            <v>0</v>
          </cell>
          <cell r="L169" t="str">
            <v>借</v>
          </cell>
          <cell r="M169">
            <v>23.5</v>
          </cell>
          <cell r="N169">
            <v>0</v>
          </cell>
          <cell r="O169">
            <v>35160.699999999997</v>
          </cell>
        </row>
        <row r="170">
          <cell r="A170" t="str">
            <v>11</v>
          </cell>
          <cell r="B170" t="str">
            <v>30</v>
          </cell>
          <cell r="C170" t="str">
            <v>记-0162</v>
          </cell>
          <cell r="D170" t="str">
            <v>009</v>
          </cell>
          <cell r="E170" t="str">
            <v>出口节</v>
          </cell>
          <cell r="F170" t="str">
            <v>调整库存</v>
          </cell>
          <cell r="G170">
            <v>1496.2</v>
          </cell>
          <cell r="H170">
            <v>-23.5</v>
          </cell>
          <cell r="I170">
            <v>-35160.699999999997</v>
          </cell>
          <cell r="J170">
            <v>0</v>
          </cell>
          <cell r="K170">
            <v>0</v>
          </cell>
          <cell r="L170" t="str">
            <v>平</v>
          </cell>
          <cell r="M170">
            <v>0</v>
          </cell>
          <cell r="N170">
            <v>0</v>
          </cell>
          <cell r="O170">
            <v>0</v>
          </cell>
        </row>
        <row r="171">
          <cell r="A171" t="str">
            <v>11</v>
          </cell>
          <cell r="F171" t="str">
            <v>本月合计</v>
          </cell>
          <cell r="G171">
            <v>0</v>
          </cell>
          <cell r="H171">
            <v>-2576.5</v>
          </cell>
          <cell r="I171">
            <v>-55372.02</v>
          </cell>
          <cell r="J171">
            <v>14110</v>
          </cell>
          <cell r="K171">
            <v>135032.70000000001</v>
          </cell>
          <cell r="L171" t="str">
            <v>平</v>
          </cell>
          <cell r="M171">
            <v>0</v>
          </cell>
          <cell r="N171">
            <v>0</v>
          </cell>
          <cell r="O171">
            <v>0</v>
          </cell>
        </row>
        <row r="172">
          <cell r="A172" t="str">
            <v>11</v>
          </cell>
          <cell r="E172" t="str">
            <v>出口节</v>
          </cell>
          <cell r="F172" t="str">
            <v>本年累计</v>
          </cell>
          <cell r="G172">
            <v>0</v>
          </cell>
          <cell r="H172">
            <v>41013</v>
          </cell>
          <cell r="I172">
            <v>429143.93</v>
          </cell>
          <cell r="J172">
            <v>44465</v>
          </cell>
          <cell r="K172">
            <v>445215.22</v>
          </cell>
          <cell r="L172" t="str">
            <v>平</v>
          </cell>
          <cell r="M172">
            <v>0</v>
          </cell>
          <cell r="N172">
            <v>0</v>
          </cell>
          <cell r="O172">
            <v>0</v>
          </cell>
        </row>
        <row r="173">
          <cell r="D173" t="str">
            <v>010</v>
          </cell>
          <cell r="E173" t="str">
            <v>野疙瘩头</v>
          </cell>
          <cell r="F173" t="str">
            <v>上年结转</v>
          </cell>
          <cell r="G173">
            <v>0</v>
          </cell>
          <cell r="H173">
            <v>0</v>
          </cell>
          <cell r="I173">
            <v>0</v>
          </cell>
          <cell r="J173">
            <v>0</v>
          </cell>
          <cell r="K173">
            <v>0</v>
          </cell>
          <cell r="L173" t="str">
            <v>贷</v>
          </cell>
          <cell r="M173">
            <v>255</v>
          </cell>
          <cell r="N173">
            <v>7.6687799999999999</v>
          </cell>
          <cell r="O173">
            <v>1955.54</v>
          </cell>
        </row>
        <row r="174">
          <cell r="A174" t="str">
            <v>03</v>
          </cell>
          <cell r="B174" t="str">
            <v>31</v>
          </cell>
          <cell r="C174" t="str">
            <v>记-0042</v>
          </cell>
          <cell r="D174" t="str">
            <v>010</v>
          </cell>
          <cell r="E174" t="str">
            <v>野疙瘩头</v>
          </cell>
          <cell r="F174" t="str">
            <v>转成本</v>
          </cell>
          <cell r="G174">
            <v>7.6688000000000001</v>
          </cell>
          <cell r="H174">
            <v>0</v>
          </cell>
          <cell r="I174">
            <v>0</v>
          </cell>
          <cell r="J174">
            <v>200</v>
          </cell>
          <cell r="K174">
            <v>1533.76</v>
          </cell>
          <cell r="L174" t="str">
            <v>贷</v>
          </cell>
          <cell r="M174">
            <v>455</v>
          </cell>
          <cell r="N174">
            <v>0</v>
          </cell>
          <cell r="O174">
            <v>3489.3</v>
          </cell>
        </row>
        <row r="175">
          <cell r="A175" t="str">
            <v>03</v>
          </cell>
          <cell r="F175" t="str">
            <v>本月合计</v>
          </cell>
          <cell r="G175">
            <v>0</v>
          </cell>
          <cell r="H175">
            <v>0</v>
          </cell>
          <cell r="I175">
            <v>0</v>
          </cell>
          <cell r="J175">
            <v>200</v>
          </cell>
          <cell r="K175">
            <v>1533.76</v>
          </cell>
          <cell r="L175" t="str">
            <v>贷</v>
          </cell>
          <cell r="M175">
            <v>455</v>
          </cell>
          <cell r="N175">
            <v>7.6687900000000004</v>
          </cell>
          <cell r="O175">
            <v>3489.3</v>
          </cell>
        </row>
        <row r="176">
          <cell r="A176" t="str">
            <v>03</v>
          </cell>
          <cell r="F176" t="str">
            <v>累    计</v>
          </cell>
          <cell r="G176">
            <v>0</v>
          </cell>
          <cell r="H176">
            <v>0</v>
          </cell>
          <cell r="I176">
            <v>0</v>
          </cell>
          <cell r="J176">
            <v>200</v>
          </cell>
          <cell r="K176">
            <v>1533.76</v>
          </cell>
          <cell r="L176" t="str">
            <v>贷</v>
          </cell>
          <cell r="M176">
            <v>455</v>
          </cell>
          <cell r="N176">
            <v>7.6687900000000004</v>
          </cell>
          <cell r="O176">
            <v>3489.3</v>
          </cell>
        </row>
        <row r="177">
          <cell r="A177" t="str">
            <v>06</v>
          </cell>
          <cell r="B177" t="str">
            <v>24</v>
          </cell>
          <cell r="C177" t="str">
            <v>记-0018</v>
          </cell>
          <cell r="D177" t="str">
            <v>010</v>
          </cell>
          <cell r="E177" t="str">
            <v>野疙瘩头</v>
          </cell>
          <cell r="F177" t="str">
            <v>结转成本</v>
          </cell>
          <cell r="G177">
            <v>7.67</v>
          </cell>
          <cell r="H177">
            <v>0</v>
          </cell>
          <cell r="I177">
            <v>0</v>
          </cell>
          <cell r="J177">
            <v>5960</v>
          </cell>
          <cell r="K177">
            <v>45713.2</v>
          </cell>
          <cell r="L177" t="str">
            <v>贷</v>
          </cell>
          <cell r="M177">
            <v>6415</v>
          </cell>
          <cell r="N177">
            <v>0</v>
          </cell>
          <cell r="O177">
            <v>49202.5</v>
          </cell>
        </row>
        <row r="178">
          <cell r="A178" t="str">
            <v>06</v>
          </cell>
          <cell r="B178" t="str">
            <v>24</v>
          </cell>
          <cell r="C178" t="str">
            <v>记-0018</v>
          </cell>
          <cell r="D178" t="str">
            <v>010</v>
          </cell>
          <cell r="E178" t="str">
            <v>野疙瘩头</v>
          </cell>
          <cell r="F178" t="str">
            <v>结转成本</v>
          </cell>
          <cell r="G178">
            <v>9.57</v>
          </cell>
          <cell r="H178">
            <v>0</v>
          </cell>
          <cell r="I178">
            <v>0</v>
          </cell>
          <cell r="J178">
            <v>1170</v>
          </cell>
          <cell r="K178">
            <v>11196.9</v>
          </cell>
          <cell r="L178" t="str">
            <v>贷</v>
          </cell>
          <cell r="M178">
            <v>7585</v>
          </cell>
          <cell r="N178">
            <v>0</v>
          </cell>
          <cell r="O178">
            <v>60399.4</v>
          </cell>
        </row>
        <row r="179">
          <cell r="A179" t="str">
            <v>06</v>
          </cell>
          <cell r="B179" t="str">
            <v>24</v>
          </cell>
          <cell r="C179" t="str">
            <v>记-0019</v>
          </cell>
          <cell r="D179" t="str">
            <v>010</v>
          </cell>
          <cell r="E179" t="str">
            <v>野疙瘩头</v>
          </cell>
          <cell r="F179" t="str">
            <v>收购产品</v>
          </cell>
          <cell r="G179">
            <v>9.57</v>
          </cell>
          <cell r="H179">
            <v>1170</v>
          </cell>
          <cell r="I179">
            <v>11196.9</v>
          </cell>
          <cell r="J179">
            <v>0</v>
          </cell>
          <cell r="K179">
            <v>0</v>
          </cell>
          <cell r="L179" t="str">
            <v>贷</v>
          </cell>
          <cell r="M179">
            <v>6415</v>
          </cell>
          <cell r="N179">
            <v>0</v>
          </cell>
          <cell r="O179">
            <v>49202.5</v>
          </cell>
        </row>
        <row r="180">
          <cell r="A180" t="str">
            <v>06</v>
          </cell>
          <cell r="F180" t="str">
            <v>本月合计</v>
          </cell>
          <cell r="G180">
            <v>0</v>
          </cell>
          <cell r="H180">
            <v>1170</v>
          </cell>
          <cell r="I180">
            <v>11196.9</v>
          </cell>
          <cell r="J180">
            <v>7130</v>
          </cell>
          <cell r="K180">
            <v>56910.1</v>
          </cell>
          <cell r="L180" t="str">
            <v>贷</v>
          </cell>
          <cell r="M180">
            <v>6415</v>
          </cell>
          <cell r="N180">
            <v>7.6699099999999998</v>
          </cell>
          <cell r="O180">
            <v>49202.5</v>
          </cell>
        </row>
        <row r="181">
          <cell r="A181" t="str">
            <v>06</v>
          </cell>
          <cell r="F181" t="str">
            <v>累    计</v>
          </cell>
          <cell r="G181">
            <v>0</v>
          </cell>
          <cell r="H181">
            <v>1170</v>
          </cell>
          <cell r="I181">
            <v>11196.9</v>
          </cell>
          <cell r="J181">
            <v>7330</v>
          </cell>
          <cell r="K181">
            <v>58443.86</v>
          </cell>
          <cell r="L181" t="str">
            <v>贷</v>
          </cell>
          <cell r="M181">
            <v>6415</v>
          </cell>
          <cell r="N181">
            <v>7.6699099999999998</v>
          </cell>
          <cell r="O181">
            <v>49202.5</v>
          </cell>
        </row>
        <row r="182">
          <cell r="A182" t="str">
            <v>07</v>
          </cell>
          <cell r="B182" t="str">
            <v>22</v>
          </cell>
          <cell r="C182" t="str">
            <v>记-0041</v>
          </cell>
          <cell r="D182" t="str">
            <v>010</v>
          </cell>
          <cell r="E182" t="str">
            <v>野疙瘩头</v>
          </cell>
          <cell r="F182" t="str">
            <v>收购产品</v>
          </cell>
          <cell r="G182">
            <v>0</v>
          </cell>
          <cell r="H182">
            <v>0</v>
          </cell>
          <cell r="I182">
            <v>12136.5</v>
          </cell>
          <cell r="J182">
            <v>0</v>
          </cell>
          <cell r="K182">
            <v>0</v>
          </cell>
          <cell r="L182" t="str">
            <v>贷</v>
          </cell>
          <cell r="M182">
            <v>6415</v>
          </cell>
          <cell r="N182">
            <v>0</v>
          </cell>
          <cell r="O182">
            <v>37066</v>
          </cell>
        </row>
        <row r="183">
          <cell r="A183" t="str">
            <v>07</v>
          </cell>
          <cell r="F183" t="str">
            <v>本月合计</v>
          </cell>
          <cell r="G183">
            <v>0</v>
          </cell>
          <cell r="H183">
            <v>0</v>
          </cell>
          <cell r="I183">
            <v>12136.5</v>
          </cell>
          <cell r="J183">
            <v>0</v>
          </cell>
          <cell r="K183">
            <v>0</v>
          </cell>
          <cell r="L183" t="str">
            <v>贷</v>
          </cell>
          <cell r="M183">
            <v>6415</v>
          </cell>
          <cell r="N183">
            <v>5.7780199999999997</v>
          </cell>
          <cell r="O183">
            <v>37066</v>
          </cell>
        </row>
        <row r="184">
          <cell r="A184" t="str">
            <v>07</v>
          </cell>
          <cell r="F184" t="str">
            <v>累    计</v>
          </cell>
          <cell r="G184">
            <v>0</v>
          </cell>
          <cell r="H184">
            <v>1170</v>
          </cell>
          <cell r="I184">
            <v>23333.4</v>
          </cell>
          <cell r="J184">
            <v>7330</v>
          </cell>
          <cell r="K184">
            <v>58443.86</v>
          </cell>
          <cell r="L184" t="str">
            <v>贷</v>
          </cell>
          <cell r="M184">
            <v>6415</v>
          </cell>
          <cell r="N184">
            <v>5.7780199999999997</v>
          </cell>
          <cell r="O184">
            <v>37066</v>
          </cell>
        </row>
        <row r="185">
          <cell r="A185" t="str">
            <v>08</v>
          </cell>
          <cell r="B185" t="str">
            <v>25</v>
          </cell>
          <cell r="C185" t="str">
            <v>记-0071</v>
          </cell>
          <cell r="D185" t="str">
            <v>010</v>
          </cell>
          <cell r="E185" t="str">
            <v>野疙瘩头</v>
          </cell>
          <cell r="F185" t="str">
            <v>收购产品</v>
          </cell>
          <cell r="G185">
            <v>10.61947</v>
          </cell>
          <cell r="H185">
            <v>880</v>
          </cell>
          <cell r="I185">
            <v>9345.1299999999992</v>
          </cell>
          <cell r="J185">
            <v>0</v>
          </cell>
          <cell r="K185">
            <v>0</v>
          </cell>
          <cell r="L185" t="str">
            <v>贷</v>
          </cell>
          <cell r="M185">
            <v>5535</v>
          </cell>
          <cell r="N185">
            <v>0</v>
          </cell>
          <cell r="O185">
            <v>27720.87</v>
          </cell>
        </row>
        <row r="186">
          <cell r="A186" t="str">
            <v>08</v>
          </cell>
          <cell r="B186" t="str">
            <v>25</v>
          </cell>
          <cell r="C186" t="str">
            <v>记-0072</v>
          </cell>
          <cell r="D186" t="str">
            <v>010</v>
          </cell>
          <cell r="E186" t="str">
            <v>野疙瘩头</v>
          </cell>
          <cell r="F186" t="str">
            <v>收购产品</v>
          </cell>
          <cell r="G186">
            <v>10.6195</v>
          </cell>
          <cell r="H186">
            <v>40</v>
          </cell>
          <cell r="I186">
            <v>424.78</v>
          </cell>
          <cell r="J186">
            <v>0</v>
          </cell>
          <cell r="K186">
            <v>0</v>
          </cell>
          <cell r="L186" t="str">
            <v>贷</v>
          </cell>
          <cell r="M186">
            <v>5495</v>
          </cell>
          <cell r="N186">
            <v>0</v>
          </cell>
          <cell r="O186">
            <v>27296.09</v>
          </cell>
        </row>
        <row r="187">
          <cell r="A187" t="str">
            <v>08</v>
          </cell>
          <cell r="B187" t="str">
            <v>25</v>
          </cell>
          <cell r="C187" t="str">
            <v>记-0073</v>
          </cell>
          <cell r="D187" t="str">
            <v>010</v>
          </cell>
          <cell r="E187" t="str">
            <v>野疙瘩头</v>
          </cell>
          <cell r="F187" t="str">
            <v>收购产品</v>
          </cell>
          <cell r="G187">
            <v>10.61947</v>
          </cell>
          <cell r="H187">
            <v>2280</v>
          </cell>
          <cell r="I187">
            <v>24212.39</v>
          </cell>
          <cell r="J187">
            <v>0</v>
          </cell>
          <cell r="K187">
            <v>0</v>
          </cell>
          <cell r="L187" t="str">
            <v>贷</v>
          </cell>
          <cell r="M187">
            <v>3215</v>
          </cell>
          <cell r="N187">
            <v>0</v>
          </cell>
          <cell r="O187">
            <v>3083.7</v>
          </cell>
        </row>
        <row r="188">
          <cell r="A188" t="str">
            <v>08</v>
          </cell>
          <cell r="F188" t="str">
            <v>本月合计</v>
          </cell>
          <cell r="G188">
            <v>0</v>
          </cell>
          <cell r="H188">
            <v>3200</v>
          </cell>
          <cell r="I188">
            <v>33982.300000000003</v>
          </cell>
          <cell r="J188">
            <v>0</v>
          </cell>
          <cell r="K188">
            <v>0</v>
          </cell>
          <cell r="L188" t="str">
            <v>贷</v>
          </cell>
          <cell r="M188">
            <v>3215</v>
          </cell>
          <cell r="N188">
            <v>0.95916000000000001</v>
          </cell>
          <cell r="O188">
            <v>3083.7</v>
          </cell>
        </row>
        <row r="189">
          <cell r="A189" t="str">
            <v>08</v>
          </cell>
          <cell r="F189" t="str">
            <v>累    计</v>
          </cell>
          <cell r="G189">
            <v>0</v>
          </cell>
          <cell r="H189">
            <v>4370</v>
          </cell>
          <cell r="I189">
            <v>57315.7</v>
          </cell>
          <cell r="J189">
            <v>7330</v>
          </cell>
          <cell r="K189">
            <v>58443.86</v>
          </cell>
          <cell r="L189" t="str">
            <v>贷</v>
          </cell>
          <cell r="M189">
            <v>3215</v>
          </cell>
          <cell r="N189">
            <v>0.95916000000000001</v>
          </cell>
          <cell r="O189">
            <v>3083.7</v>
          </cell>
        </row>
        <row r="190">
          <cell r="A190" t="str">
            <v>10</v>
          </cell>
          <cell r="B190" t="str">
            <v>22</v>
          </cell>
          <cell r="C190" t="str">
            <v>记-0050</v>
          </cell>
          <cell r="D190" t="str">
            <v>010</v>
          </cell>
          <cell r="E190" t="str">
            <v>野疙瘩头</v>
          </cell>
          <cell r="F190" t="str">
            <v>收购产品</v>
          </cell>
          <cell r="G190">
            <v>11.50442</v>
          </cell>
          <cell r="H190">
            <v>3320</v>
          </cell>
          <cell r="I190">
            <v>38194.69</v>
          </cell>
          <cell r="J190">
            <v>0</v>
          </cell>
          <cell r="K190">
            <v>0</v>
          </cell>
          <cell r="L190" t="str">
            <v>借</v>
          </cell>
          <cell r="M190">
            <v>105</v>
          </cell>
          <cell r="N190">
            <v>0</v>
          </cell>
          <cell r="O190">
            <v>35110.99</v>
          </cell>
        </row>
        <row r="191">
          <cell r="A191" t="str">
            <v>10</v>
          </cell>
          <cell r="B191" t="str">
            <v>22</v>
          </cell>
          <cell r="C191" t="str">
            <v>记-0050</v>
          </cell>
          <cell r="D191" t="str">
            <v>010</v>
          </cell>
          <cell r="E191" t="str">
            <v>野疙瘩头</v>
          </cell>
          <cell r="F191" t="str">
            <v>收购产品</v>
          </cell>
          <cell r="G191">
            <v>11.50442</v>
          </cell>
          <cell r="H191">
            <v>120</v>
          </cell>
          <cell r="I191">
            <v>1380.53</v>
          </cell>
          <cell r="J191">
            <v>0</v>
          </cell>
          <cell r="K191">
            <v>0</v>
          </cell>
          <cell r="L191" t="str">
            <v>借</v>
          </cell>
          <cell r="M191">
            <v>225</v>
          </cell>
          <cell r="N191">
            <v>0</v>
          </cell>
          <cell r="O191">
            <v>36491.519999999997</v>
          </cell>
        </row>
        <row r="192">
          <cell r="A192" t="str">
            <v>10</v>
          </cell>
          <cell r="B192" t="str">
            <v>22</v>
          </cell>
          <cell r="C192" t="str">
            <v>记-0056</v>
          </cell>
          <cell r="D192" t="str">
            <v>010</v>
          </cell>
          <cell r="E192" t="str">
            <v>野疙瘩头</v>
          </cell>
          <cell r="F192" t="str">
            <v>调7月份41号凭</v>
          </cell>
          <cell r="G192">
            <v>8.8290299999999995</v>
          </cell>
          <cell r="H192">
            <v>1395</v>
          </cell>
          <cell r="I192">
            <v>12316.5</v>
          </cell>
          <cell r="J192">
            <v>0</v>
          </cell>
          <cell r="K192">
            <v>0</v>
          </cell>
          <cell r="L192" t="str">
            <v>借</v>
          </cell>
          <cell r="M192">
            <v>1620</v>
          </cell>
          <cell r="N192">
            <v>0</v>
          </cell>
          <cell r="O192">
            <v>48808.02</v>
          </cell>
        </row>
        <row r="193">
          <cell r="A193" t="str">
            <v>10</v>
          </cell>
          <cell r="B193" t="str">
            <v>22</v>
          </cell>
          <cell r="C193" t="str">
            <v>记-0056</v>
          </cell>
          <cell r="D193" t="str">
            <v>010</v>
          </cell>
          <cell r="E193" t="str">
            <v>野疙瘩头</v>
          </cell>
          <cell r="F193" t="str">
            <v>调7月份41号凭</v>
          </cell>
          <cell r="G193">
            <v>0</v>
          </cell>
          <cell r="H193">
            <v>0</v>
          </cell>
          <cell r="I193">
            <v>-12316.5</v>
          </cell>
          <cell r="J193">
            <v>0</v>
          </cell>
          <cell r="K193">
            <v>0</v>
          </cell>
          <cell r="L193" t="str">
            <v>借</v>
          </cell>
          <cell r="M193">
            <v>1620</v>
          </cell>
          <cell r="N193">
            <v>0</v>
          </cell>
          <cell r="O193">
            <v>36491.519999999997</v>
          </cell>
        </row>
        <row r="194">
          <cell r="A194" t="str">
            <v>10</v>
          </cell>
          <cell r="B194" t="str">
            <v>22</v>
          </cell>
          <cell r="C194" t="str">
            <v>记-0068</v>
          </cell>
          <cell r="D194" t="str">
            <v>010</v>
          </cell>
          <cell r="E194" t="str">
            <v>野疙瘩头</v>
          </cell>
          <cell r="F194" t="str">
            <v>结转成本</v>
          </cell>
          <cell r="G194">
            <v>19.95</v>
          </cell>
          <cell r="H194">
            <v>0</v>
          </cell>
          <cell r="I194">
            <v>0</v>
          </cell>
          <cell r="J194">
            <v>720</v>
          </cell>
          <cell r="K194">
            <v>14364</v>
          </cell>
          <cell r="L194" t="str">
            <v>借</v>
          </cell>
          <cell r="M194">
            <v>900</v>
          </cell>
          <cell r="N194">
            <v>0</v>
          </cell>
          <cell r="O194">
            <v>22127.52</v>
          </cell>
        </row>
        <row r="195">
          <cell r="A195" t="str">
            <v>10</v>
          </cell>
          <cell r="B195" t="str">
            <v>22</v>
          </cell>
          <cell r="C195" t="str">
            <v>记-0068</v>
          </cell>
          <cell r="D195" t="str">
            <v>010</v>
          </cell>
          <cell r="E195" t="str">
            <v>野疙瘩头</v>
          </cell>
          <cell r="F195" t="str">
            <v>结转成本</v>
          </cell>
          <cell r="G195">
            <v>19.95</v>
          </cell>
          <cell r="H195">
            <v>0</v>
          </cell>
          <cell r="I195">
            <v>0</v>
          </cell>
          <cell r="J195">
            <v>1395</v>
          </cell>
          <cell r="K195">
            <v>27830.25</v>
          </cell>
          <cell r="L195" t="str">
            <v>贷</v>
          </cell>
          <cell r="M195">
            <v>495</v>
          </cell>
          <cell r="N195">
            <v>0</v>
          </cell>
          <cell r="O195">
            <v>5702.73</v>
          </cell>
        </row>
        <row r="196">
          <cell r="A196" t="str">
            <v>10</v>
          </cell>
          <cell r="F196" t="str">
            <v>本月合计</v>
          </cell>
          <cell r="G196">
            <v>0</v>
          </cell>
          <cell r="H196">
            <v>4835</v>
          </cell>
          <cell r="I196">
            <v>39575.22</v>
          </cell>
          <cell r="J196">
            <v>2115</v>
          </cell>
          <cell r="K196">
            <v>42194.25</v>
          </cell>
          <cell r="L196" t="str">
            <v>贷</v>
          </cell>
          <cell r="M196">
            <v>495</v>
          </cell>
          <cell r="N196">
            <v>11.520670000000001</v>
          </cell>
          <cell r="O196">
            <v>5702.73</v>
          </cell>
        </row>
        <row r="197">
          <cell r="A197" t="str">
            <v>10</v>
          </cell>
          <cell r="F197" t="str">
            <v>累    计</v>
          </cell>
          <cell r="G197">
            <v>0</v>
          </cell>
          <cell r="H197">
            <v>9205</v>
          </cell>
          <cell r="I197">
            <v>96890.92</v>
          </cell>
          <cell r="J197">
            <v>9445</v>
          </cell>
          <cell r="K197">
            <v>100638.11</v>
          </cell>
          <cell r="L197" t="str">
            <v>贷</v>
          </cell>
          <cell r="M197">
            <v>495</v>
          </cell>
          <cell r="N197">
            <v>11.520670000000001</v>
          </cell>
          <cell r="O197">
            <v>5702.73</v>
          </cell>
        </row>
        <row r="198">
          <cell r="A198" t="str">
            <v>11</v>
          </cell>
          <cell r="B198" t="str">
            <v>30</v>
          </cell>
          <cell r="C198" t="str">
            <v>记-0090</v>
          </cell>
          <cell r="D198" t="str">
            <v>010</v>
          </cell>
          <cell r="E198" t="str">
            <v>野疙瘩头</v>
          </cell>
          <cell r="F198" t="str">
            <v>调整重复入库</v>
          </cell>
          <cell r="G198">
            <v>7.3081399999999999</v>
          </cell>
          <cell r="H198">
            <v>-1985</v>
          </cell>
          <cell r="I198">
            <v>-14506.65</v>
          </cell>
          <cell r="J198">
            <v>0</v>
          </cell>
          <cell r="K198">
            <v>0</v>
          </cell>
          <cell r="L198" t="str">
            <v>贷</v>
          </cell>
          <cell r="M198">
            <v>2480</v>
          </cell>
          <cell r="N198">
            <v>0</v>
          </cell>
          <cell r="O198">
            <v>20209.38</v>
          </cell>
        </row>
        <row r="199">
          <cell r="A199" t="str">
            <v>11</v>
          </cell>
          <cell r="B199" t="str">
            <v>30</v>
          </cell>
          <cell r="C199" t="str">
            <v>记-0091</v>
          </cell>
          <cell r="D199" t="str">
            <v>010</v>
          </cell>
          <cell r="E199" t="str">
            <v>野疙瘩头</v>
          </cell>
          <cell r="F199" t="str">
            <v>合并名称</v>
          </cell>
          <cell r="G199">
            <v>0</v>
          </cell>
          <cell r="H199">
            <v>0</v>
          </cell>
          <cell r="I199">
            <v>549.44000000000005</v>
          </cell>
          <cell r="J199">
            <v>0</v>
          </cell>
          <cell r="K199">
            <v>0</v>
          </cell>
          <cell r="L199" t="str">
            <v>贷</v>
          </cell>
          <cell r="M199">
            <v>2480</v>
          </cell>
          <cell r="N199">
            <v>0</v>
          </cell>
          <cell r="O199">
            <v>19659.939999999999</v>
          </cell>
        </row>
        <row r="200">
          <cell r="A200" t="str">
            <v>11</v>
          </cell>
          <cell r="B200" t="str">
            <v>30</v>
          </cell>
          <cell r="C200" t="str">
            <v>记-0092</v>
          </cell>
          <cell r="D200" t="str">
            <v>010</v>
          </cell>
          <cell r="E200" t="str">
            <v>野疙瘩头</v>
          </cell>
          <cell r="F200" t="str">
            <v>合并名称</v>
          </cell>
          <cell r="G200">
            <v>7.3497399999999997</v>
          </cell>
          <cell r="H200">
            <v>2470</v>
          </cell>
          <cell r="I200">
            <v>18153.849999999999</v>
          </cell>
          <cell r="J200">
            <v>0</v>
          </cell>
          <cell r="K200">
            <v>0</v>
          </cell>
          <cell r="L200" t="str">
            <v>贷</v>
          </cell>
          <cell r="M200">
            <v>10</v>
          </cell>
          <cell r="N200">
            <v>0</v>
          </cell>
          <cell r="O200">
            <v>1506.09</v>
          </cell>
        </row>
        <row r="201">
          <cell r="A201" t="str">
            <v>11</v>
          </cell>
          <cell r="B201" t="str">
            <v>30</v>
          </cell>
          <cell r="C201" t="str">
            <v>记-0163</v>
          </cell>
          <cell r="D201" t="str">
            <v>010</v>
          </cell>
          <cell r="E201" t="str">
            <v>野疙瘩头</v>
          </cell>
          <cell r="F201" t="str">
            <v>调整库存</v>
          </cell>
          <cell r="G201">
            <v>150.60900000000001</v>
          </cell>
          <cell r="H201">
            <v>10</v>
          </cell>
          <cell r="I201">
            <v>1506.09</v>
          </cell>
          <cell r="J201">
            <v>0</v>
          </cell>
          <cell r="K201">
            <v>0</v>
          </cell>
          <cell r="L201" t="str">
            <v>平</v>
          </cell>
          <cell r="M201">
            <v>0</v>
          </cell>
          <cell r="N201">
            <v>0</v>
          </cell>
          <cell r="O201">
            <v>0</v>
          </cell>
        </row>
        <row r="202">
          <cell r="A202" t="str">
            <v>11</v>
          </cell>
          <cell r="F202" t="str">
            <v>本月合计</v>
          </cell>
          <cell r="G202">
            <v>0</v>
          </cell>
          <cell r="H202">
            <v>495</v>
          </cell>
          <cell r="I202">
            <v>5702.73</v>
          </cell>
          <cell r="J202">
            <v>0</v>
          </cell>
          <cell r="K202">
            <v>0</v>
          </cell>
          <cell r="L202" t="str">
            <v>平</v>
          </cell>
          <cell r="M202">
            <v>0</v>
          </cell>
          <cell r="N202">
            <v>0</v>
          </cell>
          <cell r="O202">
            <v>0</v>
          </cell>
        </row>
        <row r="203">
          <cell r="A203" t="str">
            <v>11</v>
          </cell>
          <cell r="E203" t="str">
            <v>野疙瘩头</v>
          </cell>
          <cell r="F203" t="str">
            <v>本年累计</v>
          </cell>
          <cell r="G203">
            <v>0</v>
          </cell>
          <cell r="H203">
            <v>9700</v>
          </cell>
          <cell r="I203">
            <v>102593.65</v>
          </cell>
          <cell r="J203">
            <v>9445</v>
          </cell>
          <cell r="K203">
            <v>100638.11</v>
          </cell>
          <cell r="L203" t="str">
            <v>平</v>
          </cell>
          <cell r="M203">
            <v>0</v>
          </cell>
          <cell r="N203">
            <v>0</v>
          </cell>
          <cell r="O203">
            <v>0</v>
          </cell>
        </row>
        <row r="204">
          <cell r="D204" t="str">
            <v>011</v>
          </cell>
          <cell r="E204" t="str">
            <v>家种去皮甲片</v>
          </cell>
          <cell r="F204" t="str">
            <v>上年结转</v>
          </cell>
          <cell r="G204">
            <v>0</v>
          </cell>
          <cell r="H204">
            <v>0</v>
          </cell>
          <cell r="I204">
            <v>0</v>
          </cell>
          <cell r="J204">
            <v>0</v>
          </cell>
          <cell r="K204">
            <v>0</v>
          </cell>
          <cell r="L204" t="str">
            <v>贷</v>
          </cell>
          <cell r="M204">
            <v>2.2999999999999998</v>
          </cell>
          <cell r="N204">
            <v>30.086960000000001</v>
          </cell>
          <cell r="O204">
            <v>69.2</v>
          </cell>
        </row>
        <row r="205">
          <cell r="A205" t="str">
            <v>03</v>
          </cell>
          <cell r="B205" t="str">
            <v>31</v>
          </cell>
          <cell r="C205" t="str">
            <v>记-0046</v>
          </cell>
          <cell r="D205" t="str">
            <v>011</v>
          </cell>
          <cell r="E205" t="str">
            <v>家种去皮甲片</v>
          </cell>
          <cell r="F205" t="str">
            <v>转成本</v>
          </cell>
          <cell r="G205">
            <v>30.0869</v>
          </cell>
          <cell r="H205">
            <v>0</v>
          </cell>
          <cell r="I205">
            <v>0</v>
          </cell>
          <cell r="J205">
            <v>532</v>
          </cell>
          <cell r="K205">
            <v>16006.23</v>
          </cell>
          <cell r="L205" t="str">
            <v>贷</v>
          </cell>
          <cell r="M205">
            <v>534.29999999999995</v>
          </cell>
          <cell r="N205">
            <v>0</v>
          </cell>
          <cell r="O205">
            <v>16075.43</v>
          </cell>
        </row>
        <row r="206">
          <cell r="A206" t="str">
            <v>03</v>
          </cell>
          <cell r="F206" t="str">
            <v>本月合计</v>
          </cell>
          <cell r="G206">
            <v>0</v>
          </cell>
          <cell r="H206">
            <v>0</v>
          </cell>
          <cell r="I206">
            <v>0</v>
          </cell>
          <cell r="J206">
            <v>532</v>
          </cell>
          <cell r="K206">
            <v>16006.23</v>
          </cell>
          <cell r="L206" t="str">
            <v>贷</v>
          </cell>
          <cell r="M206">
            <v>534.29999999999995</v>
          </cell>
          <cell r="N206">
            <v>30.0869</v>
          </cell>
          <cell r="O206">
            <v>16075.43</v>
          </cell>
        </row>
        <row r="207">
          <cell r="A207" t="str">
            <v>03</v>
          </cell>
          <cell r="F207" t="str">
            <v>累    计</v>
          </cell>
          <cell r="G207">
            <v>0</v>
          </cell>
          <cell r="H207">
            <v>0</v>
          </cell>
          <cell r="I207">
            <v>0</v>
          </cell>
          <cell r="J207">
            <v>532</v>
          </cell>
          <cell r="K207">
            <v>16006.23</v>
          </cell>
          <cell r="L207" t="str">
            <v>贷</v>
          </cell>
          <cell r="M207">
            <v>534.29999999999995</v>
          </cell>
          <cell r="N207">
            <v>30.0869</v>
          </cell>
          <cell r="O207">
            <v>16075.43</v>
          </cell>
        </row>
        <row r="208">
          <cell r="A208" t="str">
            <v>04</v>
          </cell>
          <cell r="B208" t="str">
            <v>30</v>
          </cell>
          <cell r="C208" t="str">
            <v>记-0049</v>
          </cell>
          <cell r="D208" t="str">
            <v>011</v>
          </cell>
          <cell r="E208" t="str">
            <v>家种去皮甲片</v>
          </cell>
          <cell r="F208" t="str">
            <v>转成本</v>
          </cell>
          <cell r="G208">
            <v>30.086860000000001</v>
          </cell>
          <cell r="H208">
            <v>0</v>
          </cell>
          <cell r="I208">
            <v>0</v>
          </cell>
          <cell r="J208">
            <v>35</v>
          </cell>
          <cell r="K208">
            <v>1053.04</v>
          </cell>
          <cell r="L208" t="str">
            <v>贷</v>
          </cell>
          <cell r="M208">
            <v>569.29999999999995</v>
          </cell>
          <cell r="N208">
            <v>0</v>
          </cell>
          <cell r="O208">
            <v>17128.47</v>
          </cell>
        </row>
        <row r="209">
          <cell r="A209" t="str">
            <v>04</v>
          </cell>
          <cell r="F209" t="str">
            <v>本月合计</v>
          </cell>
          <cell r="G209">
            <v>0</v>
          </cell>
          <cell r="H209">
            <v>0</v>
          </cell>
          <cell r="I209">
            <v>0</v>
          </cell>
          <cell r="J209">
            <v>35</v>
          </cell>
          <cell r="K209">
            <v>1053.04</v>
          </cell>
          <cell r="L209" t="str">
            <v>贷</v>
          </cell>
          <cell r="M209">
            <v>569.29999999999995</v>
          </cell>
          <cell r="N209">
            <v>30.0869</v>
          </cell>
          <cell r="O209">
            <v>17128.47</v>
          </cell>
        </row>
        <row r="210">
          <cell r="A210" t="str">
            <v>04</v>
          </cell>
          <cell r="F210" t="str">
            <v>累    计</v>
          </cell>
          <cell r="G210">
            <v>0</v>
          </cell>
          <cell r="H210">
            <v>0</v>
          </cell>
          <cell r="I210">
            <v>0</v>
          </cell>
          <cell r="J210">
            <v>567</v>
          </cell>
          <cell r="K210">
            <v>17059.27</v>
          </cell>
          <cell r="L210" t="str">
            <v>贷</v>
          </cell>
          <cell r="M210">
            <v>569.29999999999995</v>
          </cell>
          <cell r="N210">
            <v>30.0869</v>
          </cell>
          <cell r="O210">
            <v>17128.47</v>
          </cell>
        </row>
        <row r="211">
          <cell r="A211" t="str">
            <v>05</v>
          </cell>
          <cell r="B211" t="str">
            <v>31</v>
          </cell>
          <cell r="C211" t="str">
            <v>记-0036</v>
          </cell>
          <cell r="D211" t="str">
            <v>011</v>
          </cell>
          <cell r="E211" t="str">
            <v>家种去皮甲片</v>
          </cell>
          <cell r="F211" t="str">
            <v>收购产品</v>
          </cell>
          <cell r="G211">
            <v>30.0885</v>
          </cell>
          <cell r="H211">
            <v>532</v>
          </cell>
          <cell r="I211">
            <v>16007.08</v>
          </cell>
          <cell r="J211">
            <v>0</v>
          </cell>
          <cell r="K211">
            <v>0</v>
          </cell>
          <cell r="L211" t="str">
            <v>贷</v>
          </cell>
          <cell r="M211">
            <v>37.299999999999997</v>
          </cell>
          <cell r="N211">
            <v>0</v>
          </cell>
          <cell r="O211">
            <v>1121.3900000000001</v>
          </cell>
        </row>
        <row r="212">
          <cell r="A212" t="str">
            <v>05</v>
          </cell>
          <cell r="B212" t="str">
            <v>31</v>
          </cell>
          <cell r="C212" t="str">
            <v>记-0036</v>
          </cell>
          <cell r="D212" t="str">
            <v>011</v>
          </cell>
          <cell r="E212" t="str">
            <v>家种去皮甲片</v>
          </cell>
          <cell r="F212" t="str">
            <v>收购产品</v>
          </cell>
          <cell r="G212">
            <v>30.088570000000001</v>
          </cell>
          <cell r="H212">
            <v>35</v>
          </cell>
          <cell r="I212">
            <v>1053.0999999999999</v>
          </cell>
          <cell r="J212">
            <v>0</v>
          </cell>
          <cell r="K212">
            <v>0</v>
          </cell>
          <cell r="L212" t="str">
            <v>贷</v>
          </cell>
          <cell r="M212">
            <v>2.2999999999999998</v>
          </cell>
          <cell r="N212">
            <v>0</v>
          </cell>
          <cell r="O212">
            <v>68.290000000000006</v>
          </cell>
        </row>
        <row r="213">
          <cell r="A213" t="str">
            <v>05</v>
          </cell>
          <cell r="F213" t="str">
            <v>本月合计</v>
          </cell>
          <cell r="G213">
            <v>0</v>
          </cell>
          <cell r="H213">
            <v>567</v>
          </cell>
          <cell r="I213">
            <v>17060.18</v>
          </cell>
          <cell r="J213">
            <v>0</v>
          </cell>
          <cell r="K213">
            <v>0</v>
          </cell>
          <cell r="L213" t="str">
            <v>贷</v>
          </cell>
          <cell r="M213">
            <v>2.2999999999999998</v>
          </cell>
          <cell r="N213">
            <v>29.691299999999998</v>
          </cell>
          <cell r="O213">
            <v>68.290000000000006</v>
          </cell>
        </row>
        <row r="214">
          <cell r="A214" t="str">
            <v>05</v>
          </cell>
          <cell r="F214" t="str">
            <v>累    计</v>
          </cell>
          <cell r="G214">
            <v>0</v>
          </cell>
          <cell r="H214">
            <v>567</v>
          </cell>
          <cell r="I214">
            <v>17060.18</v>
          </cell>
          <cell r="J214">
            <v>567</v>
          </cell>
          <cell r="K214">
            <v>17059.27</v>
          </cell>
          <cell r="L214" t="str">
            <v>贷</v>
          </cell>
          <cell r="M214">
            <v>2.2999999999999998</v>
          </cell>
          <cell r="N214">
            <v>29.691299999999998</v>
          </cell>
          <cell r="O214">
            <v>68.290000000000006</v>
          </cell>
        </row>
        <row r="215">
          <cell r="A215" t="str">
            <v>10</v>
          </cell>
          <cell r="B215" t="str">
            <v>22</v>
          </cell>
          <cell r="C215" t="str">
            <v>记-0069</v>
          </cell>
          <cell r="D215" t="str">
            <v>011</v>
          </cell>
          <cell r="E215" t="str">
            <v>家种去皮甲片</v>
          </cell>
          <cell r="F215" t="str">
            <v>结转成本</v>
          </cell>
          <cell r="G215">
            <v>29.691020000000002</v>
          </cell>
          <cell r="H215">
            <v>0</v>
          </cell>
          <cell r="I215">
            <v>0</v>
          </cell>
          <cell r="J215">
            <v>108</v>
          </cell>
          <cell r="K215">
            <v>3206.63</v>
          </cell>
          <cell r="L215" t="str">
            <v>贷</v>
          </cell>
          <cell r="M215">
            <v>110.3</v>
          </cell>
          <cell r="N215">
            <v>0</v>
          </cell>
          <cell r="O215">
            <v>3274.92</v>
          </cell>
        </row>
        <row r="216">
          <cell r="A216" t="str">
            <v>10</v>
          </cell>
          <cell r="F216" t="str">
            <v>本月合计</v>
          </cell>
          <cell r="G216">
            <v>0</v>
          </cell>
          <cell r="H216">
            <v>0</v>
          </cell>
          <cell r="I216">
            <v>0</v>
          </cell>
          <cell r="J216">
            <v>108</v>
          </cell>
          <cell r="K216">
            <v>3206.63</v>
          </cell>
          <cell r="L216" t="str">
            <v>贷</v>
          </cell>
          <cell r="M216">
            <v>110.3</v>
          </cell>
          <cell r="N216">
            <v>29.691020000000002</v>
          </cell>
          <cell r="O216">
            <v>3274.92</v>
          </cell>
        </row>
        <row r="217">
          <cell r="A217" t="str">
            <v>10</v>
          </cell>
          <cell r="F217" t="str">
            <v>累    计</v>
          </cell>
          <cell r="G217">
            <v>0</v>
          </cell>
          <cell r="H217">
            <v>567</v>
          </cell>
          <cell r="I217">
            <v>17060.18</v>
          </cell>
          <cell r="J217">
            <v>675</v>
          </cell>
          <cell r="K217">
            <v>20265.900000000001</v>
          </cell>
          <cell r="L217" t="str">
            <v>贷</v>
          </cell>
          <cell r="M217">
            <v>110.3</v>
          </cell>
          <cell r="N217">
            <v>29.691020000000002</v>
          </cell>
          <cell r="O217">
            <v>3274.92</v>
          </cell>
        </row>
        <row r="218">
          <cell r="A218" t="str">
            <v>12</v>
          </cell>
          <cell r="B218" t="str">
            <v>11</v>
          </cell>
          <cell r="C218" t="str">
            <v>记-0130</v>
          </cell>
          <cell r="D218" t="str">
            <v>011</v>
          </cell>
          <cell r="E218" t="str">
            <v>家种去皮甲片</v>
          </cell>
          <cell r="F218" t="str">
            <v>合并名称</v>
          </cell>
          <cell r="G218">
            <v>29.691020000000002</v>
          </cell>
          <cell r="H218">
            <v>110.3</v>
          </cell>
          <cell r="I218">
            <v>3274.92</v>
          </cell>
          <cell r="J218">
            <v>0</v>
          </cell>
          <cell r="K218">
            <v>0</v>
          </cell>
          <cell r="L218" t="str">
            <v>平</v>
          </cell>
          <cell r="M218">
            <v>0</v>
          </cell>
          <cell r="N218">
            <v>0</v>
          </cell>
          <cell r="O218">
            <v>0</v>
          </cell>
        </row>
        <row r="219">
          <cell r="A219" t="str">
            <v>12</v>
          </cell>
          <cell r="F219" t="str">
            <v>本月合计</v>
          </cell>
          <cell r="G219">
            <v>0</v>
          </cell>
          <cell r="H219">
            <v>110.3</v>
          </cell>
          <cell r="I219">
            <v>3274.92</v>
          </cell>
          <cell r="J219">
            <v>0</v>
          </cell>
          <cell r="K219">
            <v>0</v>
          </cell>
          <cell r="L219" t="str">
            <v>平</v>
          </cell>
          <cell r="M219">
            <v>0</v>
          </cell>
          <cell r="N219">
            <v>0</v>
          </cell>
          <cell r="O219">
            <v>0</v>
          </cell>
        </row>
        <row r="220">
          <cell r="A220" t="str">
            <v>12</v>
          </cell>
          <cell r="E220" t="str">
            <v>家种去皮甲片</v>
          </cell>
          <cell r="F220" t="str">
            <v>本年累计</v>
          </cell>
          <cell r="G220">
            <v>0</v>
          </cell>
          <cell r="H220">
            <v>677.3</v>
          </cell>
          <cell r="I220">
            <v>20335.099999999999</v>
          </cell>
          <cell r="J220">
            <v>675</v>
          </cell>
          <cell r="K220">
            <v>20265.900000000001</v>
          </cell>
          <cell r="L220" t="str">
            <v>平</v>
          </cell>
          <cell r="M220">
            <v>0</v>
          </cell>
          <cell r="N220">
            <v>0</v>
          </cell>
          <cell r="O220">
            <v>0</v>
          </cell>
        </row>
        <row r="221">
          <cell r="D221" t="str">
            <v>012</v>
          </cell>
          <cell r="E221" t="str">
            <v>家种去皮乙片</v>
          </cell>
          <cell r="F221" t="str">
            <v>上年结转</v>
          </cell>
          <cell r="G221">
            <v>0</v>
          </cell>
          <cell r="H221">
            <v>0</v>
          </cell>
          <cell r="I221">
            <v>0</v>
          </cell>
          <cell r="J221">
            <v>0</v>
          </cell>
          <cell r="K221">
            <v>0</v>
          </cell>
          <cell r="L221" t="str">
            <v>借</v>
          </cell>
          <cell r="M221">
            <v>1803</v>
          </cell>
          <cell r="N221">
            <v>22.123539999999998</v>
          </cell>
          <cell r="O221">
            <v>39888.75</v>
          </cell>
        </row>
        <row r="222">
          <cell r="A222" t="str">
            <v>02</v>
          </cell>
          <cell r="B222" t="str">
            <v>28</v>
          </cell>
          <cell r="C222" t="str">
            <v>记-0051</v>
          </cell>
          <cell r="D222" t="str">
            <v>012</v>
          </cell>
          <cell r="E222" t="str">
            <v>家种去皮乙片</v>
          </cell>
          <cell r="F222" t="str">
            <v>销售商品</v>
          </cell>
          <cell r="G222">
            <v>22.123919999999998</v>
          </cell>
          <cell r="H222">
            <v>0</v>
          </cell>
          <cell r="I222">
            <v>0</v>
          </cell>
          <cell r="J222">
            <v>120</v>
          </cell>
          <cell r="K222">
            <v>2654.87</v>
          </cell>
          <cell r="L222" t="str">
            <v>借</v>
          </cell>
          <cell r="M222">
            <v>1683</v>
          </cell>
          <cell r="N222">
            <v>0</v>
          </cell>
          <cell r="O222">
            <v>37233.879999999997</v>
          </cell>
        </row>
        <row r="223">
          <cell r="A223" t="str">
            <v>02</v>
          </cell>
          <cell r="B223" t="str">
            <v>28</v>
          </cell>
          <cell r="C223" t="str">
            <v>记-0057</v>
          </cell>
          <cell r="D223" t="str">
            <v>012</v>
          </cell>
          <cell r="E223" t="str">
            <v>家种去皮乙片</v>
          </cell>
          <cell r="F223" t="str">
            <v>销售商品</v>
          </cell>
          <cell r="G223">
            <v>22.123899999999999</v>
          </cell>
          <cell r="H223">
            <v>0</v>
          </cell>
          <cell r="I223">
            <v>0</v>
          </cell>
          <cell r="J223">
            <v>680</v>
          </cell>
          <cell r="K223">
            <v>15044.25</v>
          </cell>
          <cell r="L223" t="str">
            <v>借</v>
          </cell>
          <cell r="M223">
            <v>1003</v>
          </cell>
          <cell r="N223">
            <v>0</v>
          </cell>
          <cell r="O223">
            <v>22189.63</v>
          </cell>
        </row>
        <row r="224">
          <cell r="A224" t="str">
            <v>02</v>
          </cell>
          <cell r="B224" t="str">
            <v>28</v>
          </cell>
          <cell r="C224" t="str">
            <v>记-0057</v>
          </cell>
          <cell r="D224" t="str">
            <v>012</v>
          </cell>
          <cell r="E224" t="str">
            <v>家种去皮乙片</v>
          </cell>
          <cell r="F224" t="str">
            <v>销售商品</v>
          </cell>
          <cell r="G224">
            <v>22.123909999999999</v>
          </cell>
          <cell r="H224">
            <v>0</v>
          </cell>
          <cell r="I224">
            <v>0</v>
          </cell>
          <cell r="J224">
            <v>320</v>
          </cell>
          <cell r="K224">
            <v>7079.65</v>
          </cell>
          <cell r="L224" t="str">
            <v>借</v>
          </cell>
          <cell r="M224">
            <v>683</v>
          </cell>
          <cell r="N224">
            <v>0</v>
          </cell>
          <cell r="O224">
            <v>15109.98</v>
          </cell>
        </row>
        <row r="225">
          <cell r="A225" t="str">
            <v>02</v>
          </cell>
          <cell r="F225" t="str">
            <v>本月合计</v>
          </cell>
          <cell r="G225">
            <v>0</v>
          </cell>
          <cell r="H225">
            <v>0</v>
          </cell>
          <cell r="I225">
            <v>0</v>
          </cell>
          <cell r="J225">
            <v>1120</v>
          </cell>
          <cell r="K225">
            <v>24778.77</v>
          </cell>
          <cell r="L225" t="str">
            <v>借</v>
          </cell>
          <cell r="M225">
            <v>683</v>
          </cell>
          <cell r="N225">
            <v>22.122959999999999</v>
          </cell>
          <cell r="O225">
            <v>15109.98</v>
          </cell>
        </row>
        <row r="226">
          <cell r="A226" t="str">
            <v>02</v>
          </cell>
          <cell r="F226" t="str">
            <v>累    计</v>
          </cell>
          <cell r="G226">
            <v>0</v>
          </cell>
          <cell r="H226">
            <v>0</v>
          </cell>
          <cell r="I226">
            <v>0</v>
          </cell>
          <cell r="J226">
            <v>1120</v>
          </cell>
          <cell r="K226">
            <v>24778.77</v>
          </cell>
          <cell r="L226" t="str">
            <v>借</v>
          </cell>
          <cell r="M226">
            <v>683</v>
          </cell>
          <cell r="N226">
            <v>22.122959999999999</v>
          </cell>
          <cell r="O226">
            <v>15109.98</v>
          </cell>
        </row>
        <row r="227">
          <cell r="A227" t="str">
            <v>03</v>
          </cell>
          <cell r="B227" t="str">
            <v>31</v>
          </cell>
          <cell r="C227" t="str">
            <v>记-0035</v>
          </cell>
          <cell r="D227" t="str">
            <v>012</v>
          </cell>
          <cell r="E227" t="str">
            <v>家种去皮乙片</v>
          </cell>
          <cell r="F227" t="str">
            <v>转成本</v>
          </cell>
          <cell r="G227">
            <v>22.123889999999999</v>
          </cell>
          <cell r="H227">
            <v>0</v>
          </cell>
          <cell r="I227">
            <v>0</v>
          </cell>
          <cell r="J227">
            <v>560</v>
          </cell>
          <cell r="K227">
            <v>12389.38</v>
          </cell>
          <cell r="L227" t="str">
            <v>借</v>
          </cell>
          <cell r="M227">
            <v>123</v>
          </cell>
          <cell r="N227">
            <v>0</v>
          </cell>
          <cell r="O227">
            <v>2720.6</v>
          </cell>
        </row>
        <row r="228">
          <cell r="A228" t="str">
            <v>03</v>
          </cell>
          <cell r="B228" t="str">
            <v>31</v>
          </cell>
          <cell r="C228" t="str">
            <v>记-0042</v>
          </cell>
          <cell r="D228" t="str">
            <v>012</v>
          </cell>
          <cell r="E228" t="str">
            <v>家种去皮乙片</v>
          </cell>
          <cell r="F228" t="str">
            <v>转成本</v>
          </cell>
          <cell r="G228">
            <v>22.123909999999999</v>
          </cell>
          <cell r="H228">
            <v>0</v>
          </cell>
          <cell r="I228">
            <v>0</v>
          </cell>
          <cell r="J228">
            <v>320</v>
          </cell>
          <cell r="K228">
            <v>7079.65</v>
          </cell>
          <cell r="L228" t="str">
            <v>贷</v>
          </cell>
          <cell r="M228">
            <v>197</v>
          </cell>
          <cell r="N228">
            <v>0</v>
          </cell>
          <cell r="O228">
            <v>4359.05</v>
          </cell>
        </row>
        <row r="229">
          <cell r="A229" t="str">
            <v>03</v>
          </cell>
          <cell r="B229" t="str">
            <v>31</v>
          </cell>
          <cell r="C229" t="str">
            <v>记-0043</v>
          </cell>
          <cell r="D229" t="str">
            <v>012</v>
          </cell>
          <cell r="E229" t="str">
            <v>家种去皮乙片</v>
          </cell>
          <cell r="F229" t="str">
            <v>转成本</v>
          </cell>
          <cell r="G229">
            <v>22.123899999999999</v>
          </cell>
          <cell r="H229">
            <v>0</v>
          </cell>
          <cell r="I229">
            <v>0</v>
          </cell>
          <cell r="J229">
            <v>3296</v>
          </cell>
          <cell r="K229">
            <v>72920.37</v>
          </cell>
          <cell r="L229" t="str">
            <v>贷</v>
          </cell>
          <cell r="M229">
            <v>3493</v>
          </cell>
          <cell r="N229">
            <v>0</v>
          </cell>
          <cell r="O229">
            <v>77279.42</v>
          </cell>
        </row>
        <row r="230">
          <cell r="A230" t="str">
            <v>03</v>
          </cell>
          <cell r="B230" t="str">
            <v>31</v>
          </cell>
          <cell r="C230" t="str">
            <v>记-0046</v>
          </cell>
          <cell r="D230" t="str">
            <v>012</v>
          </cell>
          <cell r="E230" t="str">
            <v>家种去皮乙片</v>
          </cell>
          <cell r="F230" t="str">
            <v>转成本</v>
          </cell>
          <cell r="G230">
            <v>22.123899999999999</v>
          </cell>
          <cell r="H230">
            <v>0</v>
          </cell>
          <cell r="I230">
            <v>0</v>
          </cell>
          <cell r="J230">
            <v>1360</v>
          </cell>
          <cell r="K230">
            <v>30088.5</v>
          </cell>
          <cell r="L230" t="str">
            <v>贷</v>
          </cell>
          <cell r="M230">
            <v>4853</v>
          </cell>
          <cell r="N230">
            <v>0</v>
          </cell>
          <cell r="O230">
            <v>107367.92</v>
          </cell>
        </row>
        <row r="231">
          <cell r="A231" t="str">
            <v>03</v>
          </cell>
          <cell r="F231" t="str">
            <v>本月合计</v>
          </cell>
          <cell r="G231">
            <v>0</v>
          </cell>
          <cell r="H231">
            <v>0</v>
          </cell>
          <cell r="I231">
            <v>0</v>
          </cell>
          <cell r="J231">
            <v>5536</v>
          </cell>
          <cell r="K231">
            <v>122477.9</v>
          </cell>
          <cell r="L231" t="str">
            <v>贷</v>
          </cell>
          <cell r="M231">
            <v>4853</v>
          </cell>
          <cell r="N231">
            <v>22.124030000000001</v>
          </cell>
          <cell r="O231">
            <v>107367.92</v>
          </cell>
        </row>
        <row r="232">
          <cell r="A232" t="str">
            <v>03</v>
          </cell>
          <cell r="F232" t="str">
            <v>累    计</v>
          </cell>
          <cell r="G232">
            <v>0</v>
          </cell>
          <cell r="H232">
            <v>0</v>
          </cell>
          <cell r="I232">
            <v>0</v>
          </cell>
          <cell r="J232">
            <v>6656</v>
          </cell>
          <cell r="K232">
            <v>147256.67000000001</v>
          </cell>
          <cell r="L232" t="str">
            <v>贷</v>
          </cell>
          <cell r="M232">
            <v>4853</v>
          </cell>
          <cell r="N232">
            <v>22.124030000000001</v>
          </cell>
          <cell r="O232">
            <v>107367.92</v>
          </cell>
        </row>
        <row r="233">
          <cell r="A233" t="str">
            <v>04</v>
          </cell>
          <cell r="B233" t="str">
            <v>30</v>
          </cell>
          <cell r="C233" t="str">
            <v>记-0049</v>
          </cell>
          <cell r="D233" t="str">
            <v>012</v>
          </cell>
          <cell r="E233" t="str">
            <v>家种去皮乙片</v>
          </cell>
          <cell r="F233" t="str">
            <v>转成本</v>
          </cell>
          <cell r="G233">
            <v>22.123999999999999</v>
          </cell>
          <cell r="H233">
            <v>0</v>
          </cell>
          <cell r="I233">
            <v>0</v>
          </cell>
          <cell r="J233">
            <v>418</v>
          </cell>
          <cell r="K233">
            <v>9247.83</v>
          </cell>
          <cell r="L233" t="str">
            <v>贷</v>
          </cell>
          <cell r="M233">
            <v>5271</v>
          </cell>
          <cell r="N233">
            <v>0</v>
          </cell>
          <cell r="O233">
            <v>116615.75</v>
          </cell>
        </row>
        <row r="234">
          <cell r="A234" t="str">
            <v>04</v>
          </cell>
          <cell r="B234" t="str">
            <v>30</v>
          </cell>
          <cell r="C234" t="str">
            <v>记-0051</v>
          </cell>
          <cell r="D234" t="str">
            <v>012</v>
          </cell>
          <cell r="E234" t="str">
            <v>家种去皮乙片</v>
          </cell>
          <cell r="F234" t="str">
            <v>转成本</v>
          </cell>
          <cell r="G234">
            <v>22.123999999999999</v>
          </cell>
          <cell r="H234">
            <v>0</v>
          </cell>
          <cell r="I234">
            <v>0</v>
          </cell>
          <cell r="J234">
            <v>2320</v>
          </cell>
          <cell r="K234">
            <v>51327.68</v>
          </cell>
          <cell r="L234" t="str">
            <v>贷</v>
          </cell>
          <cell r="M234">
            <v>7591</v>
          </cell>
          <cell r="N234">
            <v>0</v>
          </cell>
          <cell r="O234">
            <v>167943.43</v>
          </cell>
        </row>
        <row r="235">
          <cell r="A235" t="str">
            <v>04</v>
          </cell>
          <cell r="F235" t="str">
            <v>本月合计</v>
          </cell>
          <cell r="G235">
            <v>0</v>
          </cell>
          <cell r="H235">
            <v>0</v>
          </cell>
          <cell r="I235">
            <v>0</v>
          </cell>
          <cell r="J235">
            <v>2738</v>
          </cell>
          <cell r="K235">
            <v>60575.51</v>
          </cell>
          <cell r="L235" t="str">
            <v>贷</v>
          </cell>
          <cell r="M235">
            <v>7591</v>
          </cell>
          <cell r="N235">
            <v>22.124020000000002</v>
          </cell>
          <cell r="O235">
            <v>167943.43</v>
          </cell>
        </row>
        <row r="236">
          <cell r="A236" t="str">
            <v>04</v>
          </cell>
          <cell r="F236" t="str">
            <v>累    计</v>
          </cell>
          <cell r="G236">
            <v>0</v>
          </cell>
          <cell r="H236">
            <v>0</v>
          </cell>
          <cell r="I236">
            <v>0</v>
          </cell>
          <cell r="J236">
            <v>9394</v>
          </cell>
          <cell r="K236">
            <v>207832.18</v>
          </cell>
          <cell r="L236" t="str">
            <v>贷</v>
          </cell>
          <cell r="M236">
            <v>7591</v>
          </cell>
          <cell r="N236">
            <v>22.124020000000002</v>
          </cell>
          <cell r="O236">
            <v>167943.43</v>
          </cell>
        </row>
        <row r="237">
          <cell r="A237" t="str">
            <v>05</v>
          </cell>
          <cell r="B237" t="str">
            <v>31</v>
          </cell>
          <cell r="C237" t="str">
            <v>记-0036</v>
          </cell>
          <cell r="D237" t="str">
            <v>012</v>
          </cell>
          <cell r="E237" t="str">
            <v>家种去皮乙片</v>
          </cell>
          <cell r="F237" t="str">
            <v>收购产品</v>
          </cell>
          <cell r="G237">
            <v>21.238939999999999</v>
          </cell>
          <cell r="H237">
            <v>6976</v>
          </cell>
          <cell r="I237">
            <v>148162.82999999999</v>
          </cell>
          <cell r="J237">
            <v>0</v>
          </cell>
          <cell r="K237">
            <v>0</v>
          </cell>
          <cell r="L237" t="str">
            <v>贷</v>
          </cell>
          <cell r="M237">
            <v>615</v>
          </cell>
          <cell r="N237">
            <v>0</v>
          </cell>
          <cell r="O237">
            <v>19780.599999999999</v>
          </cell>
        </row>
        <row r="238">
          <cell r="A238" t="str">
            <v>05</v>
          </cell>
          <cell r="B238" t="str">
            <v>31</v>
          </cell>
          <cell r="C238" t="str">
            <v>记-0036</v>
          </cell>
          <cell r="D238" t="str">
            <v>012</v>
          </cell>
          <cell r="E238" t="str">
            <v>家种去皮乙片</v>
          </cell>
          <cell r="F238" t="str">
            <v>收购产品</v>
          </cell>
          <cell r="G238">
            <v>22.123899999999999</v>
          </cell>
          <cell r="H238">
            <v>418</v>
          </cell>
          <cell r="I238">
            <v>9247.7900000000009</v>
          </cell>
          <cell r="J238">
            <v>0</v>
          </cell>
          <cell r="K238">
            <v>0</v>
          </cell>
          <cell r="L238" t="str">
            <v>贷</v>
          </cell>
          <cell r="M238">
            <v>197</v>
          </cell>
          <cell r="N238">
            <v>0</v>
          </cell>
          <cell r="O238">
            <v>10532.81</v>
          </cell>
        </row>
        <row r="239">
          <cell r="A239" t="str">
            <v>05</v>
          </cell>
          <cell r="F239" t="str">
            <v>本月合计</v>
          </cell>
          <cell r="G239">
            <v>0</v>
          </cell>
          <cell r="H239">
            <v>7394</v>
          </cell>
          <cell r="I239">
            <v>157410.62</v>
          </cell>
          <cell r="J239">
            <v>0</v>
          </cell>
          <cell r="K239">
            <v>0</v>
          </cell>
          <cell r="L239" t="str">
            <v>贷</v>
          </cell>
          <cell r="M239">
            <v>197</v>
          </cell>
          <cell r="N239">
            <v>53.46604</v>
          </cell>
          <cell r="O239">
            <v>10532.81</v>
          </cell>
        </row>
        <row r="240">
          <cell r="A240" t="str">
            <v>05</v>
          </cell>
          <cell r="F240" t="str">
            <v>累    计</v>
          </cell>
          <cell r="G240">
            <v>0</v>
          </cell>
          <cell r="H240">
            <v>7394</v>
          </cell>
          <cell r="I240">
            <v>157410.62</v>
          </cell>
          <cell r="J240">
            <v>9394</v>
          </cell>
          <cell r="K240">
            <v>207832.18</v>
          </cell>
          <cell r="L240" t="str">
            <v>贷</v>
          </cell>
          <cell r="M240">
            <v>197</v>
          </cell>
          <cell r="N240">
            <v>53.46604</v>
          </cell>
          <cell r="O240">
            <v>10532.81</v>
          </cell>
        </row>
        <row r="241">
          <cell r="A241" t="str">
            <v>10</v>
          </cell>
          <cell r="B241" t="str">
            <v>22</v>
          </cell>
          <cell r="C241" t="str">
            <v>记-0069</v>
          </cell>
          <cell r="D241" t="str">
            <v>012</v>
          </cell>
          <cell r="E241" t="str">
            <v>家种去皮乙片</v>
          </cell>
          <cell r="F241" t="str">
            <v>结转成本</v>
          </cell>
          <cell r="G241">
            <v>22.12</v>
          </cell>
          <cell r="H241">
            <v>0</v>
          </cell>
          <cell r="I241">
            <v>0</v>
          </cell>
          <cell r="J241">
            <v>108</v>
          </cell>
          <cell r="K241">
            <v>2388.96</v>
          </cell>
          <cell r="L241" t="str">
            <v>贷</v>
          </cell>
          <cell r="M241">
            <v>305</v>
          </cell>
          <cell r="N241">
            <v>0</v>
          </cell>
          <cell r="O241">
            <v>12921.77</v>
          </cell>
        </row>
        <row r="242">
          <cell r="A242" t="str">
            <v>10</v>
          </cell>
          <cell r="F242" t="str">
            <v>本月合计</v>
          </cell>
          <cell r="G242">
            <v>0</v>
          </cell>
          <cell r="H242">
            <v>0</v>
          </cell>
          <cell r="I242">
            <v>0</v>
          </cell>
          <cell r="J242">
            <v>108</v>
          </cell>
          <cell r="K242">
            <v>2388.96</v>
          </cell>
          <cell r="L242" t="str">
            <v>贷</v>
          </cell>
          <cell r="M242">
            <v>305</v>
          </cell>
          <cell r="N242">
            <v>42.366459999999996</v>
          </cell>
          <cell r="O242">
            <v>12921.77</v>
          </cell>
        </row>
        <row r="243">
          <cell r="A243" t="str">
            <v>10</v>
          </cell>
          <cell r="F243" t="str">
            <v>累    计</v>
          </cell>
          <cell r="G243">
            <v>0</v>
          </cell>
          <cell r="H243">
            <v>7394</v>
          </cell>
          <cell r="I243">
            <v>157410.62</v>
          </cell>
          <cell r="J243">
            <v>9502</v>
          </cell>
          <cell r="K243">
            <v>210221.14</v>
          </cell>
          <cell r="L243" t="str">
            <v>贷</v>
          </cell>
          <cell r="M243">
            <v>305</v>
          </cell>
          <cell r="N243">
            <v>42.366459999999996</v>
          </cell>
          <cell r="O243">
            <v>12921.77</v>
          </cell>
        </row>
        <row r="244">
          <cell r="A244" t="str">
            <v>11</v>
          </cell>
          <cell r="B244" t="str">
            <v>30</v>
          </cell>
          <cell r="C244" t="str">
            <v>记-0164</v>
          </cell>
          <cell r="D244" t="str">
            <v>012</v>
          </cell>
          <cell r="E244" t="str">
            <v>家种去皮乙片</v>
          </cell>
          <cell r="F244" t="str">
            <v>调整库存</v>
          </cell>
          <cell r="G244">
            <v>77.231520000000003</v>
          </cell>
          <cell r="H244">
            <v>-197</v>
          </cell>
          <cell r="I244">
            <v>-15214.61</v>
          </cell>
          <cell r="J244">
            <v>0</v>
          </cell>
          <cell r="K244">
            <v>0</v>
          </cell>
          <cell r="L244" t="str">
            <v>贷</v>
          </cell>
          <cell r="M244">
            <v>502</v>
          </cell>
          <cell r="N244">
            <v>0</v>
          </cell>
          <cell r="O244">
            <v>28136.38</v>
          </cell>
        </row>
        <row r="245">
          <cell r="A245" t="str">
            <v>11</v>
          </cell>
          <cell r="F245" t="str">
            <v>本月合计</v>
          </cell>
          <cell r="G245">
            <v>0</v>
          </cell>
          <cell r="H245">
            <v>-197</v>
          </cell>
          <cell r="I245">
            <v>-15214.61</v>
          </cell>
          <cell r="J245">
            <v>0</v>
          </cell>
          <cell r="K245">
            <v>0</v>
          </cell>
          <cell r="L245" t="str">
            <v>贷</v>
          </cell>
          <cell r="M245">
            <v>502</v>
          </cell>
          <cell r="N245">
            <v>56.048569999999998</v>
          </cell>
          <cell r="O245">
            <v>28136.38</v>
          </cell>
        </row>
        <row r="246">
          <cell r="A246" t="str">
            <v>11</v>
          </cell>
          <cell r="F246" t="str">
            <v>累    计</v>
          </cell>
          <cell r="G246">
            <v>0</v>
          </cell>
          <cell r="H246">
            <v>7197</v>
          </cell>
          <cell r="I246">
            <v>142196.01</v>
          </cell>
          <cell r="J246">
            <v>9502</v>
          </cell>
          <cell r="K246">
            <v>210221.14</v>
          </cell>
          <cell r="L246" t="str">
            <v>贷</v>
          </cell>
          <cell r="M246">
            <v>502</v>
          </cell>
          <cell r="N246">
            <v>56.048569999999998</v>
          </cell>
          <cell r="O246">
            <v>28136.38</v>
          </cell>
        </row>
        <row r="247">
          <cell r="A247" t="str">
            <v>12</v>
          </cell>
          <cell r="B247" t="str">
            <v>11</v>
          </cell>
          <cell r="C247" t="str">
            <v>记-0002</v>
          </cell>
          <cell r="D247" t="str">
            <v>012</v>
          </cell>
          <cell r="E247" t="str">
            <v>家种去皮乙片</v>
          </cell>
          <cell r="F247" t="str">
            <v>调整11月164号</v>
          </cell>
          <cell r="G247">
            <v>78.754369999999994</v>
          </cell>
          <cell r="H247">
            <v>197</v>
          </cell>
          <cell r="I247">
            <v>15514.61</v>
          </cell>
          <cell r="J247">
            <v>0</v>
          </cell>
          <cell r="K247">
            <v>0</v>
          </cell>
          <cell r="L247" t="str">
            <v>贷</v>
          </cell>
          <cell r="M247">
            <v>305</v>
          </cell>
          <cell r="N247">
            <v>0</v>
          </cell>
          <cell r="O247">
            <v>12621.77</v>
          </cell>
        </row>
        <row r="248">
          <cell r="A248" t="str">
            <v>12</v>
          </cell>
          <cell r="B248" t="str">
            <v>11</v>
          </cell>
          <cell r="C248" t="str">
            <v>记-0002</v>
          </cell>
          <cell r="D248" t="str">
            <v>012</v>
          </cell>
          <cell r="E248" t="str">
            <v>家种去皮乙片</v>
          </cell>
          <cell r="F248" t="str">
            <v>更正</v>
          </cell>
          <cell r="G248">
            <v>48.593910000000001</v>
          </cell>
          <cell r="H248">
            <v>197</v>
          </cell>
          <cell r="I248">
            <v>9573</v>
          </cell>
          <cell r="J248">
            <v>0</v>
          </cell>
          <cell r="K248">
            <v>0</v>
          </cell>
          <cell r="L248" t="str">
            <v>贷</v>
          </cell>
          <cell r="M248">
            <v>108</v>
          </cell>
          <cell r="N248">
            <v>0</v>
          </cell>
          <cell r="O248">
            <v>3048.77</v>
          </cell>
        </row>
        <row r="249">
          <cell r="A249" t="str">
            <v>12</v>
          </cell>
          <cell r="B249" t="str">
            <v>11</v>
          </cell>
          <cell r="C249" t="str">
            <v>记-0131</v>
          </cell>
          <cell r="D249" t="str">
            <v>012</v>
          </cell>
          <cell r="E249" t="str">
            <v>家种去皮乙片</v>
          </cell>
          <cell r="F249" t="str">
            <v>合并名称</v>
          </cell>
          <cell r="G249">
            <v>28.22935</v>
          </cell>
          <cell r="H249">
            <v>108</v>
          </cell>
          <cell r="I249">
            <v>3048.77</v>
          </cell>
          <cell r="J249">
            <v>0</v>
          </cell>
          <cell r="K249">
            <v>0</v>
          </cell>
          <cell r="L249" t="str">
            <v>平</v>
          </cell>
          <cell r="M249">
            <v>0</v>
          </cell>
          <cell r="N249">
            <v>0</v>
          </cell>
          <cell r="O249">
            <v>0</v>
          </cell>
        </row>
        <row r="250">
          <cell r="A250" t="str">
            <v>12</v>
          </cell>
          <cell r="F250" t="str">
            <v>本月合计</v>
          </cell>
          <cell r="G250">
            <v>0</v>
          </cell>
          <cell r="H250">
            <v>502</v>
          </cell>
          <cell r="I250">
            <v>28136.38</v>
          </cell>
          <cell r="J250">
            <v>0</v>
          </cell>
          <cell r="K250">
            <v>0</v>
          </cell>
          <cell r="L250" t="str">
            <v>平</v>
          </cell>
          <cell r="M250">
            <v>0</v>
          </cell>
          <cell r="N250">
            <v>0</v>
          </cell>
          <cell r="O250">
            <v>0</v>
          </cell>
        </row>
        <row r="251">
          <cell r="A251" t="str">
            <v>12</v>
          </cell>
          <cell r="E251" t="str">
            <v>家种去皮乙片</v>
          </cell>
          <cell r="F251" t="str">
            <v>本年累计</v>
          </cell>
          <cell r="G251">
            <v>0</v>
          </cell>
          <cell r="H251">
            <v>7699</v>
          </cell>
          <cell r="I251">
            <v>170332.39</v>
          </cell>
          <cell r="J251">
            <v>9502</v>
          </cell>
          <cell r="K251">
            <v>210221.14</v>
          </cell>
          <cell r="L251" t="str">
            <v>平</v>
          </cell>
          <cell r="M251">
            <v>0</v>
          </cell>
          <cell r="N251">
            <v>0</v>
          </cell>
          <cell r="O251">
            <v>0</v>
          </cell>
        </row>
        <row r="252">
          <cell r="D252" t="str">
            <v>013</v>
          </cell>
          <cell r="E252" t="str">
            <v>家种去皮丙片</v>
          </cell>
          <cell r="F252" t="str">
            <v>上年结转</v>
          </cell>
          <cell r="G252">
            <v>0</v>
          </cell>
          <cell r="H252">
            <v>0</v>
          </cell>
          <cell r="I252">
            <v>0</v>
          </cell>
          <cell r="J252">
            <v>0</v>
          </cell>
          <cell r="K252">
            <v>0</v>
          </cell>
          <cell r="L252" t="str">
            <v>借</v>
          </cell>
          <cell r="M252">
            <v>9500.5</v>
          </cell>
          <cell r="N252">
            <v>13.274369999999999</v>
          </cell>
          <cell r="O252">
            <v>126113.17</v>
          </cell>
        </row>
        <row r="253">
          <cell r="A253" t="str">
            <v>02</v>
          </cell>
          <cell r="B253" t="str">
            <v>28</v>
          </cell>
          <cell r="C253" t="str">
            <v>记-0051</v>
          </cell>
          <cell r="D253" t="str">
            <v>013</v>
          </cell>
          <cell r="E253" t="str">
            <v>家种去皮丙片</v>
          </cell>
          <cell r="F253" t="str">
            <v>销售商品</v>
          </cell>
          <cell r="G253">
            <v>13.2743</v>
          </cell>
          <cell r="H253">
            <v>0</v>
          </cell>
          <cell r="I253">
            <v>0</v>
          </cell>
          <cell r="J253">
            <v>640</v>
          </cell>
          <cell r="K253">
            <v>8495.5499999999993</v>
          </cell>
          <cell r="L253" t="str">
            <v>借</v>
          </cell>
          <cell r="M253">
            <v>8860.5</v>
          </cell>
          <cell r="N253">
            <v>0</v>
          </cell>
          <cell r="O253">
            <v>117617.62</v>
          </cell>
        </row>
        <row r="254">
          <cell r="A254" t="str">
            <v>02</v>
          </cell>
          <cell r="B254" t="str">
            <v>28</v>
          </cell>
          <cell r="C254" t="str">
            <v>记-0057</v>
          </cell>
          <cell r="D254" t="str">
            <v>013</v>
          </cell>
          <cell r="E254" t="str">
            <v>家种去皮丙片</v>
          </cell>
          <cell r="F254" t="str">
            <v>销售商品</v>
          </cell>
          <cell r="G254">
            <v>13.2743</v>
          </cell>
          <cell r="H254">
            <v>0</v>
          </cell>
          <cell r="I254">
            <v>0</v>
          </cell>
          <cell r="J254">
            <v>532</v>
          </cell>
          <cell r="K254">
            <v>7061.93</v>
          </cell>
          <cell r="L254" t="str">
            <v>借</v>
          </cell>
          <cell r="M254">
            <v>8328.5</v>
          </cell>
          <cell r="N254">
            <v>0</v>
          </cell>
          <cell r="O254">
            <v>110555.69</v>
          </cell>
        </row>
        <row r="255">
          <cell r="A255" t="str">
            <v>02</v>
          </cell>
          <cell r="B255" t="str">
            <v>28</v>
          </cell>
          <cell r="C255" t="str">
            <v>记-0057</v>
          </cell>
          <cell r="D255" t="str">
            <v>013</v>
          </cell>
          <cell r="E255" t="str">
            <v>家种去皮丙片</v>
          </cell>
          <cell r="F255" t="str">
            <v>销售商品</v>
          </cell>
          <cell r="G255">
            <v>13.2743</v>
          </cell>
          <cell r="H255">
            <v>0</v>
          </cell>
          <cell r="I255">
            <v>0</v>
          </cell>
          <cell r="J255">
            <v>2760</v>
          </cell>
          <cell r="K255">
            <v>36637.07</v>
          </cell>
          <cell r="L255" t="str">
            <v>借</v>
          </cell>
          <cell r="M255">
            <v>5568.5</v>
          </cell>
          <cell r="N255">
            <v>0</v>
          </cell>
          <cell r="O255">
            <v>73918.62</v>
          </cell>
        </row>
        <row r="256">
          <cell r="A256" t="str">
            <v>02</v>
          </cell>
          <cell r="B256" t="str">
            <v>28</v>
          </cell>
          <cell r="C256" t="str">
            <v>记-0057</v>
          </cell>
          <cell r="D256" t="str">
            <v>013</v>
          </cell>
          <cell r="E256" t="str">
            <v>家种去皮丙片</v>
          </cell>
          <cell r="F256" t="str">
            <v>销售商品</v>
          </cell>
          <cell r="G256">
            <v>13.2743</v>
          </cell>
          <cell r="H256">
            <v>0</v>
          </cell>
          <cell r="I256">
            <v>0</v>
          </cell>
          <cell r="J256">
            <v>342</v>
          </cell>
          <cell r="K256">
            <v>4539.8100000000004</v>
          </cell>
          <cell r="L256" t="str">
            <v>借</v>
          </cell>
          <cell r="M256">
            <v>5226.5</v>
          </cell>
          <cell r="N256">
            <v>0</v>
          </cell>
          <cell r="O256">
            <v>69378.81</v>
          </cell>
        </row>
        <row r="257">
          <cell r="A257" t="str">
            <v>02</v>
          </cell>
          <cell r="B257" t="str">
            <v>28</v>
          </cell>
          <cell r="C257" t="str">
            <v>记-0057</v>
          </cell>
          <cell r="D257" t="str">
            <v>013</v>
          </cell>
          <cell r="E257" t="str">
            <v>家种去皮丙片</v>
          </cell>
          <cell r="F257" t="str">
            <v>销售商品</v>
          </cell>
          <cell r="G257">
            <v>13.274319999999999</v>
          </cell>
          <cell r="H257">
            <v>0</v>
          </cell>
          <cell r="I257">
            <v>0</v>
          </cell>
          <cell r="J257">
            <v>190</v>
          </cell>
          <cell r="K257">
            <v>2522.12</v>
          </cell>
          <cell r="L257" t="str">
            <v>借</v>
          </cell>
          <cell r="M257">
            <v>5036.5</v>
          </cell>
          <cell r="N257">
            <v>0</v>
          </cell>
          <cell r="O257">
            <v>66856.69</v>
          </cell>
        </row>
        <row r="258">
          <cell r="A258" t="str">
            <v>02</v>
          </cell>
          <cell r="F258" t="str">
            <v>本月合计</v>
          </cell>
          <cell r="G258">
            <v>0</v>
          </cell>
          <cell r="H258">
            <v>0</v>
          </cell>
          <cell r="I258">
            <v>0</v>
          </cell>
          <cell r="J258">
            <v>4464</v>
          </cell>
          <cell r="K258">
            <v>59256.480000000003</v>
          </cell>
          <cell r="L258" t="str">
            <v>借</v>
          </cell>
          <cell r="M258">
            <v>5036.5</v>
          </cell>
          <cell r="N258">
            <v>13.274430000000001</v>
          </cell>
          <cell r="O258">
            <v>66856.69</v>
          </cell>
        </row>
        <row r="259">
          <cell r="A259" t="str">
            <v>02</v>
          </cell>
          <cell r="F259" t="str">
            <v>累    计</v>
          </cell>
          <cell r="G259">
            <v>0</v>
          </cell>
          <cell r="H259">
            <v>0</v>
          </cell>
          <cell r="I259">
            <v>0</v>
          </cell>
          <cell r="J259">
            <v>4464</v>
          </cell>
          <cell r="K259">
            <v>59256.480000000003</v>
          </cell>
          <cell r="L259" t="str">
            <v>借</v>
          </cell>
          <cell r="M259">
            <v>5036.5</v>
          </cell>
          <cell r="N259">
            <v>13.274430000000001</v>
          </cell>
          <cell r="O259">
            <v>66856.69</v>
          </cell>
        </row>
        <row r="260">
          <cell r="A260" t="str">
            <v>03</v>
          </cell>
          <cell r="B260" t="str">
            <v>31</v>
          </cell>
          <cell r="C260" t="str">
            <v>记-0035</v>
          </cell>
          <cell r="D260" t="str">
            <v>013</v>
          </cell>
          <cell r="E260" t="str">
            <v>家种去皮丙片</v>
          </cell>
          <cell r="F260" t="str">
            <v>转成本</v>
          </cell>
          <cell r="G260">
            <v>13.2743</v>
          </cell>
          <cell r="H260">
            <v>0</v>
          </cell>
          <cell r="I260">
            <v>0</v>
          </cell>
          <cell r="J260">
            <v>2052</v>
          </cell>
          <cell r="K260">
            <v>27238.86</v>
          </cell>
          <cell r="L260" t="str">
            <v>借</v>
          </cell>
          <cell r="M260">
            <v>2984.5</v>
          </cell>
          <cell r="N260">
            <v>0</v>
          </cell>
          <cell r="O260">
            <v>39617.83</v>
          </cell>
        </row>
        <row r="261">
          <cell r="A261" t="str">
            <v>03</v>
          </cell>
          <cell r="B261" t="str">
            <v>31</v>
          </cell>
          <cell r="C261" t="str">
            <v>记-0042</v>
          </cell>
          <cell r="D261" t="str">
            <v>013</v>
          </cell>
          <cell r="E261" t="str">
            <v>家种去皮丙片</v>
          </cell>
          <cell r="F261" t="str">
            <v>转成本</v>
          </cell>
          <cell r="G261">
            <v>13.274290000000001</v>
          </cell>
          <cell r="H261">
            <v>0</v>
          </cell>
          <cell r="I261">
            <v>0</v>
          </cell>
          <cell r="J261">
            <v>380</v>
          </cell>
          <cell r="K261">
            <v>5044.2299999999996</v>
          </cell>
          <cell r="L261" t="str">
            <v>借</v>
          </cell>
          <cell r="M261">
            <v>2604.5</v>
          </cell>
          <cell r="N261">
            <v>0</v>
          </cell>
          <cell r="O261">
            <v>34573.599999999999</v>
          </cell>
        </row>
        <row r="262">
          <cell r="A262" t="str">
            <v>03</v>
          </cell>
          <cell r="F262" t="str">
            <v>本月合计</v>
          </cell>
          <cell r="G262">
            <v>0</v>
          </cell>
          <cell r="H262">
            <v>0</v>
          </cell>
          <cell r="I262">
            <v>0</v>
          </cell>
          <cell r="J262">
            <v>2432</v>
          </cell>
          <cell r="K262">
            <v>32283.09</v>
          </cell>
          <cell r="L262" t="str">
            <v>借</v>
          </cell>
          <cell r="M262">
            <v>2604.5</v>
          </cell>
          <cell r="N262">
            <v>13.274559999999999</v>
          </cell>
          <cell r="O262">
            <v>34573.599999999999</v>
          </cell>
        </row>
        <row r="263">
          <cell r="A263" t="str">
            <v>03</v>
          </cell>
          <cell r="F263" t="str">
            <v>累    计</v>
          </cell>
          <cell r="G263">
            <v>0</v>
          </cell>
          <cell r="H263">
            <v>0</v>
          </cell>
          <cell r="I263">
            <v>0</v>
          </cell>
          <cell r="J263">
            <v>6896</v>
          </cell>
          <cell r="K263">
            <v>91539.57</v>
          </cell>
          <cell r="L263" t="str">
            <v>借</v>
          </cell>
          <cell r="M263">
            <v>2604.5</v>
          </cell>
          <cell r="N263">
            <v>13.274559999999999</v>
          </cell>
          <cell r="O263">
            <v>34573.599999999999</v>
          </cell>
        </row>
        <row r="264">
          <cell r="A264" t="str">
            <v>04</v>
          </cell>
          <cell r="B264" t="str">
            <v>30</v>
          </cell>
          <cell r="C264" t="str">
            <v>记-0049</v>
          </cell>
          <cell r="D264" t="str">
            <v>013</v>
          </cell>
          <cell r="E264" t="str">
            <v>家种去皮丙片</v>
          </cell>
          <cell r="F264" t="str">
            <v>转成本</v>
          </cell>
          <cell r="G264">
            <v>13.27711</v>
          </cell>
          <cell r="H264">
            <v>0</v>
          </cell>
          <cell r="I264">
            <v>0</v>
          </cell>
          <cell r="J264">
            <v>76</v>
          </cell>
          <cell r="K264">
            <v>1009.06</v>
          </cell>
          <cell r="L264" t="str">
            <v>借</v>
          </cell>
          <cell r="M264">
            <v>2528.5</v>
          </cell>
          <cell r="N264">
            <v>0</v>
          </cell>
          <cell r="O264">
            <v>33564.54</v>
          </cell>
        </row>
        <row r="265">
          <cell r="A265" t="str">
            <v>04</v>
          </cell>
          <cell r="F265" t="str">
            <v>本月合计</v>
          </cell>
          <cell r="G265">
            <v>0</v>
          </cell>
          <cell r="H265">
            <v>0</v>
          </cell>
          <cell r="I265">
            <v>0</v>
          </cell>
          <cell r="J265">
            <v>76</v>
          </cell>
          <cell r="K265">
            <v>1009.06</v>
          </cell>
          <cell r="L265" t="str">
            <v>借</v>
          </cell>
          <cell r="M265">
            <v>2528.5</v>
          </cell>
          <cell r="N265">
            <v>13.27449</v>
          </cell>
          <cell r="O265">
            <v>33564.54</v>
          </cell>
        </row>
        <row r="266">
          <cell r="A266" t="str">
            <v>04</v>
          </cell>
          <cell r="F266" t="str">
            <v>累    计</v>
          </cell>
          <cell r="G266">
            <v>0</v>
          </cell>
          <cell r="H266">
            <v>0</v>
          </cell>
          <cell r="I266">
            <v>0</v>
          </cell>
          <cell r="J266">
            <v>6972</v>
          </cell>
          <cell r="K266">
            <v>92548.63</v>
          </cell>
          <cell r="L266" t="str">
            <v>借</v>
          </cell>
          <cell r="M266">
            <v>2528.5</v>
          </cell>
          <cell r="N266">
            <v>13.27449</v>
          </cell>
          <cell r="O266">
            <v>33564.54</v>
          </cell>
        </row>
        <row r="267">
          <cell r="A267" t="str">
            <v>07</v>
          </cell>
          <cell r="B267" t="str">
            <v>22</v>
          </cell>
          <cell r="C267" t="str">
            <v>记-0068</v>
          </cell>
          <cell r="D267" t="str">
            <v>013</v>
          </cell>
          <cell r="E267" t="str">
            <v>家种去皮丙片</v>
          </cell>
          <cell r="F267" t="str">
            <v>结转成本</v>
          </cell>
          <cell r="G267">
            <v>13.28</v>
          </cell>
          <cell r="H267">
            <v>0</v>
          </cell>
          <cell r="I267">
            <v>0</v>
          </cell>
          <cell r="J267">
            <v>360</v>
          </cell>
          <cell r="K267">
            <v>4780.8</v>
          </cell>
          <cell r="L267" t="str">
            <v>借</v>
          </cell>
          <cell r="M267">
            <v>2168.5</v>
          </cell>
          <cell r="N267">
            <v>0</v>
          </cell>
          <cell r="O267">
            <v>28783.74</v>
          </cell>
        </row>
        <row r="268">
          <cell r="A268" t="str">
            <v>07</v>
          </cell>
          <cell r="F268" t="str">
            <v>本月合计</v>
          </cell>
          <cell r="G268">
            <v>0</v>
          </cell>
          <cell r="H268">
            <v>0</v>
          </cell>
          <cell r="I268">
            <v>0</v>
          </cell>
          <cell r="J268">
            <v>360</v>
          </cell>
          <cell r="K268">
            <v>4780.8</v>
          </cell>
          <cell r="L268" t="str">
            <v>借</v>
          </cell>
          <cell r="M268">
            <v>2168.5</v>
          </cell>
          <cell r="N268">
            <v>13.273569999999999</v>
          </cell>
          <cell r="O268">
            <v>28783.74</v>
          </cell>
        </row>
        <row r="269">
          <cell r="A269" t="str">
            <v>07</v>
          </cell>
          <cell r="F269" t="str">
            <v>累    计</v>
          </cell>
          <cell r="G269">
            <v>0</v>
          </cell>
          <cell r="H269">
            <v>0</v>
          </cell>
          <cell r="I269">
            <v>0</v>
          </cell>
          <cell r="J269">
            <v>7332</v>
          </cell>
          <cell r="K269">
            <v>97329.43</v>
          </cell>
          <cell r="L269" t="str">
            <v>借</v>
          </cell>
          <cell r="M269">
            <v>2168.5</v>
          </cell>
          <cell r="N269">
            <v>13.273569999999999</v>
          </cell>
          <cell r="O269">
            <v>28783.74</v>
          </cell>
        </row>
        <row r="270">
          <cell r="A270" t="str">
            <v>11</v>
          </cell>
          <cell r="B270" t="str">
            <v>30</v>
          </cell>
          <cell r="C270" t="str">
            <v>记-0108</v>
          </cell>
          <cell r="D270" t="str">
            <v>013</v>
          </cell>
          <cell r="E270" t="str">
            <v>家种去皮丙片</v>
          </cell>
          <cell r="F270" t="str">
            <v>合并名称</v>
          </cell>
          <cell r="G270">
            <v>11.0619</v>
          </cell>
          <cell r="H270">
            <v>-1560</v>
          </cell>
          <cell r="I270">
            <v>-17256.560000000001</v>
          </cell>
          <cell r="J270">
            <v>0</v>
          </cell>
          <cell r="K270">
            <v>0</v>
          </cell>
          <cell r="L270" t="str">
            <v>借</v>
          </cell>
          <cell r="M270">
            <v>608.5</v>
          </cell>
          <cell r="N270">
            <v>0</v>
          </cell>
          <cell r="O270">
            <v>11527.18</v>
          </cell>
        </row>
        <row r="271">
          <cell r="A271" t="str">
            <v>11</v>
          </cell>
          <cell r="B271" t="str">
            <v>30</v>
          </cell>
          <cell r="C271" t="str">
            <v>记-0109</v>
          </cell>
          <cell r="D271" t="str">
            <v>013</v>
          </cell>
          <cell r="E271" t="str">
            <v>家种去皮丙片</v>
          </cell>
          <cell r="F271" t="str">
            <v>合并名称</v>
          </cell>
          <cell r="G271">
            <v>11.5045</v>
          </cell>
          <cell r="H271">
            <v>40</v>
          </cell>
          <cell r="I271">
            <v>460.18</v>
          </cell>
          <cell r="J271">
            <v>0</v>
          </cell>
          <cell r="K271">
            <v>0</v>
          </cell>
          <cell r="L271" t="str">
            <v>借</v>
          </cell>
          <cell r="M271">
            <v>648.5</v>
          </cell>
          <cell r="N271">
            <v>0</v>
          </cell>
          <cell r="O271">
            <v>11987.36</v>
          </cell>
        </row>
        <row r="272">
          <cell r="A272" t="str">
            <v>11</v>
          </cell>
          <cell r="B272" t="str">
            <v>30</v>
          </cell>
          <cell r="C272" t="str">
            <v>记-0165</v>
          </cell>
          <cell r="D272" t="str">
            <v>013</v>
          </cell>
          <cell r="E272" t="str">
            <v>家种去皮丙片</v>
          </cell>
          <cell r="F272" t="str">
            <v>调整库存</v>
          </cell>
          <cell r="G272">
            <v>18.484749999999998</v>
          </cell>
          <cell r="H272">
            <v>-648.5</v>
          </cell>
          <cell r="I272">
            <v>-11987.36</v>
          </cell>
          <cell r="J272">
            <v>0</v>
          </cell>
          <cell r="K272">
            <v>0</v>
          </cell>
          <cell r="L272" t="str">
            <v>平</v>
          </cell>
          <cell r="M272">
            <v>0</v>
          </cell>
          <cell r="N272">
            <v>0</v>
          </cell>
          <cell r="O272">
            <v>0</v>
          </cell>
        </row>
        <row r="273">
          <cell r="A273" t="str">
            <v>11</v>
          </cell>
          <cell r="F273" t="str">
            <v>本月合计</v>
          </cell>
          <cell r="G273">
            <v>0</v>
          </cell>
          <cell r="H273">
            <v>-2168.5</v>
          </cell>
          <cell r="I273">
            <v>-28783.74</v>
          </cell>
          <cell r="J273">
            <v>0</v>
          </cell>
          <cell r="K273">
            <v>0</v>
          </cell>
          <cell r="L273" t="str">
            <v>平</v>
          </cell>
          <cell r="M273">
            <v>0</v>
          </cell>
          <cell r="N273">
            <v>0</v>
          </cell>
          <cell r="O273">
            <v>0</v>
          </cell>
        </row>
        <row r="274">
          <cell r="A274" t="str">
            <v>11</v>
          </cell>
          <cell r="E274" t="str">
            <v>家种去皮丙片</v>
          </cell>
          <cell r="F274" t="str">
            <v>本年累计</v>
          </cell>
          <cell r="G274">
            <v>0</v>
          </cell>
          <cell r="H274">
            <v>-2168.5</v>
          </cell>
          <cell r="I274">
            <v>-28783.74</v>
          </cell>
          <cell r="J274">
            <v>7332</v>
          </cell>
          <cell r="K274">
            <v>97329.43</v>
          </cell>
          <cell r="L274" t="str">
            <v>平</v>
          </cell>
          <cell r="M274">
            <v>0</v>
          </cell>
          <cell r="N274">
            <v>0</v>
          </cell>
          <cell r="O274">
            <v>0</v>
          </cell>
        </row>
        <row r="275">
          <cell r="D275" t="str">
            <v>014</v>
          </cell>
          <cell r="E275" t="str">
            <v>家种去皮丙片次</v>
          </cell>
          <cell r="F275" t="str">
            <v>上年结转</v>
          </cell>
          <cell r="G275">
            <v>0</v>
          </cell>
          <cell r="H275">
            <v>0</v>
          </cell>
          <cell r="I275">
            <v>0</v>
          </cell>
          <cell r="J275">
            <v>0</v>
          </cell>
          <cell r="K275">
            <v>0</v>
          </cell>
          <cell r="L275" t="str">
            <v>贷</v>
          </cell>
          <cell r="M275">
            <v>1280</v>
          </cell>
          <cell r="N275">
            <v>11.0619</v>
          </cell>
          <cell r="O275">
            <v>14159.23</v>
          </cell>
        </row>
        <row r="276">
          <cell r="A276" t="str">
            <v>02</v>
          </cell>
          <cell r="B276" t="str">
            <v>28</v>
          </cell>
          <cell r="C276" t="str">
            <v>记-0057</v>
          </cell>
          <cell r="D276" t="str">
            <v>014</v>
          </cell>
          <cell r="E276" t="str">
            <v>家种去皮丙片次</v>
          </cell>
          <cell r="F276" t="str">
            <v>销售商品</v>
          </cell>
          <cell r="G276">
            <v>11.06189</v>
          </cell>
          <cell r="H276">
            <v>0</v>
          </cell>
          <cell r="I276">
            <v>0</v>
          </cell>
          <cell r="J276">
            <v>280</v>
          </cell>
          <cell r="K276">
            <v>3097.33</v>
          </cell>
          <cell r="L276" t="str">
            <v>贷</v>
          </cell>
          <cell r="M276">
            <v>1560</v>
          </cell>
          <cell r="N276">
            <v>0</v>
          </cell>
          <cell r="O276">
            <v>17256.560000000001</v>
          </cell>
        </row>
        <row r="277">
          <cell r="A277" t="str">
            <v>02</v>
          </cell>
          <cell r="F277" t="str">
            <v>本月合计</v>
          </cell>
          <cell r="G277">
            <v>0</v>
          </cell>
          <cell r="H277">
            <v>0</v>
          </cell>
          <cell r="I277">
            <v>0</v>
          </cell>
          <cell r="J277">
            <v>280</v>
          </cell>
          <cell r="K277">
            <v>3097.33</v>
          </cell>
          <cell r="L277" t="str">
            <v>贷</v>
          </cell>
          <cell r="M277">
            <v>1560</v>
          </cell>
          <cell r="N277">
            <v>11.0619</v>
          </cell>
          <cell r="O277">
            <v>17256.560000000001</v>
          </cell>
        </row>
        <row r="278">
          <cell r="A278" t="str">
            <v>02</v>
          </cell>
          <cell r="F278" t="str">
            <v>累    计</v>
          </cell>
          <cell r="G278">
            <v>0</v>
          </cell>
          <cell r="H278">
            <v>0</v>
          </cell>
          <cell r="I278">
            <v>0</v>
          </cell>
          <cell r="J278">
            <v>280</v>
          </cell>
          <cell r="K278">
            <v>3097.33</v>
          </cell>
          <cell r="L278" t="str">
            <v>贷</v>
          </cell>
          <cell r="M278">
            <v>1560</v>
          </cell>
          <cell r="N278">
            <v>11.0619</v>
          </cell>
          <cell r="O278">
            <v>17256.560000000001</v>
          </cell>
        </row>
        <row r="279">
          <cell r="A279" t="str">
            <v>11</v>
          </cell>
          <cell r="B279" t="str">
            <v>30</v>
          </cell>
          <cell r="C279" t="str">
            <v>记-0108</v>
          </cell>
          <cell r="D279" t="str">
            <v>014</v>
          </cell>
          <cell r="E279" t="str">
            <v>家种去皮丙片次</v>
          </cell>
          <cell r="F279" t="str">
            <v>合并名称</v>
          </cell>
          <cell r="G279">
            <v>11.0619</v>
          </cell>
          <cell r="H279">
            <v>1560</v>
          </cell>
          <cell r="I279">
            <v>17256.560000000001</v>
          </cell>
          <cell r="J279">
            <v>0</v>
          </cell>
          <cell r="K279">
            <v>0</v>
          </cell>
          <cell r="L279" t="str">
            <v>平</v>
          </cell>
          <cell r="M279">
            <v>0</v>
          </cell>
          <cell r="N279">
            <v>0</v>
          </cell>
          <cell r="O279">
            <v>0</v>
          </cell>
        </row>
        <row r="280">
          <cell r="A280" t="str">
            <v>11</v>
          </cell>
          <cell r="F280" t="str">
            <v>本月合计</v>
          </cell>
          <cell r="G280">
            <v>0</v>
          </cell>
          <cell r="H280">
            <v>1560</v>
          </cell>
          <cell r="I280">
            <v>17256.560000000001</v>
          </cell>
          <cell r="J280">
            <v>0</v>
          </cell>
          <cell r="K280">
            <v>0</v>
          </cell>
          <cell r="L280" t="str">
            <v>平</v>
          </cell>
          <cell r="M280">
            <v>0</v>
          </cell>
          <cell r="N280">
            <v>0</v>
          </cell>
          <cell r="O280">
            <v>0</v>
          </cell>
        </row>
        <row r="281">
          <cell r="A281" t="str">
            <v>11</v>
          </cell>
          <cell r="E281" t="str">
            <v>家种去皮丙片次</v>
          </cell>
          <cell r="F281" t="str">
            <v>本年累计</v>
          </cell>
          <cell r="G281">
            <v>0</v>
          </cell>
          <cell r="H281">
            <v>1560</v>
          </cell>
          <cell r="I281">
            <v>17256.560000000001</v>
          </cell>
          <cell r="J281">
            <v>280</v>
          </cell>
          <cell r="K281">
            <v>3097.33</v>
          </cell>
          <cell r="L281" t="str">
            <v>平</v>
          </cell>
          <cell r="M281">
            <v>0</v>
          </cell>
          <cell r="N281">
            <v>0</v>
          </cell>
          <cell r="O281">
            <v>0</v>
          </cell>
        </row>
        <row r="282">
          <cell r="D282" t="str">
            <v>015</v>
          </cell>
          <cell r="E282" t="str">
            <v>家种去皮丁片</v>
          </cell>
          <cell r="F282" t="str">
            <v>上年结转</v>
          </cell>
          <cell r="G282">
            <v>0</v>
          </cell>
          <cell r="H282">
            <v>0</v>
          </cell>
          <cell r="I282">
            <v>0</v>
          </cell>
          <cell r="J282">
            <v>0</v>
          </cell>
          <cell r="K282">
            <v>0</v>
          </cell>
          <cell r="L282" t="str">
            <v>借</v>
          </cell>
          <cell r="M282">
            <v>1348</v>
          </cell>
          <cell r="N282">
            <v>10.619440000000001</v>
          </cell>
          <cell r="O282">
            <v>14315.01</v>
          </cell>
        </row>
        <row r="283">
          <cell r="A283" t="str">
            <v>02</v>
          </cell>
          <cell r="B283" t="str">
            <v>28</v>
          </cell>
          <cell r="C283" t="str">
            <v>记-0057</v>
          </cell>
          <cell r="D283" t="str">
            <v>015</v>
          </cell>
          <cell r="E283" t="str">
            <v>家种去皮丁片</v>
          </cell>
          <cell r="F283" t="str">
            <v>销售商品</v>
          </cell>
          <cell r="G283">
            <v>10.61947</v>
          </cell>
          <cell r="H283">
            <v>0</v>
          </cell>
          <cell r="I283">
            <v>0</v>
          </cell>
          <cell r="J283">
            <v>190</v>
          </cell>
          <cell r="K283">
            <v>2017.7</v>
          </cell>
          <cell r="L283" t="str">
            <v>借</v>
          </cell>
          <cell r="M283">
            <v>1158</v>
          </cell>
          <cell r="N283">
            <v>0</v>
          </cell>
          <cell r="O283">
            <v>12297.31</v>
          </cell>
        </row>
        <row r="284">
          <cell r="A284" t="str">
            <v>02</v>
          </cell>
          <cell r="B284" t="str">
            <v>28</v>
          </cell>
          <cell r="C284" t="str">
            <v>记-0057</v>
          </cell>
          <cell r="D284" t="str">
            <v>015</v>
          </cell>
          <cell r="E284" t="str">
            <v>家种去皮丁片</v>
          </cell>
          <cell r="F284" t="str">
            <v>销售商品</v>
          </cell>
          <cell r="G284">
            <v>10.6195</v>
          </cell>
          <cell r="H284">
            <v>0</v>
          </cell>
          <cell r="I284">
            <v>0</v>
          </cell>
          <cell r="J284">
            <v>1178</v>
          </cell>
          <cell r="K284">
            <v>12509.77</v>
          </cell>
          <cell r="L284" t="str">
            <v>贷</v>
          </cell>
          <cell r="M284">
            <v>20</v>
          </cell>
          <cell r="N284">
            <v>0</v>
          </cell>
          <cell r="O284">
            <v>212.46</v>
          </cell>
        </row>
        <row r="285">
          <cell r="A285" t="str">
            <v>02</v>
          </cell>
          <cell r="F285" t="str">
            <v>本月合计</v>
          </cell>
          <cell r="G285">
            <v>0</v>
          </cell>
          <cell r="H285">
            <v>0</v>
          </cell>
          <cell r="I285">
            <v>0</v>
          </cell>
          <cell r="J285">
            <v>1368</v>
          </cell>
          <cell r="K285">
            <v>14527.47</v>
          </cell>
          <cell r="L285" t="str">
            <v>贷</v>
          </cell>
          <cell r="M285">
            <v>20</v>
          </cell>
          <cell r="N285">
            <v>10.622999999999999</v>
          </cell>
          <cell r="O285">
            <v>212.46</v>
          </cell>
        </row>
        <row r="286">
          <cell r="A286" t="str">
            <v>02</v>
          </cell>
          <cell r="F286" t="str">
            <v>累    计</v>
          </cell>
          <cell r="G286">
            <v>0</v>
          </cell>
          <cell r="H286">
            <v>0</v>
          </cell>
          <cell r="I286">
            <v>0</v>
          </cell>
          <cell r="J286">
            <v>1368</v>
          </cell>
          <cell r="K286">
            <v>14527.47</v>
          </cell>
          <cell r="L286" t="str">
            <v>贷</v>
          </cell>
          <cell r="M286">
            <v>20</v>
          </cell>
          <cell r="N286">
            <v>10.622999999999999</v>
          </cell>
          <cell r="O286">
            <v>212.46</v>
          </cell>
        </row>
        <row r="287">
          <cell r="A287" t="str">
            <v>03</v>
          </cell>
          <cell r="B287" t="str">
            <v>31</v>
          </cell>
          <cell r="C287" t="str">
            <v>记-0046</v>
          </cell>
          <cell r="D287" t="str">
            <v>015</v>
          </cell>
          <cell r="E287" t="str">
            <v>家种去皮丁片</v>
          </cell>
          <cell r="F287" t="str">
            <v>转成本</v>
          </cell>
          <cell r="G287">
            <v>10.6195</v>
          </cell>
          <cell r="H287">
            <v>0</v>
          </cell>
          <cell r="I287">
            <v>0</v>
          </cell>
          <cell r="J287">
            <v>1216</v>
          </cell>
          <cell r="K287">
            <v>12913.31</v>
          </cell>
          <cell r="L287" t="str">
            <v>贷</v>
          </cell>
          <cell r="M287">
            <v>1236</v>
          </cell>
          <cell r="N287">
            <v>0</v>
          </cell>
          <cell r="O287">
            <v>13125.77</v>
          </cell>
        </row>
        <row r="288">
          <cell r="A288" t="str">
            <v>03</v>
          </cell>
          <cell r="B288" t="str">
            <v>31</v>
          </cell>
          <cell r="C288" t="str">
            <v>记-0046</v>
          </cell>
          <cell r="D288" t="str">
            <v>015</v>
          </cell>
          <cell r="E288" t="str">
            <v>家种去皮丁片</v>
          </cell>
          <cell r="F288" t="str">
            <v>转成本</v>
          </cell>
          <cell r="G288">
            <v>10.6195</v>
          </cell>
          <cell r="H288">
            <v>0</v>
          </cell>
          <cell r="I288">
            <v>0</v>
          </cell>
          <cell r="J288">
            <v>140</v>
          </cell>
          <cell r="K288">
            <v>1486.73</v>
          </cell>
          <cell r="L288" t="str">
            <v>贷</v>
          </cell>
          <cell r="M288">
            <v>1376</v>
          </cell>
          <cell r="N288">
            <v>0</v>
          </cell>
          <cell r="O288">
            <v>14612.5</v>
          </cell>
        </row>
        <row r="289">
          <cell r="A289" t="str">
            <v>03</v>
          </cell>
          <cell r="F289" t="str">
            <v>本月合计</v>
          </cell>
          <cell r="G289">
            <v>0</v>
          </cell>
          <cell r="H289">
            <v>0</v>
          </cell>
          <cell r="I289">
            <v>0</v>
          </cell>
          <cell r="J289">
            <v>1356</v>
          </cell>
          <cell r="K289">
            <v>14400.04</v>
          </cell>
          <cell r="L289" t="str">
            <v>贷</v>
          </cell>
          <cell r="M289">
            <v>1376</v>
          </cell>
          <cell r="N289">
            <v>10.61955</v>
          </cell>
          <cell r="O289">
            <v>14612.5</v>
          </cell>
        </row>
        <row r="290">
          <cell r="A290" t="str">
            <v>03</v>
          </cell>
          <cell r="F290" t="str">
            <v>累    计</v>
          </cell>
          <cell r="G290">
            <v>0</v>
          </cell>
          <cell r="H290">
            <v>0</v>
          </cell>
          <cell r="I290">
            <v>0</v>
          </cell>
          <cell r="J290">
            <v>2724</v>
          </cell>
          <cell r="K290">
            <v>28927.51</v>
          </cell>
          <cell r="L290" t="str">
            <v>贷</v>
          </cell>
          <cell r="M290">
            <v>1376</v>
          </cell>
          <cell r="N290">
            <v>10.61955</v>
          </cell>
          <cell r="O290">
            <v>14612.5</v>
          </cell>
        </row>
        <row r="291">
          <cell r="A291" t="str">
            <v>04</v>
          </cell>
          <cell r="B291" t="str">
            <v>30</v>
          </cell>
          <cell r="C291" t="str">
            <v>记-0049</v>
          </cell>
          <cell r="D291" t="str">
            <v>015</v>
          </cell>
          <cell r="E291" t="str">
            <v>家种去皮丁片</v>
          </cell>
          <cell r="F291" t="str">
            <v>转成本</v>
          </cell>
          <cell r="G291">
            <v>10.46</v>
          </cell>
          <cell r="H291">
            <v>0</v>
          </cell>
          <cell r="I291">
            <v>0</v>
          </cell>
          <cell r="J291">
            <v>456</v>
          </cell>
          <cell r="K291">
            <v>4769.76</v>
          </cell>
          <cell r="L291" t="str">
            <v>贷</v>
          </cell>
          <cell r="M291">
            <v>1832</v>
          </cell>
          <cell r="N291">
            <v>0</v>
          </cell>
          <cell r="O291">
            <v>19382.259999999998</v>
          </cell>
        </row>
        <row r="292">
          <cell r="A292" t="str">
            <v>04</v>
          </cell>
          <cell r="F292" t="str">
            <v>本月合计</v>
          </cell>
          <cell r="G292">
            <v>0</v>
          </cell>
          <cell r="H292">
            <v>0</v>
          </cell>
          <cell r="I292">
            <v>0</v>
          </cell>
          <cell r="J292">
            <v>456</v>
          </cell>
          <cell r="K292">
            <v>4769.76</v>
          </cell>
          <cell r="L292" t="str">
            <v>贷</v>
          </cell>
          <cell r="M292">
            <v>1832</v>
          </cell>
          <cell r="N292">
            <v>10.579840000000001</v>
          </cell>
          <cell r="O292">
            <v>19382.259999999998</v>
          </cell>
        </row>
        <row r="293">
          <cell r="A293" t="str">
            <v>04</v>
          </cell>
          <cell r="F293" t="str">
            <v>累    计</v>
          </cell>
          <cell r="G293">
            <v>0</v>
          </cell>
          <cell r="H293">
            <v>0</v>
          </cell>
          <cell r="I293">
            <v>0</v>
          </cell>
          <cell r="J293">
            <v>3180</v>
          </cell>
          <cell r="K293">
            <v>33697.269999999997</v>
          </cell>
          <cell r="L293" t="str">
            <v>贷</v>
          </cell>
          <cell r="M293">
            <v>1832</v>
          </cell>
          <cell r="N293">
            <v>10.579840000000001</v>
          </cell>
          <cell r="O293">
            <v>19382.259999999998</v>
          </cell>
        </row>
        <row r="294">
          <cell r="A294" t="str">
            <v>05</v>
          </cell>
          <cell r="B294" t="str">
            <v>31</v>
          </cell>
          <cell r="C294" t="str">
            <v>记-0036</v>
          </cell>
          <cell r="D294" t="str">
            <v>015</v>
          </cell>
          <cell r="E294" t="str">
            <v>家种去皮丁片</v>
          </cell>
          <cell r="F294" t="str">
            <v>收购产品</v>
          </cell>
          <cell r="G294">
            <v>10.61947</v>
          </cell>
          <cell r="H294">
            <v>1216</v>
          </cell>
          <cell r="I294">
            <v>12913.27</v>
          </cell>
          <cell r="J294">
            <v>0</v>
          </cell>
          <cell r="K294">
            <v>0</v>
          </cell>
          <cell r="L294" t="str">
            <v>贷</v>
          </cell>
          <cell r="M294">
            <v>616</v>
          </cell>
          <cell r="N294">
            <v>0</v>
          </cell>
          <cell r="O294">
            <v>6468.99</v>
          </cell>
        </row>
        <row r="295">
          <cell r="A295" t="str">
            <v>05</v>
          </cell>
          <cell r="B295" t="str">
            <v>31</v>
          </cell>
          <cell r="C295" t="str">
            <v>记-0036</v>
          </cell>
          <cell r="D295" t="str">
            <v>015</v>
          </cell>
          <cell r="E295" t="str">
            <v>家种去皮丁片</v>
          </cell>
          <cell r="F295" t="str">
            <v>收购产品</v>
          </cell>
          <cell r="G295">
            <v>10.61947</v>
          </cell>
          <cell r="H295">
            <v>456</v>
          </cell>
          <cell r="I295">
            <v>4842.4799999999996</v>
          </cell>
          <cell r="J295">
            <v>0</v>
          </cell>
          <cell r="K295">
            <v>0</v>
          </cell>
          <cell r="L295" t="str">
            <v>贷</v>
          </cell>
          <cell r="M295">
            <v>160</v>
          </cell>
          <cell r="N295">
            <v>0</v>
          </cell>
          <cell r="O295">
            <v>1626.51</v>
          </cell>
        </row>
        <row r="296">
          <cell r="A296" t="str">
            <v>05</v>
          </cell>
          <cell r="F296" t="str">
            <v>本月合计</v>
          </cell>
          <cell r="G296">
            <v>0</v>
          </cell>
          <cell r="H296">
            <v>1672</v>
          </cell>
          <cell r="I296">
            <v>17755.75</v>
          </cell>
          <cell r="J296">
            <v>0</v>
          </cell>
          <cell r="K296">
            <v>0</v>
          </cell>
          <cell r="L296" t="str">
            <v>贷</v>
          </cell>
          <cell r="M296">
            <v>160</v>
          </cell>
          <cell r="N296">
            <v>10.16569</v>
          </cell>
          <cell r="O296">
            <v>1626.51</v>
          </cell>
        </row>
        <row r="297">
          <cell r="A297" t="str">
            <v>05</v>
          </cell>
          <cell r="F297" t="str">
            <v>累    计</v>
          </cell>
          <cell r="G297">
            <v>0</v>
          </cell>
          <cell r="H297">
            <v>1672</v>
          </cell>
          <cell r="I297">
            <v>17755.75</v>
          </cell>
          <cell r="J297">
            <v>3180</v>
          </cell>
          <cell r="K297">
            <v>33697.269999999997</v>
          </cell>
          <cell r="L297" t="str">
            <v>贷</v>
          </cell>
          <cell r="M297">
            <v>160</v>
          </cell>
          <cell r="N297">
            <v>10.16569</v>
          </cell>
          <cell r="O297">
            <v>1626.51</v>
          </cell>
        </row>
        <row r="298">
          <cell r="A298" t="str">
            <v>09</v>
          </cell>
          <cell r="B298" t="str">
            <v>22</v>
          </cell>
          <cell r="C298" t="str">
            <v>记-0040</v>
          </cell>
          <cell r="D298" t="str">
            <v>015</v>
          </cell>
          <cell r="E298" t="str">
            <v>家种去皮丁片</v>
          </cell>
          <cell r="F298" t="str">
            <v>结转成本</v>
          </cell>
          <cell r="G298">
            <v>10.16597</v>
          </cell>
          <cell r="H298">
            <v>0</v>
          </cell>
          <cell r="I298">
            <v>0</v>
          </cell>
          <cell r="J298">
            <v>72</v>
          </cell>
          <cell r="K298">
            <v>731.95</v>
          </cell>
          <cell r="L298" t="str">
            <v>贷</v>
          </cell>
          <cell r="M298">
            <v>232</v>
          </cell>
          <cell r="N298">
            <v>0</v>
          </cell>
          <cell r="O298">
            <v>2358.46</v>
          </cell>
        </row>
        <row r="299">
          <cell r="A299" t="str">
            <v>09</v>
          </cell>
          <cell r="F299" t="str">
            <v>本月合计</v>
          </cell>
          <cell r="G299">
            <v>0</v>
          </cell>
          <cell r="H299">
            <v>0</v>
          </cell>
          <cell r="I299">
            <v>0</v>
          </cell>
          <cell r="J299">
            <v>72</v>
          </cell>
          <cell r="K299">
            <v>731.95</v>
          </cell>
          <cell r="L299" t="str">
            <v>贷</v>
          </cell>
          <cell r="M299">
            <v>232</v>
          </cell>
          <cell r="N299">
            <v>10.16578</v>
          </cell>
          <cell r="O299">
            <v>2358.46</v>
          </cell>
        </row>
        <row r="300">
          <cell r="A300" t="str">
            <v>09</v>
          </cell>
          <cell r="F300" t="str">
            <v>累    计</v>
          </cell>
          <cell r="G300">
            <v>0</v>
          </cell>
          <cell r="H300">
            <v>1672</v>
          </cell>
          <cell r="I300">
            <v>17755.75</v>
          </cell>
          <cell r="J300">
            <v>3252</v>
          </cell>
          <cell r="K300">
            <v>34429.22</v>
          </cell>
          <cell r="L300" t="str">
            <v>贷</v>
          </cell>
          <cell r="M300">
            <v>232</v>
          </cell>
          <cell r="N300">
            <v>10.16578</v>
          </cell>
          <cell r="O300">
            <v>2358.46</v>
          </cell>
        </row>
        <row r="301">
          <cell r="A301" t="str">
            <v>10</v>
          </cell>
          <cell r="B301" t="str">
            <v>22</v>
          </cell>
          <cell r="C301" t="str">
            <v>记-0050</v>
          </cell>
          <cell r="D301" t="str">
            <v>015</v>
          </cell>
          <cell r="E301" t="str">
            <v>家种去皮丁片</v>
          </cell>
          <cell r="F301" t="str">
            <v>收购产品</v>
          </cell>
          <cell r="G301">
            <v>15.9292</v>
          </cell>
          <cell r="H301">
            <v>576</v>
          </cell>
          <cell r="I301">
            <v>9175.2199999999993</v>
          </cell>
          <cell r="J301">
            <v>0</v>
          </cell>
          <cell r="K301">
            <v>0</v>
          </cell>
          <cell r="L301" t="str">
            <v>借</v>
          </cell>
          <cell r="M301">
            <v>344</v>
          </cell>
          <cell r="N301">
            <v>0</v>
          </cell>
          <cell r="O301">
            <v>6816.76</v>
          </cell>
        </row>
        <row r="302">
          <cell r="A302" t="str">
            <v>10</v>
          </cell>
          <cell r="B302" t="str">
            <v>22</v>
          </cell>
          <cell r="C302" t="str">
            <v>记-0068</v>
          </cell>
          <cell r="D302" t="str">
            <v>015</v>
          </cell>
          <cell r="E302" t="str">
            <v>家种去皮丁片</v>
          </cell>
          <cell r="F302" t="str">
            <v>结转成本</v>
          </cell>
          <cell r="G302">
            <v>18.579999999999998</v>
          </cell>
          <cell r="H302">
            <v>0</v>
          </cell>
          <cell r="I302">
            <v>0</v>
          </cell>
          <cell r="J302">
            <v>504</v>
          </cell>
          <cell r="K302">
            <v>9364.32</v>
          </cell>
          <cell r="L302" t="str">
            <v>贷</v>
          </cell>
          <cell r="M302">
            <v>160</v>
          </cell>
          <cell r="N302">
            <v>0</v>
          </cell>
          <cell r="O302">
            <v>2547.56</v>
          </cell>
        </row>
        <row r="303">
          <cell r="A303" t="str">
            <v>10</v>
          </cell>
          <cell r="F303" t="str">
            <v>本月合计</v>
          </cell>
          <cell r="G303">
            <v>0</v>
          </cell>
          <cell r="H303">
            <v>576</v>
          </cell>
          <cell r="I303">
            <v>9175.2199999999993</v>
          </cell>
          <cell r="J303">
            <v>504</v>
          </cell>
          <cell r="K303">
            <v>9364.32</v>
          </cell>
          <cell r="L303" t="str">
            <v>贷</v>
          </cell>
          <cell r="M303">
            <v>160</v>
          </cell>
          <cell r="N303">
            <v>15.92225</v>
          </cell>
          <cell r="O303">
            <v>2547.56</v>
          </cell>
        </row>
        <row r="304">
          <cell r="A304" t="str">
            <v>10</v>
          </cell>
          <cell r="F304" t="str">
            <v>累    计</v>
          </cell>
          <cell r="G304">
            <v>0</v>
          </cell>
          <cell r="H304">
            <v>2248</v>
          </cell>
          <cell r="I304">
            <v>26930.97</v>
          </cell>
          <cell r="J304">
            <v>3756</v>
          </cell>
          <cell r="K304">
            <v>43793.54</v>
          </cell>
          <cell r="L304" t="str">
            <v>贷</v>
          </cell>
          <cell r="M304">
            <v>160</v>
          </cell>
          <cell r="N304">
            <v>15.92225</v>
          </cell>
          <cell r="O304">
            <v>2547.56</v>
          </cell>
        </row>
        <row r="305">
          <cell r="A305" t="str">
            <v>11</v>
          </cell>
          <cell r="B305" t="str">
            <v>30</v>
          </cell>
          <cell r="C305" t="str">
            <v>记-0039</v>
          </cell>
          <cell r="D305" t="str">
            <v>015</v>
          </cell>
          <cell r="E305" t="str">
            <v>家种去皮丁片</v>
          </cell>
          <cell r="F305" t="str">
            <v>合并名称</v>
          </cell>
          <cell r="G305">
            <v>10.61947</v>
          </cell>
          <cell r="H305">
            <v>76</v>
          </cell>
          <cell r="I305">
            <v>807.08</v>
          </cell>
          <cell r="J305">
            <v>0</v>
          </cell>
          <cell r="K305">
            <v>0</v>
          </cell>
          <cell r="L305" t="str">
            <v>贷</v>
          </cell>
          <cell r="M305">
            <v>84</v>
          </cell>
          <cell r="N305">
            <v>0</v>
          </cell>
          <cell r="O305">
            <v>1740.48</v>
          </cell>
        </row>
        <row r="306">
          <cell r="A306" t="str">
            <v>11</v>
          </cell>
          <cell r="B306" t="str">
            <v>30</v>
          </cell>
          <cell r="C306" t="str">
            <v>记-0040</v>
          </cell>
          <cell r="D306" t="str">
            <v>015</v>
          </cell>
          <cell r="E306" t="str">
            <v>家种去皮丁片</v>
          </cell>
          <cell r="F306" t="str">
            <v>合并名称</v>
          </cell>
          <cell r="G306">
            <v>6.8141400000000001</v>
          </cell>
          <cell r="H306">
            <v>140</v>
          </cell>
          <cell r="I306">
            <v>953.98</v>
          </cell>
          <cell r="J306">
            <v>0</v>
          </cell>
          <cell r="K306">
            <v>0</v>
          </cell>
          <cell r="L306" t="str">
            <v>贷</v>
          </cell>
          <cell r="M306">
            <v>-56</v>
          </cell>
          <cell r="N306">
            <v>0</v>
          </cell>
          <cell r="O306">
            <v>786.5</v>
          </cell>
        </row>
        <row r="307">
          <cell r="A307" t="str">
            <v>11</v>
          </cell>
          <cell r="B307" t="str">
            <v>30</v>
          </cell>
          <cell r="C307" t="str">
            <v>记-0166</v>
          </cell>
          <cell r="D307" t="str">
            <v>015</v>
          </cell>
          <cell r="E307" t="str">
            <v>家种去皮丁片</v>
          </cell>
          <cell r="F307" t="str">
            <v>调整库存</v>
          </cell>
          <cell r="G307">
            <v>14.044639999999999</v>
          </cell>
          <cell r="H307">
            <v>-56</v>
          </cell>
          <cell r="I307">
            <v>786.5</v>
          </cell>
          <cell r="J307">
            <v>0</v>
          </cell>
          <cell r="K307">
            <v>0</v>
          </cell>
          <cell r="L307" t="str">
            <v>平</v>
          </cell>
          <cell r="M307">
            <v>0</v>
          </cell>
          <cell r="N307">
            <v>0</v>
          </cell>
          <cell r="O307">
            <v>0</v>
          </cell>
        </row>
        <row r="308">
          <cell r="A308" t="str">
            <v>11</v>
          </cell>
          <cell r="F308" t="str">
            <v>本月合计</v>
          </cell>
          <cell r="G308">
            <v>0</v>
          </cell>
          <cell r="H308">
            <v>160</v>
          </cell>
          <cell r="I308">
            <v>2547.56</v>
          </cell>
          <cell r="J308">
            <v>0</v>
          </cell>
          <cell r="K308">
            <v>0</v>
          </cell>
          <cell r="L308" t="str">
            <v>平</v>
          </cell>
          <cell r="M308">
            <v>0</v>
          </cell>
          <cell r="N308">
            <v>0</v>
          </cell>
          <cell r="O308">
            <v>0</v>
          </cell>
        </row>
        <row r="309">
          <cell r="A309" t="str">
            <v>11</v>
          </cell>
          <cell r="E309" t="str">
            <v>家种去皮丁片</v>
          </cell>
          <cell r="F309" t="str">
            <v>本年累计</v>
          </cell>
          <cell r="G309">
            <v>0</v>
          </cell>
          <cell r="H309">
            <v>2408</v>
          </cell>
          <cell r="I309">
            <v>29478.53</v>
          </cell>
          <cell r="J309">
            <v>3756</v>
          </cell>
          <cell r="K309">
            <v>43793.54</v>
          </cell>
          <cell r="L309" t="str">
            <v>平</v>
          </cell>
          <cell r="M309">
            <v>0</v>
          </cell>
          <cell r="N309">
            <v>0</v>
          </cell>
          <cell r="O309">
            <v>0</v>
          </cell>
        </row>
        <row r="310">
          <cell r="A310" t="str">
            <v>03</v>
          </cell>
          <cell r="B310" t="str">
            <v>31</v>
          </cell>
          <cell r="C310" t="str">
            <v>记-0042</v>
          </cell>
          <cell r="D310" t="str">
            <v>016</v>
          </cell>
          <cell r="E310" t="str">
            <v>去皮梁外特片</v>
          </cell>
          <cell r="F310" t="str">
            <v>转成本</v>
          </cell>
          <cell r="G310">
            <v>48.67259</v>
          </cell>
          <cell r="H310">
            <v>0</v>
          </cell>
          <cell r="I310">
            <v>0</v>
          </cell>
          <cell r="J310">
            <v>112</v>
          </cell>
          <cell r="K310">
            <v>5451.33</v>
          </cell>
          <cell r="L310" t="str">
            <v>贷</v>
          </cell>
          <cell r="M310">
            <v>112</v>
          </cell>
          <cell r="N310">
            <v>0</v>
          </cell>
          <cell r="O310">
            <v>5451.33</v>
          </cell>
        </row>
        <row r="311">
          <cell r="A311" t="str">
            <v>03</v>
          </cell>
          <cell r="B311" t="str">
            <v>31</v>
          </cell>
          <cell r="C311" t="str">
            <v>记-0042</v>
          </cell>
          <cell r="D311" t="str">
            <v>016</v>
          </cell>
          <cell r="E311" t="str">
            <v>去皮梁外特片</v>
          </cell>
          <cell r="F311" t="str">
            <v>转成本</v>
          </cell>
          <cell r="G311">
            <v>57.683030000000002</v>
          </cell>
          <cell r="H311">
            <v>0</v>
          </cell>
          <cell r="I311">
            <v>0</v>
          </cell>
          <cell r="J311">
            <v>99</v>
          </cell>
          <cell r="K311">
            <v>5710.62</v>
          </cell>
          <cell r="L311" t="str">
            <v>贷</v>
          </cell>
          <cell r="M311">
            <v>211</v>
          </cell>
          <cell r="N311">
            <v>0</v>
          </cell>
          <cell r="O311">
            <v>11161.95</v>
          </cell>
        </row>
        <row r="312">
          <cell r="A312" t="str">
            <v>03</v>
          </cell>
          <cell r="F312" t="str">
            <v>本月合计</v>
          </cell>
          <cell r="G312">
            <v>0</v>
          </cell>
          <cell r="H312">
            <v>0</v>
          </cell>
          <cell r="I312">
            <v>0</v>
          </cell>
          <cell r="J312">
            <v>211</v>
          </cell>
          <cell r="K312">
            <v>11161.95</v>
          </cell>
          <cell r="L312" t="str">
            <v>贷</v>
          </cell>
          <cell r="M312">
            <v>211</v>
          </cell>
          <cell r="N312">
            <v>52.900239999999997</v>
          </cell>
          <cell r="O312">
            <v>11161.95</v>
          </cell>
        </row>
        <row r="313">
          <cell r="A313" t="str">
            <v>03</v>
          </cell>
          <cell r="F313" t="str">
            <v>累    计</v>
          </cell>
          <cell r="G313">
            <v>0</v>
          </cell>
          <cell r="H313">
            <v>0</v>
          </cell>
          <cell r="I313">
            <v>0</v>
          </cell>
          <cell r="J313">
            <v>211</v>
          </cell>
          <cell r="K313">
            <v>11161.95</v>
          </cell>
          <cell r="L313" t="str">
            <v>贷</v>
          </cell>
          <cell r="M313">
            <v>211</v>
          </cell>
          <cell r="N313">
            <v>52.900239999999997</v>
          </cell>
          <cell r="O313">
            <v>11161.95</v>
          </cell>
        </row>
        <row r="314">
          <cell r="A314" t="str">
            <v>04</v>
          </cell>
          <cell r="B314" t="str">
            <v>30</v>
          </cell>
          <cell r="C314" t="str">
            <v>记-0051</v>
          </cell>
          <cell r="D314" t="str">
            <v>016</v>
          </cell>
          <cell r="E314" t="str">
            <v>去皮梁外特片</v>
          </cell>
          <cell r="F314" t="str">
            <v>转成本</v>
          </cell>
          <cell r="G314">
            <v>61.95</v>
          </cell>
          <cell r="H314">
            <v>0</v>
          </cell>
          <cell r="I314">
            <v>0</v>
          </cell>
          <cell r="J314">
            <v>60</v>
          </cell>
          <cell r="K314">
            <v>3717</v>
          </cell>
          <cell r="L314" t="str">
            <v>贷</v>
          </cell>
          <cell r="M314">
            <v>271</v>
          </cell>
          <cell r="N314">
            <v>0</v>
          </cell>
          <cell r="O314">
            <v>14878.95</v>
          </cell>
        </row>
        <row r="315">
          <cell r="A315" t="str">
            <v>04</v>
          </cell>
          <cell r="B315" t="str">
            <v>30</v>
          </cell>
          <cell r="C315" t="str">
            <v>记-0051</v>
          </cell>
          <cell r="D315" t="str">
            <v>016</v>
          </cell>
          <cell r="E315" t="str">
            <v>去皮梁外特片</v>
          </cell>
          <cell r="F315" t="str">
            <v>转成本</v>
          </cell>
          <cell r="G315">
            <v>61.95</v>
          </cell>
          <cell r="H315">
            <v>0</v>
          </cell>
          <cell r="I315">
            <v>0</v>
          </cell>
          <cell r="J315">
            <v>60</v>
          </cell>
          <cell r="K315">
            <v>3717</v>
          </cell>
          <cell r="L315" t="str">
            <v>贷</v>
          </cell>
          <cell r="M315">
            <v>331</v>
          </cell>
          <cell r="N315">
            <v>0</v>
          </cell>
          <cell r="O315">
            <v>18595.95</v>
          </cell>
        </row>
        <row r="316">
          <cell r="A316" t="str">
            <v>04</v>
          </cell>
          <cell r="F316" t="str">
            <v>本月合计</v>
          </cell>
          <cell r="G316">
            <v>0</v>
          </cell>
          <cell r="H316">
            <v>0</v>
          </cell>
          <cell r="I316">
            <v>0</v>
          </cell>
          <cell r="J316">
            <v>120</v>
          </cell>
          <cell r="K316">
            <v>7434</v>
          </cell>
          <cell r="L316" t="str">
            <v>贷</v>
          </cell>
          <cell r="M316">
            <v>331</v>
          </cell>
          <cell r="N316">
            <v>56.18112</v>
          </cell>
          <cell r="O316">
            <v>18595.95</v>
          </cell>
        </row>
        <row r="317">
          <cell r="A317" t="str">
            <v>04</v>
          </cell>
          <cell r="F317" t="str">
            <v>累    计</v>
          </cell>
          <cell r="G317">
            <v>0</v>
          </cell>
          <cell r="H317">
            <v>0</v>
          </cell>
          <cell r="I317">
            <v>0</v>
          </cell>
          <cell r="J317">
            <v>331</v>
          </cell>
          <cell r="K317">
            <v>18595.95</v>
          </cell>
          <cell r="L317" t="str">
            <v>贷</v>
          </cell>
          <cell r="M317">
            <v>331</v>
          </cell>
          <cell r="N317">
            <v>56.18112</v>
          </cell>
          <cell r="O317">
            <v>18595.95</v>
          </cell>
        </row>
        <row r="318">
          <cell r="A318" t="str">
            <v>11</v>
          </cell>
          <cell r="B318" t="str">
            <v>30</v>
          </cell>
          <cell r="C318" t="str">
            <v>记-0106</v>
          </cell>
          <cell r="D318" t="str">
            <v>016</v>
          </cell>
          <cell r="E318" t="str">
            <v>去皮梁外特片</v>
          </cell>
          <cell r="F318" t="str">
            <v>合并名称</v>
          </cell>
          <cell r="G318">
            <v>56.18112</v>
          </cell>
          <cell r="H318">
            <v>0</v>
          </cell>
          <cell r="I318">
            <v>0</v>
          </cell>
          <cell r="J318">
            <v>-331</v>
          </cell>
          <cell r="K318">
            <v>-18595.95</v>
          </cell>
          <cell r="L318" t="str">
            <v>平</v>
          </cell>
          <cell r="M318">
            <v>0</v>
          </cell>
          <cell r="N318">
            <v>0</v>
          </cell>
          <cell r="O318">
            <v>0</v>
          </cell>
        </row>
        <row r="319">
          <cell r="A319" t="str">
            <v>11</v>
          </cell>
          <cell r="F319" t="str">
            <v>本月合计</v>
          </cell>
          <cell r="G319">
            <v>0</v>
          </cell>
          <cell r="H319">
            <v>0</v>
          </cell>
          <cell r="I319">
            <v>0</v>
          </cell>
          <cell r="J319">
            <v>-331</v>
          </cell>
          <cell r="K319">
            <v>-18595.95</v>
          </cell>
          <cell r="L319" t="str">
            <v>平</v>
          </cell>
          <cell r="M319">
            <v>0</v>
          </cell>
          <cell r="N319">
            <v>0</v>
          </cell>
          <cell r="O319">
            <v>0</v>
          </cell>
        </row>
        <row r="320">
          <cell r="A320" t="str">
            <v>11</v>
          </cell>
          <cell r="E320" t="str">
            <v>去皮梁外特片</v>
          </cell>
          <cell r="F320" t="str">
            <v>本年累计</v>
          </cell>
          <cell r="G320">
            <v>0</v>
          </cell>
          <cell r="H320">
            <v>0</v>
          </cell>
          <cell r="I320">
            <v>0</v>
          </cell>
          <cell r="J320">
            <v>0</v>
          </cell>
          <cell r="K320">
            <v>0</v>
          </cell>
          <cell r="L320" t="str">
            <v>平</v>
          </cell>
          <cell r="M320">
            <v>0</v>
          </cell>
          <cell r="N320">
            <v>0</v>
          </cell>
          <cell r="O320">
            <v>0</v>
          </cell>
        </row>
        <row r="321">
          <cell r="D321" t="str">
            <v>017</v>
          </cell>
          <cell r="E321" t="str">
            <v>梁外甘草特</v>
          </cell>
          <cell r="F321" t="str">
            <v>上年结转</v>
          </cell>
          <cell r="G321">
            <v>0</v>
          </cell>
          <cell r="H321">
            <v>0</v>
          </cell>
          <cell r="I321">
            <v>0</v>
          </cell>
          <cell r="J321">
            <v>0</v>
          </cell>
          <cell r="K321">
            <v>0</v>
          </cell>
          <cell r="L321" t="str">
            <v>借</v>
          </cell>
          <cell r="M321">
            <v>3206.8</v>
          </cell>
          <cell r="N321">
            <v>59.232120000000002</v>
          </cell>
          <cell r="O321">
            <v>189945.56</v>
          </cell>
        </row>
        <row r="322">
          <cell r="A322" t="str">
            <v>02</v>
          </cell>
          <cell r="B322" t="str">
            <v>28</v>
          </cell>
          <cell r="C322" t="str">
            <v>记-0057</v>
          </cell>
          <cell r="D322" t="str">
            <v>017</v>
          </cell>
          <cell r="E322" t="str">
            <v>梁外甘草特</v>
          </cell>
          <cell r="F322" t="str">
            <v>销售商品</v>
          </cell>
          <cell r="G322">
            <v>59.232120000000002</v>
          </cell>
          <cell r="H322">
            <v>0</v>
          </cell>
          <cell r="I322">
            <v>0</v>
          </cell>
          <cell r="J322">
            <v>231</v>
          </cell>
          <cell r="K322">
            <v>13682.62</v>
          </cell>
          <cell r="L322" t="str">
            <v>借</v>
          </cell>
          <cell r="M322">
            <v>2975.8</v>
          </cell>
          <cell r="N322">
            <v>0</v>
          </cell>
          <cell r="O322">
            <v>176262.94</v>
          </cell>
        </row>
        <row r="323">
          <cell r="A323" t="str">
            <v>02</v>
          </cell>
          <cell r="F323" t="str">
            <v>本月合计</v>
          </cell>
          <cell r="G323">
            <v>0</v>
          </cell>
          <cell r="H323">
            <v>0</v>
          </cell>
          <cell r="I323">
            <v>0</v>
          </cell>
          <cell r="J323">
            <v>231</v>
          </cell>
          <cell r="K323">
            <v>13682.62</v>
          </cell>
          <cell r="L323" t="str">
            <v>借</v>
          </cell>
          <cell r="M323">
            <v>2975.8</v>
          </cell>
          <cell r="N323">
            <v>59.232120000000002</v>
          </cell>
          <cell r="O323">
            <v>176262.94</v>
          </cell>
        </row>
        <row r="324">
          <cell r="A324" t="str">
            <v>02</v>
          </cell>
          <cell r="F324" t="str">
            <v>累    计</v>
          </cell>
          <cell r="G324">
            <v>0</v>
          </cell>
          <cell r="H324">
            <v>0</v>
          </cell>
          <cell r="I324">
            <v>0</v>
          </cell>
          <cell r="J324">
            <v>231</v>
          </cell>
          <cell r="K324">
            <v>13682.62</v>
          </cell>
          <cell r="L324" t="str">
            <v>借</v>
          </cell>
          <cell r="M324">
            <v>2975.8</v>
          </cell>
          <cell r="N324">
            <v>59.232120000000002</v>
          </cell>
          <cell r="O324">
            <v>176262.94</v>
          </cell>
        </row>
        <row r="325">
          <cell r="A325" t="str">
            <v>07</v>
          </cell>
          <cell r="B325" t="str">
            <v>22</v>
          </cell>
          <cell r="C325" t="str">
            <v>记-0068</v>
          </cell>
          <cell r="D325" t="str">
            <v>017</v>
          </cell>
          <cell r="E325" t="str">
            <v>梁外甘草特</v>
          </cell>
          <cell r="F325" t="str">
            <v>结转成本</v>
          </cell>
          <cell r="G325">
            <v>30.09</v>
          </cell>
          <cell r="H325">
            <v>0</v>
          </cell>
          <cell r="I325">
            <v>0</v>
          </cell>
          <cell r="J325">
            <v>2655</v>
          </cell>
          <cell r="K325">
            <v>79888.95</v>
          </cell>
          <cell r="L325" t="str">
            <v>借</v>
          </cell>
          <cell r="M325">
            <v>320.8</v>
          </cell>
          <cell r="N325">
            <v>0</v>
          </cell>
          <cell r="O325">
            <v>96373.99</v>
          </cell>
        </row>
        <row r="326">
          <cell r="A326" t="str">
            <v>07</v>
          </cell>
          <cell r="F326" t="str">
            <v>本月合计</v>
          </cell>
          <cell r="G326">
            <v>0</v>
          </cell>
          <cell r="H326">
            <v>0</v>
          </cell>
          <cell r="I326">
            <v>0</v>
          </cell>
          <cell r="J326">
            <v>2655</v>
          </cell>
          <cell r="K326">
            <v>79888.95</v>
          </cell>
          <cell r="L326" t="str">
            <v>借</v>
          </cell>
          <cell r="M326">
            <v>320.8</v>
          </cell>
          <cell r="N326">
            <v>300.41766999999999</v>
          </cell>
          <cell r="O326">
            <v>96373.99</v>
          </cell>
        </row>
        <row r="327">
          <cell r="A327" t="str">
            <v>07</v>
          </cell>
          <cell r="F327" t="str">
            <v>累    计</v>
          </cell>
          <cell r="G327">
            <v>0</v>
          </cell>
          <cell r="H327">
            <v>0</v>
          </cell>
          <cell r="I327">
            <v>0</v>
          </cell>
          <cell r="J327">
            <v>2886</v>
          </cell>
          <cell r="K327">
            <v>93571.57</v>
          </cell>
          <cell r="L327" t="str">
            <v>借</v>
          </cell>
          <cell r="M327">
            <v>320.8</v>
          </cell>
          <cell r="N327">
            <v>300.41766999999999</v>
          </cell>
          <cell r="O327">
            <v>96373.99</v>
          </cell>
        </row>
        <row r="328">
          <cell r="A328" t="str">
            <v>09</v>
          </cell>
          <cell r="B328" t="str">
            <v>22</v>
          </cell>
          <cell r="C328" t="str">
            <v>记-0040</v>
          </cell>
          <cell r="D328" t="str">
            <v>017</v>
          </cell>
          <cell r="E328" t="str">
            <v>梁外甘草特</v>
          </cell>
          <cell r="F328" t="str">
            <v>结转成本</v>
          </cell>
          <cell r="G328">
            <v>33.620019999999997</v>
          </cell>
          <cell r="H328">
            <v>0</v>
          </cell>
          <cell r="I328">
            <v>0</v>
          </cell>
          <cell r="J328">
            <v>99.4</v>
          </cell>
          <cell r="K328">
            <v>3341.83</v>
          </cell>
          <cell r="L328" t="str">
            <v>借</v>
          </cell>
          <cell r="M328">
            <v>221.4</v>
          </cell>
          <cell r="N328">
            <v>0</v>
          </cell>
          <cell r="O328">
            <v>93032.16</v>
          </cell>
        </row>
        <row r="329">
          <cell r="A329" t="str">
            <v>09</v>
          </cell>
          <cell r="F329" t="str">
            <v>本月合计</v>
          </cell>
          <cell r="G329">
            <v>0</v>
          </cell>
          <cell r="H329">
            <v>0</v>
          </cell>
          <cell r="I329">
            <v>0</v>
          </cell>
          <cell r="J329">
            <v>99.4</v>
          </cell>
          <cell r="K329">
            <v>3341.83</v>
          </cell>
          <cell r="L329" t="str">
            <v>借</v>
          </cell>
          <cell r="M329">
            <v>221.4</v>
          </cell>
          <cell r="N329">
            <v>420.19945999999999</v>
          </cell>
          <cell r="O329">
            <v>93032.16</v>
          </cell>
        </row>
        <row r="330">
          <cell r="A330" t="str">
            <v>09</v>
          </cell>
          <cell r="F330" t="str">
            <v>累    计</v>
          </cell>
          <cell r="G330">
            <v>0</v>
          </cell>
          <cell r="H330">
            <v>0</v>
          </cell>
          <cell r="I330">
            <v>0</v>
          </cell>
          <cell r="J330">
            <v>2985.4</v>
          </cell>
          <cell r="K330">
            <v>96913.4</v>
          </cell>
          <cell r="L330" t="str">
            <v>借</v>
          </cell>
          <cell r="M330">
            <v>221.4</v>
          </cell>
          <cell r="N330">
            <v>420.19945999999999</v>
          </cell>
          <cell r="O330">
            <v>93032.16</v>
          </cell>
        </row>
        <row r="331">
          <cell r="A331" t="str">
            <v>10</v>
          </cell>
          <cell r="B331" t="str">
            <v>22</v>
          </cell>
          <cell r="C331" t="str">
            <v>记-0050</v>
          </cell>
          <cell r="D331" t="str">
            <v>017</v>
          </cell>
          <cell r="E331" t="str">
            <v>梁外甘草特</v>
          </cell>
          <cell r="F331" t="str">
            <v>收购产品</v>
          </cell>
          <cell r="G331">
            <v>29.20354</v>
          </cell>
          <cell r="H331">
            <v>3107</v>
          </cell>
          <cell r="I331">
            <v>90735.4</v>
          </cell>
          <cell r="J331">
            <v>0</v>
          </cell>
          <cell r="K331">
            <v>0</v>
          </cell>
          <cell r="L331" t="str">
            <v>借</v>
          </cell>
          <cell r="M331">
            <v>3328.4</v>
          </cell>
          <cell r="N331">
            <v>0</v>
          </cell>
          <cell r="O331">
            <v>183767.56</v>
          </cell>
        </row>
        <row r="332">
          <cell r="A332" t="str">
            <v>10</v>
          </cell>
          <cell r="B332" t="str">
            <v>22</v>
          </cell>
          <cell r="C332" t="str">
            <v>记-0068</v>
          </cell>
          <cell r="D332" t="str">
            <v>017</v>
          </cell>
          <cell r="E332" t="str">
            <v>梁外甘草特</v>
          </cell>
          <cell r="F332" t="str">
            <v>结转成本</v>
          </cell>
          <cell r="G332">
            <v>22.48001</v>
          </cell>
          <cell r="H332">
            <v>0</v>
          </cell>
          <cell r="I332">
            <v>0</v>
          </cell>
          <cell r="J332">
            <v>287.60000000000002</v>
          </cell>
          <cell r="K332">
            <v>6465.25</v>
          </cell>
          <cell r="L332" t="str">
            <v>借</v>
          </cell>
          <cell r="M332">
            <v>3040.8</v>
          </cell>
          <cell r="N332">
            <v>0</v>
          </cell>
          <cell r="O332">
            <v>177302.31</v>
          </cell>
        </row>
        <row r="333">
          <cell r="A333" t="str">
            <v>10</v>
          </cell>
          <cell r="F333" t="str">
            <v>本月合计</v>
          </cell>
          <cell r="G333">
            <v>0</v>
          </cell>
          <cell r="H333">
            <v>3107</v>
          </cell>
          <cell r="I333">
            <v>90735.4</v>
          </cell>
          <cell r="J333">
            <v>287.60000000000002</v>
          </cell>
          <cell r="K333">
            <v>6465.25</v>
          </cell>
          <cell r="L333" t="str">
            <v>借</v>
          </cell>
          <cell r="M333">
            <v>3040.8</v>
          </cell>
          <cell r="N333">
            <v>58.307780000000001</v>
          </cell>
          <cell r="O333">
            <v>177302.31</v>
          </cell>
        </row>
        <row r="334">
          <cell r="A334" t="str">
            <v>10</v>
          </cell>
          <cell r="F334" t="str">
            <v>累    计</v>
          </cell>
          <cell r="G334">
            <v>0</v>
          </cell>
          <cell r="H334">
            <v>3107</v>
          </cell>
          <cell r="I334">
            <v>90735.4</v>
          </cell>
          <cell r="J334">
            <v>3273</v>
          </cell>
          <cell r="K334">
            <v>103378.65</v>
          </cell>
          <cell r="L334" t="str">
            <v>借</v>
          </cell>
          <cell r="M334">
            <v>3040.8</v>
          </cell>
          <cell r="N334">
            <v>58.307780000000001</v>
          </cell>
          <cell r="O334">
            <v>177302.31</v>
          </cell>
        </row>
        <row r="335">
          <cell r="A335" t="str">
            <v>11</v>
          </cell>
          <cell r="B335" t="str">
            <v>30</v>
          </cell>
          <cell r="C335" t="str">
            <v>记-0095</v>
          </cell>
          <cell r="D335" t="str">
            <v>017</v>
          </cell>
          <cell r="E335" t="str">
            <v>梁外甘草特</v>
          </cell>
          <cell r="F335" t="str">
            <v>调整9月40.10</v>
          </cell>
          <cell r="G335">
            <v>25.341290000000001</v>
          </cell>
          <cell r="H335">
            <v>0</v>
          </cell>
          <cell r="I335">
            <v>0</v>
          </cell>
          <cell r="J335">
            <v>-387</v>
          </cell>
          <cell r="K335">
            <v>-9807.08</v>
          </cell>
          <cell r="L335" t="str">
            <v>借</v>
          </cell>
          <cell r="M335">
            <v>3427.8</v>
          </cell>
          <cell r="N335">
            <v>0</v>
          </cell>
          <cell r="O335">
            <v>187109.39</v>
          </cell>
        </row>
        <row r="336">
          <cell r="A336" t="str">
            <v>11</v>
          </cell>
          <cell r="B336" t="str">
            <v>30</v>
          </cell>
          <cell r="C336" t="str">
            <v>记-0098</v>
          </cell>
          <cell r="D336" t="str">
            <v>017</v>
          </cell>
          <cell r="E336" t="str">
            <v>梁外甘草特</v>
          </cell>
          <cell r="F336" t="str">
            <v>调整2月28号凭</v>
          </cell>
          <cell r="G336">
            <v>59.232120000000002</v>
          </cell>
          <cell r="H336">
            <v>0</v>
          </cell>
          <cell r="I336">
            <v>0</v>
          </cell>
          <cell r="J336">
            <v>-231</v>
          </cell>
          <cell r="K336">
            <v>-13682.62</v>
          </cell>
          <cell r="L336" t="str">
            <v>借</v>
          </cell>
          <cell r="M336">
            <v>3658.8</v>
          </cell>
          <cell r="N336">
            <v>0</v>
          </cell>
          <cell r="O336">
            <v>200792.01</v>
          </cell>
        </row>
        <row r="337">
          <cell r="A337" t="str">
            <v>11</v>
          </cell>
          <cell r="B337" t="str">
            <v>30</v>
          </cell>
          <cell r="C337" t="str">
            <v>记-0099</v>
          </cell>
          <cell r="D337" t="str">
            <v>017</v>
          </cell>
          <cell r="E337" t="str">
            <v>梁外甘草特</v>
          </cell>
          <cell r="F337" t="str">
            <v>调整7月58号凭</v>
          </cell>
          <cell r="G337">
            <v>30.09</v>
          </cell>
          <cell r="H337">
            <v>0</v>
          </cell>
          <cell r="I337">
            <v>0</v>
          </cell>
          <cell r="J337">
            <v>-2655</v>
          </cell>
          <cell r="K337">
            <v>-79888.95</v>
          </cell>
          <cell r="L337" t="str">
            <v>借</v>
          </cell>
          <cell r="M337">
            <v>6313.8</v>
          </cell>
          <cell r="N337">
            <v>0</v>
          </cell>
          <cell r="O337">
            <v>280680.96000000002</v>
          </cell>
        </row>
        <row r="338">
          <cell r="A338" t="str">
            <v>11</v>
          </cell>
          <cell r="B338" t="str">
            <v>30</v>
          </cell>
          <cell r="C338" t="str">
            <v>记-0100</v>
          </cell>
          <cell r="D338" t="str">
            <v>017</v>
          </cell>
          <cell r="E338" t="str">
            <v>梁外甘草特</v>
          </cell>
          <cell r="F338" t="str">
            <v>调整</v>
          </cell>
          <cell r="G338">
            <v>59.232120000000002</v>
          </cell>
          <cell r="H338">
            <v>-3206.8</v>
          </cell>
          <cell r="I338">
            <v>-189945.56</v>
          </cell>
          <cell r="J338">
            <v>0</v>
          </cell>
          <cell r="K338">
            <v>0</v>
          </cell>
          <cell r="L338" t="str">
            <v>借</v>
          </cell>
          <cell r="M338">
            <v>3107</v>
          </cell>
          <cell r="N338">
            <v>0</v>
          </cell>
          <cell r="O338">
            <v>90735.4</v>
          </cell>
        </row>
        <row r="339">
          <cell r="A339" t="str">
            <v>11</v>
          </cell>
          <cell r="B339" t="str">
            <v>30</v>
          </cell>
          <cell r="C339" t="str">
            <v>记-0104</v>
          </cell>
          <cell r="D339" t="str">
            <v>017</v>
          </cell>
          <cell r="E339" t="str">
            <v>梁外甘草特</v>
          </cell>
          <cell r="F339" t="str">
            <v>调整10月50号</v>
          </cell>
          <cell r="G339">
            <v>0</v>
          </cell>
          <cell r="H339">
            <v>0</v>
          </cell>
          <cell r="I339">
            <v>-90735.4</v>
          </cell>
          <cell r="J339">
            <v>0</v>
          </cell>
          <cell r="K339">
            <v>0</v>
          </cell>
          <cell r="L339" t="str">
            <v>平</v>
          </cell>
          <cell r="M339">
            <v>3107</v>
          </cell>
          <cell r="N339">
            <v>0</v>
          </cell>
          <cell r="O339">
            <v>0</v>
          </cell>
        </row>
        <row r="340">
          <cell r="A340" t="str">
            <v>11</v>
          </cell>
          <cell r="F340" t="str">
            <v>本月合计</v>
          </cell>
          <cell r="G340">
            <v>0</v>
          </cell>
          <cell r="H340">
            <v>-3206.8</v>
          </cell>
          <cell r="I340">
            <v>-280680.96000000002</v>
          </cell>
          <cell r="J340">
            <v>-3273</v>
          </cell>
          <cell r="K340">
            <v>-103378.65</v>
          </cell>
          <cell r="L340" t="str">
            <v>平</v>
          </cell>
          <cell r="M340">
            <v>3107</v>
          </cell>
          <cell r="N340">
            <v>0</v>
          </cell>
          <cell r="O340">
            <v>0</v>
          </cell>
        </row>
        <row r="341">
          <cell r="A341" t="str">
            <v>11</v>
          </cell>
          <cell r="F341" t="str">
            <v>累    计</v>
          </cell>
          <cell r="G341">
            <v>0</v>
          </cell>
          <cell r="H341">
            <v>-99.8</v>
          </cell>
          <cell r="I341">
            <v>-189945.56</v>
          </cell>
          <cell r="J341">
            <v>0</v>
          </cell>
          <cell r="K341">
            <v>0</v>
          </cell>
          <cell r="L341" t="str">
            <v>平</v>
          </cell>
          <cell r="M341">
            <v>3107</v>
          </cell>
          <cell r="N341">
            <v>0</v>
          </cell>
          <cell r="O341">
            <v>0</v>
          </cell>
        </row>
        <row r="342">
          <cell r="A342" t="str">
            <v>12</v>
          </cell>
          <cell r="B342" t="str">
            <v>11</v>
          </cell>
          <cell r="C342" t="str">
            <v>记-0006</v>
          </cell>
          <cell r="D342" t="str">
            <v>017</v>
          </cell>
          <cell r="E342" t="str">
            <v>梁外甘草特</v>
          </cell>
          <cell r="F342" t="str">
            <v>调整11月104号</v>
          </cell>
          <cell r="G342">
            <v>0</v>
          </cell>
          <cell r="H342">
            <v>0</v>
          </cell>
          <cell r="I342">
            <v>90735.4</v>
          </cell>
          <cell r="J342">
            <v>0</v>
          </cell>
          <cell r="K342">
            <v>0</v>
          </cell>
          <cell r="L342" t="str">
            <v>借</v>
          </cell>
          <cell r="M342">
            <v>3107</v>
          </cell>
          <cell r="N342">
            <v>0</v>
          </cell>
          <cell r="O342">
            <v>90735.4</v>
          </cell>
        </row>
        <row r="343">
          <cell r="A343" t="str">
            <v>12</v>
          </cell>
          <cell r="B343" t="str">
            <v>11</v>
          </cell>
          <cell r="C343" t="str">
            <v>记-0006</v>
          </cell>
          <cell r="D343" t="str">
            <v>017</v>
          </cell>
          <cell r="E343" t="str">
            <v>梁外甘草特</v>
          </cell>
          <cell r="F343" t="str">
            <v>更正</v>
          </cell>
          <cell r="G343">
            <v>0</v>
          </cell>
          <cell r="H343">
            <v>0</v>
          </cell>
          <cell r="I343">
            <v>-90735.4</v>
          </cell>
          <cell r="J343">
            <v>0</v>
          </cell>
          <cell r="K343">
            <v>0</v>
          </cell>
          <cell r="L343" t="str">
            <v>平</v>
          </cell>
          <cell r="M343">
            <v>3107</v>
          </cell>
          <cell r="N343">
            <v>0</v>
          </cell>
          <cell r="O343">
            <v>0</v>
          </cell>
        </row>
        <row r="344">
          <cell r="A344" t="str">
            <v>12</v>
          </cell>
          <cell r="F344" t="str">
            <v>本月合计</v>
          </cell>
          <cell r="G344">
            <v>0</v>
          </cell>
          <cell r="H344">
            <v>0</v>
          </cell>
          <cell r="I344">
            <v>0</v>
          </cell>
          <cell r="J344">
            <v>0</v>
          </cell>
          <cell r="K344">
            <v>0</v>
          </cell>
          <cell r="L344" t="str">
            <v>平</v>
          </cell>
          <cell r="M344">
            <v>3107</v>
          </cell>
          <cell r="N344">
            <v>0</v>
          </cell>
          <cell r="O344">
            <v>0</v>
          </cell>
        </row>
        <row r="345">
          <cell r="A345" t="str">
            <v>12</v>
          </cell>
          <cell r="E345" t="str">
            <v>梁外甘草特</v>
          </cell>
          <cell r="F345" t="str">
            <v>本年累计</v>
          </cell>
          <cell r="G345">
            <v>0</v>
          </cell>
          <cell r="H345">
            <v>-99.8</v>
          </cell>
          <cell r="I345">
            <v>-189945.56</v>
          </cell>
          <cell r="J345">
            <v>0</v>
          </cell>
          <cell r="K345">
            <v>0</v>
          </cell>
          <cell r="L345" t="str">
            <v>平</v>
          </cell>
          <cell r="M345">
            <v>3107</v>
          </cell>
          <cell r="N345">
            <v>0</v>
          </cell>
          <cell r="O345">
            <v>0</v>
          </cell>
        </row>
        <row r="346">
          <cell r="D346" t="str">
            <v>018</v>
          </cell>
          <cell r="E346" t="str">
            <v>梁外甘草甲片</v>
          </cell>
          <cell r="F346" t="str">
            <v>上年结转</v>
          </cell>
          <cell r="G346">
            <v>0</v>
          </cell>
          <cell r="H346">
            <v>0</v>
          </cell>
          <cell r="I346">
            <v>0</v>
          </cell>
          <cell r="J346">
            <v>0</v>
          </cell>
          <cell r="K346">
            <v>0</v>
          </cell>
          <cell r="L346" t="str">
            <v>借</v>
          </cell>
          <cell r="M346">
            <v>3535.7</v>
          </cell>
          <cell r="N346">
            <v>48.672370000000001</v>
          </cell>
          <cell r="O346">
            <v>172090.91</v>
          </cell>
        </row>
        <row r="347">
          <cell r="A347" t="str">
            <v>07</v>
          </cell>
          <cell r="B347" t="str">
            <v>22</v>
          </cell>
          <cell r="C347" t="str">
            <v>记-0062</v>
          </cell>
          <cell r="D347" t="str">
            <v>018</v>
          </cell>
          <cell r="E347" t="str">
            <v>梁外甘草甲片</v>
          </cell>
          <cell r="F347" t="str">
            <v>结转成本</v>
          </cell>
          <cell r="G347">
            <v>48.672400000000003</v>
          </cell>
          <cell r="H347">
            <v>0</v>
          </cell>
          <cell r="I347">
            <v>0</v>
          </cell>
          <cell r="J347">
            <v>50</v>
          </cell>
          <cell r="K347">
            <v>2433.62</v>
          </cell>
          <cell r="L347" t="str">
            <v>借</v>
          </cell>
          <cell r="M347">
            <v>3485.7</v>
          </cell>
          <cell r="N347">
            <v>0</v>
          </cell>
          <cell r="O347">
            <v>169657.29</v>
          </cell>
        </row>
        <row r="348">
          <cell r="A348" t="str">
            <v>07</v>
          </cell>
          <cell r="F348" t="str">
            <v>本月合计</v>
          </cell>
          <cell r="G348">
            <v>0</v>
          </cell>
          <cell r="H348">
            <v>0</v>
          </cell>
          <cell r="I348">
            <v>0</v>
          </cell>
          <cell r="J348">
            <v>50</v>
          </cell>
          <cell r="K348">
            <v>2433.62</v>
          </cell>
          <cell r="L348" t="str">
            <v>借</v>
          </cell>
          <cell r="M348">
            <v>3485.7</v>
          </cell>
          <cell r="N348">
            <v>48.672370000000001</v>
          </cell>
          <cell r="O348">
            <v>169657.29</v>
          </cell>
        </row>
        <row r="349">
          <cell r="A349" t="str">
            <v>07</v>
          </cell>
          <cell r="F349" t="str">
            <v>累    计</v>
          </cell>
          <cell r="G349">
            <v>0</v>
          </cell>
          <cell r="H349">
            <v>0</v>
          </cell>
          <cell r="I349">
            <v>0</v>
          </cell>
          <cell r="J349">
            <v>50</v>
          </cell>
          <cell r="K349">
            <v>2433.62</v>
          </cell>
          <cell r="L349" t="str">
            <v>借</v>
          </cell>
          <cell r="M349">
            <v>3485.7</v>
          </cell>
          <cell r="N349">
            <v>48.672370000000001</v>
          </cell>
          <cell r="O349">
            <v>169657.29</v>
          </cell>
        </row>
        <row r="350">
          <cell r="A350" t="str">
            <v>11</v>
          </cell>
          <cell r="B350" t="str">
            <v>30</v>
          </cell>
          <cell r="C350" t="str">
            <v>记-0112</v>
          </cell>
          <cell r="D350" t="str">
            <v>018</v>
          </cell>
          <cell r="E350" t="str">
            <v>梁外甘草甲片</v>
          </cell>
          <cell r="F350" t="str">
            <v>合并名称</v>
          </cell>
          <cell r="G350">
            <v>48.672370000000001</v>
          </cell>
          <cell r="H350">
            <v>-3485.7</v>
          </cell>
          <cell r="I350">
            <v>-169657.29</v>
          </cell>
          <cell r="J350">
            <v>0</v>
          </cell>
          <cell r="K350">
            <v>0</v>
          </cell>
          <cell r="L350" t="str">
            <v>平</v>
          </cell>
          <cell r="M350">
            <v>0</v>
          </cell>
          <cell r="N350">
            <v>0</v>
          </cell>
          <cell r="O350">
            <v>0</v>
          </cell>
        </row>
        <row r="351">
          <cell r="A351" t="str">
            <v>11</v>
          </cell>
          <cell r="F351" t="str">
            <v>本月合计</v>
          </cell>
          <cell r="G351">
            <v>0</v>
          </cell>
          <cell r="H351">
            <v>-3485.7</v>
          </cell>
          <cell r="I351">
            <v>-169657.29</v>
          </cell>
          <cell r="J351">
            <v>0</v>
          </cell>
          <cell r="K351">
            <v>0</v>
          </cell>
          <cell r="L351" t="str">
            <v>平</v>
          </cell>
          <cell r="M351">
            <v>0</v>
          </cell>
          <cell r="N351">
            <v>0</v>
          </cell>
          <cell r="O351">
            <v>0</v>
          </cell>
        </row>
        <row r="352">
          <cell r="A352" t="str">
            <v>11</v>
          </cell>
          <cell r="E352" t="str">
            <v>梁外甘草甲片</v>
          </cell>
          <cell r="F352" t="str">
            <v>本年累计</v>
          </cell>
          <cell r="G352">
            <v>0</v>
          </cell>
          <cell r="H352">
            <v>-3485.7</v>
          </cell>
          <cell r="I352">
            <v>-169657.29</v>
          </cell>
          <cell r="J352">
            <v>50</v>
          </cell>
          <cell r="K352">
            <v>2433.62</v>
          </cell>
          <cell r="L352" t="str">
            <v>平</v>
          </cell>
          <cell r="M352">
            <v>0</v>
          </cell>
          <cell r="N352">
            <v>0</v>
          </cell>
          <cell r="O352">
            <v>0</v>
          </cell>
        </row>
        <row r="353">
          <cell r="A353" t="str">
            <v>03</v>
          </cell>
          <cell r="B353" t="str">
            <v>31</v>
          </cell>
          <cell r="C353" t="str">
            <v>记-0035</v>
          </cell>
          <cell r="D353" t="str">
            <v>019</v>
          </cell>
          <cell r="E353" t="str">
            <v>去皮梁外甘草甲</v>
          </cell>
          <cell r="F353" t="str">
            <v>转成本</v>
          </cell>
          <cell r="G353">
            <v>48.672499999999999</v>
          </cell>
          <cell r="H353">
            <v>0</v>
          </cell>
          <cell r="I353">
            <v>0</v>
          </cell>
          <cell r="J353">
            <v>300</v>
          </cell>
          <cell r="K353">
            <v>14601.75</v>
          </cell>
          <cell r="L353" t="str">
            <v>贷</v>
          </cell>
          <cell r="M353">
            <v>300</v>
          </cell>
          <cell r="N353">
            <v>0</v>
          </cell>
          <cell r="O353">
            <v>14601.75</v>
          </cell>
        </row>
        <row r="354">
          <cell r="A354" t="str">
            <v>03</v>
          </cell>
          <cell r="B354" t="str">
            <v>31</v>
          </cell>
          <cell r="C354" t="str">
            <v>记-0042</v>
          </cell>
          <cell r="D354" t="str">
            <v>019</v>
          </cell>
          <cell r="E354" t="str">
            <v>去皮梁外甘草甲</v>
          </cell>
          <cell r="F354" t="str">
            <v>转成本</v>
          </cell>
          <cell r="G354">
            <v>48.672530000000002</v>
          </cell>
          <cell r="H354">
            <v>0</v>
          </cell>
          <cell r="I354">
            <v>0</v>
          </cell>
          <cell r="J354">
            <v>198</v>
          </cell>
          <cell r="K354">
            <v>9637.16</v>
          </cell>
          <cell r="L354" t="str">
            <v>贷</v>
          </cell>
          <cell r="M354">
            <v>498</v>
          </cell>
          <cell r="N354">
            <v>0</v>
          </cell>
          <cell r="O354">
            <v>24238.91</v>
          </cell>
        </row>
        <row r="355">
          <cell r="A355" t="str">
            <v>03</v>
          </cell>
          <cell r="F355" t="str">
            <v>本月合计</v>
          </cell>
          <cell r="G355">
            <v>0</v>
          </cell>
          <cell r="H355">
            <v>0</v>
          </cell>
          <cell r="I355">
            <v>0</v>
          </cell>
          <cell r="J355">
            <v>498</v>
          </cell>
          <cell r="K355">
            <v>24238.91</v>
          </cell>
          <cell r="L355" t="str">
            <v>贷</v>
          </cell>
          <cell r="M355">
            <v>498</v>
          </cell>
          <cell r="N355">
            <v>48.672510000000003</v>
          </cell>
          <cell r="O355">
            <v>24238.91</v>
          </cell>
        </row>
        <row r="356">
          <cell r="A356" t="str">
            <v>03</v>
          </cell>
          <cell r="F356" t="str">
            <v>累    计</v>
          </cell>
          <cell r="G356">
            <v>0</v>
          </cell>
          <cell r="H356">
            <v>0</v>
          </cell>
          <cell r="I356">
            <v>0</v>
          </cell>
          <cell r="J356">
            <v>498</v>
          </cell>
          <cell r="K356">
            <v>24238.91</v>
          </cell>
          <cell r="L356" t="str">
            <v>贷</v>
          </cell>
          <cell r="M356">
            <v>498</v>
          </cell>
          <cell r="N356">
            <v>48.672510000000003</v>
          </cell>
          <cell r="O356">
            <v>24238.91</v>
          </cell>
        </row>
        <row r="357">
          <cell r="A357" t="str">
            <v>11</v>
          </cell>
          <cell r="B357" t="str">
            <v>30</v>
          </cell>
          <cell r="C357" t="str">
            <v>记-0112</v>
          </cell>
          <cell r="D357" t="str">
            <v>019</v>
          </cell>
          <cell r="E357" t="str">
            <v>去皮梁外甘草甲</v>
          </cell>
          <cell r="F357" t="str">
            <v>合并名称</v>
          </cell>
          <cell r="G357">
            <v>48.672370000000001</v>
          </cell>
          <cell r="H357">
            <v>3485.7</v>
          </cell>
          <cell r="I357">
            <v>169657.29</v>
          </cell>
          <cell r="J357">
            <v>0</v>
          </cell>
          <cell r="K357">
            <v>0</v>
          </cell>
          <cell r="L357" t="str">
            <v>借</v>
          </cell>
          <cell r="M357">
            <v>2987.7</v>
          </cell>
          <cell r="N357">
            <v>0</v>
          </cell>
          <cell r="O357">
            <v>145418.38</v>
          </cell>
        </row>
        <row r="358">
          <cell r="A358" t="str">
            <v>11</v>
          </cell>
          <cell r="B358" t="str">
            <v>30</v>
          </cell>
          <cell r="C358" t="str">
            <v>记-0113</v>
          </cell>
          <cell r="D358" t="str">
            <v>019</v>
          </cell>
          <cell r="E358" t="str">
            <v>去皮梁外甘草甲</v>
          </cell>
          <cell r="F358" t="str">
            <v>合并名称</v>
          </cell>
          <cell r="G358">
            <v>48.672499999999999</v>
          </cell>
          <cell r="H358">
            <v>-3272</v>
          </cell>
          <cell r="I358">
            <v>-159256.42000000001</v>
          </cell>
          <cell r="J358">
            <v>0</v>
          </cell>
          <cell r="K358">
            <v>0</v>
          </cell>
          <cell r="L358" t="str">
            <v>贷</v>
          </cell>
          <cell r="M358">
            <v>284.3</v>
          </cell>
          <cell r="N358">
            <v>0</v>
          </cell>
          <cell r="O358">
            <v>13838.04</v>
          </cell>
        </row>
        <row r="359">
          <cell r="A359" t="str">
            <v>11</v>
          </cell>
          <cell r="B359" t="str">
            <v>30</v>
          </cell>
          <cell r="C359" t="str">
            <v>记-0114</v>
          </cell>
          <cell r="D359" t="str">
            <v>019</v>
          </cell>
          <cell r="E359" t="str">
            <v>去皮梁外甘草甲</v>
          </cell>
          <cell r="F359" t="str">
            <v>合并名称</v>
          </cell>
          <cell r="G359">
            <v>48.672440000000002</v>
          </cell>
          <cell r="H359">
            <v>-483</v>
          </cell>
          <cell r="I359">
            <v>-23508.79</v>
          </cell>
          <cell r="J359">
            <v>0</v>
          </cell>
          <cell r="K359">
            <v>0</v>
          </cell>
          <cell r="L359" t="str">
            <v>贷</v>
          </cell>
          <cell r="M359">
            <v>767.3</v>
          </cell>
          <cell r="N359">
            <v>0</v>
          </cell>
          <cell r="O359">
            <v>37346.83</v>
          </cell>
        </row>
        <row r="360">
          <cell r="A360" t="str">
            <v>11</v>
          </cell>
          <cell r="B360" t="str">
            <v>30</v>
          </cell>
          <cell r="C360" t="str">
            <v>记-0131</v>
          </cell>
          <cell r="D360" t="str">
            <v>019</v>
          </cell>
          <cell r="E360" t="str">
            <v>去皮梁外甘草甲</v>
          </cell>
          <cell r="F360" t="str">
            <v>调整成本</v>
          </cell>
          <cell r="G360">
            <v>48.67</v>
          </cell>
          <cell r="H360">
            <v>0</v>
          </cell>
          <cell r="I360">
            <v>0</v>
          </cell>
          <cell r="J360">
            <v>-30</v>
          </cell>
          <cell r="K360">
            <v>-1460.1</v>
          </cell>
          <cell r="L360" t="str">
            <v>贷</v>
          </cell>
          <cell r="M360">
            <v>737.3</v>
          </cell>
          <cell r="N360">
            <v>0</v>
          </cell>
          <cell r="O360">
            <v>35886.730000000003</v>
          </cell>
        </row>
        <row r="361">
          <cell r="A361" t="str">
            <v>11</v>
          </cell>
          <cell r="B361" t="str">
            <v>30</v>
          </cell>
          <cell r="C361" t="str">
            <v>记-0167</v>
          </cell>
          <cell r="D361" t="str">
            <v>019</v>
          </cell>
          <cell r="E361" t="str">
            <v>去皮梁外甘草甲</v>
          </cell>
          <cell r="F361" t="str">
            <v>调整库存</v>
          </cell>
          <cell r="G361">
            <v>48.673169999999999</v>
          </cell>
          <cell r="H361">
            <v>737.3</v>
          </cell>
          <cell r="I361">
            <v>35886.730000000003</v>
          </cell>
          <cell r="J361">
            <v>0</v>
          </cell>
          <cell r="K361">
            <v>0</v>
          </cell>
          <cell r="L361" t="str">
            <v>平</v>
          </cell>
          <cell r="M361">
            <v>0</v>
          </cell>
          <cell r="N361">
            <v>0</v>
          </cell>
          <cell r="O361">
            <v>0</v>
          </cell>
        </row>
        <row r="362">
          <cell r="A362" t="str">
            <v>11</v>
          </cell>
          <cell r="F362" t="str">
            <v>本月合计</v>
          </cell>
          <cell r="G362">
            <v>0</v>
          </cell>
          <cell r="H362">
            <v>468</v>
          </cell>
          <cell r="I362">
            <v>22778.81</v>
          </cell>
          <cell r="J362">
            <v>-30</v>
          </cell>
          <cell r="K362">
            <v>-1460.1</v>
          </cell>
          <cell r="L362" t="str">
            <v>平</v>
          </cell>
          <cell r="M362">
            <v>0</v>
          </cell>
          <cell r="N362">
            <v>0</v>
          </cell>
          <cell r="O362">
            <v>0</v>
          </cell>
        </row>
        <row r="363">
          <cell r="A363" t="str">
            <v>11</v>
          </cell>
          <cell r="E363" t="str">
            <v>去皮梁外甘草甲</v>
          </cell>
          <cell r="F363" t="str">
            <v>本年累计</v>
          </cell>
          <cell r="G363">
            <v>0</v>
          </cell>
          <cell r="H363">
            <v>468</v>
          </cell>
          <cell r="I363">
            <v>22778.81</v>
          </cell>
          <cell r="J363">
            <v>468</v>
          </cell>
          <cell r="K363">
            <v>22778.81</v>
          </cell>
          <cell r="L363" t="str">
            <v>平</v>
          </cell>
          <cell r="M363">
            <v>0</v>
          </cell>
          <cell r="N363">
            <v>0</v>
          </cell>
          <cell r="O363">
            <v>0</v>
          </cell>
        </row>
        <row r="364">
          <cell r="D364" t="str">
            <v>020</v>
          </cell>
          <cell r="E364" t="str">
            <v>梁外  干草乙片</v>
          </cell>
          <cell r="F364" t="str">
            <v>上年结转</v>
          </cell>
          <cell r="G364">
            <v>0</v>
          </cell>
          <cell r="H364">
            <v>0</v>
          </cell>
          <cell r="I364">
            <v>0</v>
          </cell>
          <cell r="J364">
            <v>0</v>
          </cell>
          <cell r="K364">
            <v>0</v>
          </cell>
          <cell r="L364" t="str">
            <v>借</v>
          </cell>
          <cell r="M364">
            <v>2094.3000000000002</v>
          </cell>
          <cell r="N364">
            <v>36.885800000000003</v>
          </cell>
          <cell r="O364">
            <v>77249.929999999993</v>
          </cell>
        </row>
        <row r="365">
          <cell r="A365" t="str">
            <v>03</v>
          </cell>
          <cell r="B365" t="str">
            <v>31</v>
          </cell>
          <cell r="C365" t="str">
            <v>记-0043</v>
          </cell>
          <cell r="D365" t="str">
            <v>020</v>
          </cell>
          <cell r="E365" t="str">
            <v>梁外  干草乙片</v>
          </cell>
          <cell r="F365" t="str">
            <v>转成本</v>
          </cell>
          <cell r="G365">
            <v>36.885800000000003</v>
          </cell>
          <cell r="H365">
            <v>0</v>
          </cell>
          <cell r="I365">
            <v>0</v>
          </cell>
          <cell r="J365">
            <v>224</v>
          </cell>
          <cell r="K365">
            <v>8262.42</v>
          </cell>
          <cell r="L365" t="str">
            <v>借</v>
          </cell>
          <cell r="M365">
            <v>1870.3</v>
          </cell>
          <cell r="N365">
            <v>0</v>
          </cell>
          <cell r="O365">
            <v>68987.509999999995</v>
          </cell>
        </row>
        <row r="366">
          <cell r="A366" t="str">
            <v>03</v>
          </cell>
          <cell r="F366" t="str">
            <v>本月合计</v>
          </cell>
          <cell r="G366">
            <v>0</v>
          </cell>
          <cell r="H366">
            <v>0</v>
          </cell>
          <cell r="I366">
            <v>0</v>
          </cell>
          <cell r="J366">
            <v>224</v>
          </cell>
          <cell r="K366">
            <v>8262.42</v>
          </cell>
          <cell r="L366" t="str">
            <v>借</v>
          </cell>
          <cell r="M366">
            <v>1870.3</v>
          </cell>
          <cell r="N366">
            <v>36.885800000000003</v>
          </cell>
          <cell r="O366">
            <v>68987.509999999995</v>
          </cell>
        </row>
        <row r="367">
          <cell r="A367" t="str">
            <v>03</v>
          </cell>
          <cell r="F367" t="str">
            <v>累    计</v>
          </cell>
          <cell r="G367">
            <v>0</v>
          </cell>
          <cell r="H367">
            <v>0</v>
          </cell>
          <cell r="I367">
            <v>0</v>
          </cell>
          <cell r="J367">
            <v>224</v>
          </cell>
          <cell r="K367">
            <v>8262.42</v>
          </cell>
          <cell r="L367" t="str">
            <v>借</v>
          </cell>
          <cell r="M367">
            <v>1870.3</v>
          </cell>
          <cell r="N367">
            <v>36.885800000000003</v>
          </cell>
          <cell r="O367">
            <v>68987.509999999995</v>
          </cell>
        </row>
        <row r="368">
          <cell r="A368" t="str">
            <v>04</v>
          </cell>
          <cell r="B368" t="str">
            <v>30</v>
          </cell>
          <cell r="C368" t="str">
            <v>记-0049</v>
          </cell>
          <cell r="D368" t="str">
            <v>020</v>
          </cell>
          <cell r="E368" t="str">
            <v>梁外  干草乙片</v>
          </cell>
          <cell r="F368" t="str">
            <v>转成本</v>
          </cell>
          <cell r="G368">
            <v>36.885800000000003</v>
          </cell>
          <cell r="H368">
            <v>0</v>
          </cell>
          <cell r="I368">
            <v>0</v>
          </cell>
          <cell r="J368">
            <v>112</v>
          </cell>
          <cell r="K368">
            <v>4131.21</v>
          </cell>
          <cell r="L368" t="str">
            <v>借</v>
          </cell>
          <cell r="M368">
            <v>1758.3</v>
          </cell>
          <cell r="N368">
            <v>0</v>
          </cell>
          <cell r="O368">
            <v>64856.3</v>
          </cell>
        </row>
        <row r="369">
          <cell r="A369" t="str">
            <v>04</v>
          </cell>
          <cell r="F369" t="str">
            <v>本月合计</v>
          </cell>
          <cell r="G369">
            <v>0</v>
          </cell>
          <cell r="H369">
            <v>0</v>
          </cell>
          <cell r="I369">
            <v>0</v>
          </cell>
          <cell r="J369">
            <v>112</v>
          </cell>
          <cell r="K369">
            <v>4131.21</v>
          </cell>
          <cell r="L369" t="str">
            <v>借</v>
          </cell>
          <cell r="M369">
            <v>1758.3</v>
          </cell>
          <cell r="N369">
            <v>36.885800000000003</v>
          </cell>
          <cell r="O369">
            <v>64856.3</v>
          </cell>
        </row>
        <row r="370">
          <cell r="A370" t="str">
            <v>04</v>
          </cell>
          <cell r="F370" t="str">
            <v>累    计</v>
          </cell>
          <cell r="G370">
            <v>0</v>
          </cell>
          <cell r="H370">
            <v>0</v>
          </cell>
          <cell r="I370">
            <v>0</v>
          </cell>
          <cell r="J370">
            <v>336</v>
          </cell>
          <cell r="K370">
            <v>12393.63</v>
          </cell>
          <cell r="L370" t="str">
            <v>借</v>
          </cell>
          <cell r="M370">
            <v>1758.3</v>
          </cell>
          <cell r="N370">
            <v>36.885800000000003</v>
          </cell>
          <cell r="O370">
            <v>64856.3</v>
          </cell>
        </row>
        <row r="371">
          <cell r="A371" t="str">
            <v>11</v>
          </cell>
          <cell r="B371" t="str">
            <v>30</v>
          </cell>
          <cell r="C371" t="str">
            <v>记-0041</v>
          </cell>
          <cell r="D371" t="str">
            <v>020</v>
          </cell>
          <cell r="E371" t="str">
            <v>梁外  干草乙片</v>
          </cell>
          <cell r="F371" t="str">
            <v>合并名称</v>
          </cell>
          <cell r="G371">
            <v>37.023049999999998</v>
          </cell>
          <cell r="H371">
            <v>-702</v>
          </cell>
          <cell r="I371">
            <v>-25990.18</v>
          </cell>
          <cell r="J371">
            <v>0</v>
          </cell>
          <cell r="K371">
            <v>0</v>
          </cell>
          <cell r="L371" t="str">
            <v>借</v>
          </cell>
          <cell r="M371">
            <v>1056.3</v>
          </cell>
          <cell r="N371">
            <v>0</v>
          </cell>
          <cell r="O371">
            <v>38866.120000000003</v>
          </cell>
        </row>
        <row r="372">
          <cell r="A372" t="str">
            <v>11</v>
          </cell>
          <cell r="B372" t="str">
            <v>30</v>
          </cell>
          <cell r="C372" t="str">
            <v>记-0042</v>
          </cell>
          <cell r="D372" t="str">
            <v>020</v>
          </cell>
          <cell r="E372" t="str">
            <v>梁外  干草乙片</v>
          </cell>
          <cell r="F372" t="str">
            <v>合并名称</v>
          </cell>
          <cell r="G372">
            <v>37.17</v>
          </cell>
          <cell r="H372">
            <v>-1074</v>
          </cell>
          <cell r="I372">
            <v>-39920.58</v>
          </cell>
          <cell r="J372">
            <v>0</v>
          </cell>
          <cell r="K372">
            <v>0</v>
          </cell>
          <cell r="L372" t="str">
            <v>贷</v>
          </cell>
          <cell r="M372">
            <v>17.7</v>
          </cell>
          <cell r="N372">
            <v>0</v>
          </cell>
          <cell r="O372">
            <v>1054.46</v>
          </cell>
        </row>
        <row r="373">
          <cell r="A373" t="str">
            <v>11</v>
          </cell>
          <cell r="B373" t="str">
            <v>30</v>
          </cell>
          <cell r="C373" t="str">
            <v>记-0043</v>
          </cell>
          <cell r="D373" t="str">
            <v>020</v>
          </cell>
          <cell r="E373" t="str">
            <v>梁外  干草乙片</v>
          </cell>
          <cell r="F373" t="str">
            <v>合并名称</v>
          </cell>
          <cell r="G373">
            <v>37.17</v>
          </cell>
          <cell r="H373">
            <v>-198</v>
          </cell>
          <cell r="I373">
            <v>-7359.66</v>
          </cell>
          <cell r="J373">
            <v>0</v>
          </cell>
          <cell r="K373">
            <v>0</v>
          </cell>
          <cell r="L373" t="str">
            <v>贷</v>
          </cell>
          <cell r="M373">
            <v>215.7</v>
          </cell>
          <cell r="N373">
            <v>0</v>
          </cell>
          <cell r="O373">
            <v>8414.1200000000008</v>
          </cell>
        </row>
        <row r="374">
          <cell r="A374" t="str">
            <v>11</v>
          </cell>
          <cell r="B374" t="str">
            <v>30</v>
          </cell>
          <cell r="C374" t="str">
            <v>记-0168</v>
          </cell>
          <cell r="D374" t="str">
            <v>020</v>
          </cell>
          <cell r="E374" t="str">
            <v>梁外  干草乙片</v>
          </cell>
          <cell r="F374" t="str">
            <v>调整库存</v>
          </cell>
          <cell r="G374">
            <v>39.00844</v>
          </cell>
          <cell r="H374">
            <v>215.7</v>
          </cell>
          <cell r="I374">
            <v>8414.1200000000008</v>
          </cell>
          <cell r="J374">
            <v>0</v>
          </cell>
          <cell r="K374">
            <v>0</v>
          </cell>
          <cell r="L374" t="str">
            <v>平</v>
          </cell>
          <cell r="M374">
            <v>0</v>
          </cell>
          <cell r="N374">
            <v>0</v>
          </cell>
          <cell r="O374">
            <v>0</v>
          </cell>
        </row>
        <row r="375">
          <cell r="A375" t="str">
            <v>11</v>
          </cell>
          <cell r="F375" t="str">
            <v>本月合计</v>
          </cell>
          <cell r="G375">
            <v>0</v>
          </cell>
          <cell r="H375">
            <v>-1758.3</v>
          </cell>
          <cell r="I375">
            <v>-64856.3</v>
          </cell>
          <cell r="J375">
            <v>0</v>
          </cell>
          <cell r="K375">
            <v>0</v>
          </cell>
          <cell r="L375" t="str">
            <v>平</v>
          </cell>
          <cell r="M375">
            <v>0</v>
          </cell>
          <cell r="N375">
            <v>0</v>
          </cell>
          <cell r="O375">
            <v>0</v>
          </cell>
        </row>
        <row r="376">
          <cell r="A376">
            <v>11</v>
          </cell>
          <cell r="E376" t="str">
            <v>梁外  干草乙片</v>
          </cell>
          <cell r="F376" t="str">
            <v>本年累计</v>
          </cell>
          <cell r="G376">
            <v>0</v>
          </cell>
          <cell r="H376">
            <v>-1758.3</v>
          </cell>
          <cell r="I376">
            <v>-64856.3</v>
          </cell>
          <cell r="J376">
            <v>336</v>
          </cell>
          <cell r="K376">
            <v>12393.63</v>
          </cell>
          <cell r="L376" t="str">
            <v>平</v>
          </cell>
          <cell r="M376">
            <v>0</v>
          </cell>
          <cell r="N376">
            <v>0</v>
          </cell>
          <cell r="O376">
            <v>0</v>
          </cell>
        </row>
        <row r="377">
          <cell r="A377" t="str">
            <v>03</v>
          </cell>
          <cell r="B377" t="str">
            <v>31</v>
          </cell>
          <cell r="C377" t="str">
            <v>记-0042</v>
          </cell>
          <cell r="D377" t="str">
            <v>021</v>
          </cell>
          <cell r="E377" t="str">
            <v>去皮乙片</v>
          </cell>
          <cell r="F377" t="str">
            <v>转成本</v>
          </cell>
          <cell r="G377">
            <v>37.17</v>
          </cell>
          <cell r="H377">
            <v>0</v>
          </cell>
          <cell r="I377">
            <v>0</v>
          </cell>
          <cell r="J377">
            <v>198</v>
          </cell>
          <cell r="K377">
            <v>7359.66</v>
          </cell>
          <cell r="L377" t="str">
            <v>贷</v>
          </cell>
          <cell r="M377">
            <v>198</v>
          </cell>
          <cell r="N377">
            <v>0</v>
          </cell>
          <cell r="O377">
            <v>7359.66</v>
          </cell>
        </row>
        <row r="378">
          <cell r="A378" t="str">
            <v>03</v>
          </cell>
          <cell r="F378" t="str">
            <v>本月合计</v>
          </cell>
          <cell r="G378">
            <v>0</v>
          </cell>
          <cell r="H378">
            <v>0</v>
          </cell>
          <cell r="I378">
            <v>0</v>
          </cell>
          <cell r="J378">
            <v>198</v>
          </cell>
          <cell r="K378">
            <v>7359.66</v>
          </cell>
          <cell r="L378" t="str">
            <v>贷</v>
          </cell>
          <cell r="M378">
            <v>198</v>
          </cell>
          <cell r="N378">
            <v>37.17</v>
          </cell>
          <cell r="O378">
            <v>7359.66</v>
          </cell>
        </row>
        <row r="379">
          <cell r="A379" t="str">
            <v>03</v>
          </cell>
          <cell r="F379" t="str">
            <v>累    计</v>
          </cell>
          <cell r="G379">
            <v>0</v>
          </cell>
          <cell r="H379">
            <v>0</v>
          </cell>
          <cell r="I379">
            <v>0</v>
          </cell>
          <cell r="J379">
            <v>198</v>
          </cell>
          <cell r="K379">
            <v>7359.66</v>
          </cell>
          <cell r="L379" t="str">
            <v>贷</v>
          </cell>
          <cell r="M379">
            <v>198</v>
          </cell>
          <cell r="N379">
            <v>37.17</v>
          </cell>
          <cell r="O379">
            <v>7359.66</v>
          </cell>
        </row>
        <row r="380">
          <cell r="A380" t="str">
            <v>11</v>
          </cell>
          <cell r="B380" t="str">
            <v>30</v>
          </cell>
          <cell r="C380" t="str">
            <v>记-0043</v>
          </cell>
          <cell r="D380" t="str">
            <v>021</v>
          </cell>
          <cell r="E380" t="str">
            <v>去皮乙片</v>
          </cell>
          <cell r="F380" t="str">
            <v>合并名称</v>
          </cell>
          <cell r="G380">
            <v>37.17</v>
          </cell>
          <cell r="H380">
            <v>198</v>
          </cell>
          <cell r="I380">
            <v>7359.66</v>
          </cell>
          <cell r="J380">
            <v>0</v>
          </cell>
          <cell r="K380">
            <v>0</v>
          </cell>
          <cell r="L380" t="str">
            <v>平</v>
          </cell>
          <cell r="M380">
            <v>0</v>
          </cell>
          <cell r="N380">
            <v>0</v>
          </cell>
          <cell r="O380">
            <v>0</v>
          </cell>
        </row>
        <row r="381">
          <cell r="A381" t="str">
            <v>11</v>
          </cell>
          <cell r="F381" t="str">
            <v>本月合计</v>
          </cell>
          <cell r="G381">
            <v>0</v>
          </cell>
          <cell r="H381">
            <v>198</v>
          </cell>
          <cell r="I381">
            <v>7359.66</v>
          </cell>
          <cell r="J381">
            <v>0</v>
          </cell>
          <cell r="K381">
            <v>0</v>
          </cell>
          <cell r="L381" t="str">
            <v>平</v>
          </cell>
          <cell r="M381">
            <v>0</v>
          </cell>
          <cell r="N381">
            <v>0</v>
          </cell>
          <cell r="O381">
            <v>0</v>
          </cell>
        </row>
        <row r="382">
          <cell r="A382" t="str">
            <v>11</v>
          </cell>
          <cell r="E382" t="str">
            <v>去皮乙片</v>
          </cell>
          <cell r="F382" t="str">
            <v>本年累计</v>
          </cell>
          <cell r="G382">
            <v>0</v>
          </cell>
          <cell r="H382">
            <v>198</v>
          </cell>
          <cell r="I382">
            <v>7359.66</v>
          </cell>
          <cell r="J382">
            <v>198</v>
          </cell>
          <cell r="K382">
            <v>7359.66</v>
          </cell>
          <cell r="L382" t="str">
            <v>平</v>
          </cell>
          <cell r="M382">
            <v>0</v>
          </cell>
          <cell r="N382">
            <v>0</v>
          </cell>
          <cell r="O382">
            <v>0</v>
          </cell>
        </row>
        <row r="383">
          <cell r="D383" t="str">
            <v>022</v>
          </cell>
          <cell r="E383" t="str">
            <v>梁外干草丙片</v>
          </cell>
          <cell r="F383" t="str">
            <v>上年结转</v>
          </cell>
          <cell r="G383">
            <v>0</v>
          </cell>
          <cell r="H383">
            <v>0</v>
          </cell>
          <cell r="I383">
            <v>0</v>
          </cell>
          <cell r="J383">
            <v>0</v>
          </cell>
          <cell r="K383">
            <v>0</v>
          </cell>
          <cell r="L383" t="str">
            <v>借</v>
          </cell>
          <cell r="M383">
            <v>688</v>
          </cell>
          <cell r="N383">
            <v>23.173500000000001</v>
          </cell>
          <cell r="O383">
            <v>15943.37</v>
          </cell>
        </row>
        <row r="384">
          <cell r="A384" t="str">
            <v>03</v>
          </cell>
          <cell r="B384" t="str">
            <v>31</v>
          </cell>
          <cell r="C384" t="str">
            <v>记-0046</v>
          </cell>
          <cell r="D384" t="str">
            <v>022</v>
          </cell>
          <cell r="E384" t="str">
            <v>梁外干草丙片</v>
          </cell>
          <cell r="F384" t="str">
            <v>转成本</v>
          </cell>
          <cell r="G384">
            <v>23.173480000000001</v>
          </cell>
          <cell r="H384">
            <v>0</v>
          </cell>
          <cell r="I384">
            <v>0</v>
          </cell>
          <cell r="J384">
            <v>112</v>
          </cell>
          <cell r="K384">
            <v>2595.4299999999998</v>
          </cell>
          <cell r="L384" t="str">
            <v>借</v>
          </cell>
          <cell r="M384">
            <v>576</v>
          </cell>
          <cell r="N384">
            <v>0</v>
          </cell>
          <cell r="O384">
            <v>13347.94</v>
          </cell>
        </row>
        <row r="385">
          <cell r="A385" t="str">
            <v>03</v>
          </cell>
          <cell r="F385" t="str">
            <v>本月合计</v>
          </cell>
          <cell r="G385">
            <v>0</v>
          </cell>
          <cell r="H385">
            <v>0</v>
          </cell>
          <cell r="I385">
            <v>0</v>
          </cell>
          <cell r="J385">
            <v>112</v>
          </cell>
          <cell r="K385">
            <v>2595.4299999999998</v>
          </cell>
          <cell r="L385" t="str">
            <v>借</v>
          </cell>
          <cell r="M385">
            <v>576</v>
          </cell>
          <cell r="N385">
            <v>23.17351</v>
          </cell>
          <cell r="O385">
            <v>13347.94</v>
          </cell>
        </row>
        <row r="386">
          <cell r="A386" t="str">
            <v>03</v>
          </cell>
          <cell r="F386" t="str">
            <v>累    计</v>
          </cell>
          <cell r="G386">
            <v>0</v>
          </cell>
          <cell r="H386">
            <v>0</v>
          </cell>
          <cell r="I386">
            <v>0</v>
          </cell>
          <cell r="J386">
            <v>112</v>
          </cell>
          <cell r="K386">
            <v>2595.4299999999998</v>
          </cell>
          <cell r="L386" t="str">
            <v>借</v>
          </cell>
          <cell r="M386">
            <v>576</v>
          </cell>
          <cell r="N386">
            <v>23.17351</v>
          </cell>
          <cell r="O386">
            <v>13347.94</v>
          </cell>
        </row>
        <row r="387">
          <cell r="A387" t="str">
            <v>04</v>
          </cell>
          <cell r="B387" t="str">
            <v>30</v>
          </cell>
          <cell r="C387" t="str">
            <v>记-0051</v>
          </cell>
          <cell r="D387" t="str">
            <v>022</v>
          </cell>
          <cell r="E387" t="str">
            <v>梁外干草丙片</v>
          </cell>
          <cell r="F387" t="str">
            <v>转成本</v>
          </cell>
          <cell r="G387">
            <v>23.173500000000001</v>
          </cell>
          <cell r="H387">
            <v>0</v>
          </cell>
          <cell r="I387">
            <v>0</v>
          </cell>
          <cell r="J387">
            <v>140</v>
          </cell>
          <cell r="K387">
            <v>3244.29</v>
          </cell>
          <cell r="L387" t="str">
            <v>借</v>
          </cell>
          <cell r="M387">
            <v>436</v>
          </cell>
          <cell r="N387">
            <v>0</v>
          </cell>
          <cell r="O387">
            <v>10103.65</v>
          </cell>
        </row>
        <row r="388">
          <cell r="A388" t="str">
            <v>04</v>
          </cell>
          <cell r="B388" t="str">
            <v>30</v>
          </cell>
          <cell r="C388" t="str">
            <v>记-0051</v>
          </cell>
          <cell r="D388" t="str">
            <v>022</v>
          </cell>
          <cell r="E388" t="str">
            <v>梁外干草丙片</v>
          </cell>
          <cell r="F388" t="str">
            <v>转成本</v>
          </cell>
          <cell r="G388">
            <v>23.17351</v>
          </cell>
          <cell r="H388">
            <v>0</v>
          </cell>
          <cell r="I388">
            <v>0</v>
          </cell>
          <cell r="J388">
            <v>436</v>
          </cell>
          <cell r="K388">
            <v>10103.65</v>
          </cell>
          <cell r="L388" t="str">
            <v>平</v>
          </cell>
          <cell r="M388">
            <v>0</v>
          </cell>
          <cell r="N388">
            <v>0</v>
          </cell>
          <cell r="O388">
            <v>0</v>
          </cell>
        </row>
        <row r="389">
          <cell r="A389" t="str">
            <v>04</v>
          </cell>
          <cell r="B389" t="str">
            <v>30</v>
          </cell>
          <cell r="C389" t="str">
            <v>记-0051</v>
          </cell>
          <cell r="D389" t="str">
            <v>022</v>
          </cell>
          <cell r="E389" t="str">
            <v>梁外干草丙片</v>
          </cell>
          <cell r="F389" t="str">
            <v>转成本</v>
          </cell>
          <cell r="G389">
            <v>23.173500000000001</v>
          </cell>
          <cell r="H389">
            <v>0</v>
          </cell>
          <cell r="I389">
            <v>0</v>
          </cell>
          <cell r="J389">
            <v>5836</v>
          </cell>
          <cell r="K389">
            <v>135240.54999999999</v>
          </cell>
          <cell r="L389" t="str">
            <v>贷</v>
          </cell>
          <cell r="M389">
            <v>5836</v>
          </cell>
          <cell r="N389">
            <v>0</v>
          </cell>
          <cell r="O389">
            <v>135240.54999999999</v>
          </cell>
        </row>
        <row r="390">
          <cell r="A390" t="str">
            <v>04</v>
          </cell>
          <cell r="F390" t="str">
            <v>本月合计</v>
          </cell>
          <cell r="G390">
            <v>0</v>
          </cell>
          <cell r="H390">
            <v>0</v>
          </cell>
          <cell r="I390">
            <v>0</v>
          </cell>
          <cell r="J390">
            <v>6412</v>
          </cell>
          <cell r="K390">
            <v>148588.49</v>
          </cell>
          <cell r="L390" t="str">
            <v>贷</v>
          </cell>
          <cell r="M390">
            <v>5836</v>
          </cell>
          <cell r="N390">
            <v>23.173500000000001</v>
          </cell>
          <cell r="O390">
            <v>135240.54999999999</v>
          </cell>
        </row>
        <row r="391">
          <cell r="A391" t="str">
            <v>04</v>
          </cell>
          <cell r="F391" t="str">
            <v>累    计</v>
          </cell>
          <cell r="G391">
            <v>0</v>
          </cell>
          <cell r="H391">
            <v>0</v>
          </cell>
          <cell r="I391">
            <v>0</v>
          </cell>
          <cell r="J391">
            <v>6524</v>
          </cell>
          <cell r="K391">
            <v>151183.92000000001</v>
          </cell>
          <cell r="L391" t="str">
            <v>贷</v>
          </cell>
          <cell r="M391">
            <v>5836</v>
          </cell>
          <cell r="N391">
            <v>23.173500000000001</v>
          </cell>
          <cell r="O391">
            <v>135240.54999999999</v>
          </cell>
        </row>
        <row r="392">
          <cell r="A392" t="str">
            <v>11</v>
          </cell>
          <cell r="B392" t="str">
            <v>30</v>
          </cell>
          <cell r="C392" t="str">
            <v>记-0044</v>
          </cell>
          <cell r="D392" t="str">
            <v>022</v>
          </cell>
          <cell r="E392" t="str">
            <v>梁外干草丙片</v>
          </cell>
          <cell r="F392" t="str">
            <v>合并名称</v>
          </cell>
          <cell r="G392">
            <v>22.123889999999999</v>
          </cell>
          <cell r="H392">
            <v>5836</v>
          </cell>
          <cell r="I392">
            <v>129115.04</v>
          </cell>
          <cell r="J392">
            <v>0</v>
          </cell>
          <cell r="K392">
            <v>0</v>
          </cell>
          <cell r="L392" t="str">
            <v>贷</v>
          </cell>
          <cell r="M392">
            <v>0</v>
          </cell>
          <cell r="N392">
            <v>0</v>
          </cell>
          <cell r="O392">
            <v>6125.51</v>
          </cell>
        </row>
        <row r="393">
          <cell r="A393" t="str">
            <v>11</v>
          </cell>
          <cell r="B393" t="str">
            <v>30</v>
          </cell>
          <cell r="C393" t="str">
            <v>记-0169</v>
          </cell>
          <cell r="D393" t="str">
            <v>022</v>
          </cell>
          <cell r="E393" t="str">
            <v>梁外干草丙片</v>
          </cell>
          <cell r="F393" t="str">
            <v>调整库存</v>
          </cell>
          <cell r="G393">
            <v>0</v>
          </cell>
          <cell r="H393">
            <v>0</v>
          </cell>
          <cell r="I393">
            <v>6125.51</v>
          </cell>
          <cell r="J393">
            <v>0</v>
          </cell>
          <cell r="K393">
            <v>0</v>
          </cell>
          <cell r="L393" t="str">
            <v>平</v>
          </cell>
          <cell r="M393">
            <v>0</v>
          </cell>
          <cell r="N393">
            <v>0</v>
          </cell>
          <cell r="O393">
            <v>0</v>
          </cell>
        </row>
        <row r="394">
          <cell r="A394" t="str">
            <v>11</v>
          </cell>
          <cell r="F394" t="str">
            <v>本月合计</v>
          </cell>
          <cell r="G394">
            <v>0</v>
          </cell>
          <cell r="H394">
            <v>5836</v>
          </cell>
          <cell r="I394">
            <v>135240.54999999999</v>
          </cell>
          <cell r="J394">
            <v>0</v>
          </cell>
          <cell r="K394">
            <v>0</v>
          </cell>
          <cell r="L394" t="str">
            <v>平</v>
          </cell>
          <cell r="M394">
            <v>0</v>
          </cell>
          <cell r="N394">
            <v>0</v>
          </cell>
          <cell r="O394">
            <v>0</v>
          </cell>
        </row>
        <row r="395">
          <cell r="A395" t="str">
            <v>11</v>
          </cell>
          <cell r="E395" t="str">
            <v>梁外干草丙片</v>
          </cell>
          <cell r="F395" t="str">
            <v>本年累计</v>
          </cell>
          <cell r="G395">
            <v>0</v>
          </cell>
          <cell r="H395">
            <v>5836</v>
          </cell>
          <cell r="I395">
            <v>135240.54999999999</v>
          </cell>
          <cell r="J395">
            <v>6524</v>
          </cell>
          <cell r="K395">
            <v>151183.92000000001</v>
          </cell>
          <cell r="L395" t="str">
            <v>平</v>
          </cell>
          <cell r="M395">
            <v>0</v>
          </cell>
          <cell r="N395">
            <v>0</v>
          </cell>
          <cell r="O395">
            <v>0</v>
          </cell>
        </row>
        <row r="396">
          <cell r="D396" t="str">
            <v>023</v>
          </cell>
          <cell r="E396" t="str">
            <v>梁外干草丁片</v>
          </cell>
          <cell r="F396" t="str">
            <v>上年结转</v>
          </cell>
          <cell r="G396">
            <v>0</v>
          </cell>
          <cell r="H396">
            <v>0</v>
          </cell>
          <cell r="I396">
            <v>0</v>
          </cell>
          <cell r="J396">
            <v>0</v>
          </cell>
          <cell r="K396">
            <v>0</v>
          </cell>
          <cell r="L396" t="str">
            <v>借</v>
          </cell>
          <cell r="M396">
            <v>560</v>
          </cell>
          <cell r="N396">
            <v>15.04425</v>
          </cell>
          <cell r="O396">
            <v>8424.7800000000007</v>
          </cell>
        </row>
        <row r="397">
          <cell r="A397" t="str">
            <v>03</v>
          </cell>
          <cell r="B397" t="str">
            <v>31</v>
          </cell>
          <cell r="C397" t="str">
            <v>记-0046</v>
          </cell>
          <cell r="D397" t="str">
            <v>023</v>
          </cell>
          <cell r="E397" t="str">
            <v>梁外干草丁片</v>
          </cell>
          <cell r="F397" t="str">
            <v>转成本</v>
          </cell>
          <cell r="G397">
            <v>15.04421</v>
          </cell>
          <cell r="H397">
            <v>0</v>
          </cell>
          <cell r="I397">
            <v>0</v>
          </cell>
          <cell r="J397">
            <v>280</v>
          </cell>
          <cell r="K397">
            <v>4212.38</v>
          </cell>
          <cell r="L397" t="str">
            <v>借</v>
          </cell>
          <cell r="M397">
            <v>280</v>
          </cell>
          <cell r="N397">
            <v>0</v>
          </cell>
          <cell r="O397">
            <v>4212.3999999999996</v>
          </cell>
        </row>
        <row r="398">
          <cell r="A398" t="str">
            <v>03</v>
          </cell>
          <cell r="F398" t="str">
            <v>本月合计</v>
          </cell>
          <cell r="G398">
            <v>0</v>
          </cell>
          <cell r="H398">
            <v>0</v>
          </cell>
          <cell r="I398">
            <v>0</v>
          </cell>
          <cell r="J398">
            <v>280</v>
          </cell>
          <cell r="K398">
            <v>4212.38</v>
          </cell>
          <cell r="L398" t="str">
            <v>借</v>
          </cell>
          <cell r="M398">
            <v>280</v>
          </cell>
          <cell r="N398">
            <v>15.04429</v>
          </cell>
          <cell r="O398">
            <v>4212.3999999999996</v>
          </cell>
        </row>
        <row r="399">
          <cell r="A399" t="str">
            <v>03</v>
          </cell>
          <cell r="F399" t="str">
            <v>累    计</v>
          </cell>
          <cell r="G399">
            <v>0</v>
          </cell>
          <cell r="H399">
            <v>0</v>
          </cell>
          <cell r="I399">
            <v>0</v>
          </cell>
          <cell r="J399">
            <v>280</v>
          </cell>
          <cell r="K399">
            <v>4212.38</v>
          </cell>
          <cell r="L399" t="str">
            <v>借</v>
          </cell>
          <cell r="M399">
            <v>280</v>
          </cell>
          <cell r="N399">
            <v>15.04429</v>
          </cell>
          <cell r="O399">
            <v>4212.3999999999996</v>
          </cell>
        </row>
        <row r="400">
          <cell r="A400" t="str">
            <v>04</v>
          </cell>
          <cell r="B400" t="str">
            <v>30</v>
          </cell>
          <cell r="C400" t="str">
            <v>记-0051</v>
          </cell>
          <cell r="D400" t="str">
            <v>023</v>
          </cell>
          <cell r="E400" t="str">
            <v>梁外干草丁片</v>
          </cell>
          <cell r="F400" t="str">
            <v>转成本</v>
          </cell>
          <cell r="G400">
            <v>15.04419</v>
          </cell>
          <cell r="H400">
            <v>0</v>
          </cell>
          <cell r="I400">
            <v>0</v>
          </cell>
          <cell r="J400">
            <v>644</v>
          </cell>
          <cell r="K400">
            <v>9688.4599999999991</v>
          </cell>
          <cell r="L400" t="str">
            <v>贷</v>
          </cell>
          <cell r="M400">
            <v>364</v>
          </cell>
          <cell r="N400">
            <v>0</v>
          </cell>
          <cell r="O400">
            <v>5476.06</v>
          </cell>
        </row>
        <row r="401">
          <cell r="A401" t="str">
            <v>04</v>
          </cell>
          <cell r="B401" t="str">
            <v>30</v>
          </cell>
          <cell r="C401" t="str">
            <v>记-0051</v>
          </cell>
          <cell r="D401" t="str">
            <v>023</v>
          </cell>
          <cell r="E401" t="str">
            <v>梁外干草丁片</v>
          </cell>
          <cell r="F401" t="str">
            <v>转成本</v>
          </cell>
          <cell r="G401">
            <v>15.04429</v>
          </cell>
          <cell r="H401">
            <v>0</v>
          </cell>
          <cell r="I401">
            <v>0</v>
          </cell>
          <cell r="J401">
            <v>280</v>
          </cell>
          <cell r="K401">
            <v>4212.3999999999996</v>
          </cell>
          <cell r="L401" t="str">
            <v>贷</v>
          </cell>
          <cell r="M401">
            <v>644</v>
          </cell>
          <cell r="N401">
            <v>0</v>
          </cell>
          <cell r="O401">
            <v>9688.4599999999991</v>
          </cell>
        </row>
        <row r="402">
          <cell r="A402" t="str">
            <v>04</v>
          </cell>
          <cell r="F402" t="str">
            <v>本月合计</v>
          </cell>
          <cell r="G402">
            <v>0</v>
          </cell>
          <cell r="H402">
            <v>0</v>
          </cell>
          <cell r="I402">
            <v>0</v>
          </cell>
          <cell r="J402">
            <v>924</v>
          </cell>
          <cell r="K402">
            <v>13900.86</v>
          </cell>
          <cell r="L402" t="str">
            <v>贷</v>
          </cell>
          <cell r="M402">
            <v>644</v>
          </cell>
          <cell r="N402">
            <v>15.04419</v>
          </cell>
          <cell r="O402">
            <v>9688.4599999999991</v>
          </cell>
        </row>
        <row r="403">
          <cell r="A403" t="str">
            <v>04</v>
          </cell>
          <cell r="F403" t="str">
            <v>累    计</v>
          </cell>
          <cell r="G403">
            <v>0</v>
          </cell>
          <cell r="H403">
            <v>0</v>
          </cell>
          <cell r="I403">
            <v>0</v>
          </cell>
          <cell r="J403">
            <v>1204</v>
          </cell>
          <cell r="K403">
            <v>18113.240000000002</v>
          </cell>
          <cell r="L403" t="str">
            <v>贷</v>
          </cell>
          <cell r="M403">
            <v>644</v>
          </cell>
          <cell r="N403">
            <v>15.04419</v>
          </cell>
          <cell r="O403">
            <v>9688.4599999999991</v>
          </cell>
        </row>
        <row r="404">
          <cell r="A404" t="str">
            <v>10</v>
          </cell>
          <cell r="B404" t="str">
            <v>22</v>
          </cell>
          <cell r="C404" t="str">
            <v>记-0050</v>
          </cell>
          <cell r="D404" t="str">
            <v>023</v>
          </cell>
          <cell r="E404" t="str">
            <v>梁外干草丁片</v>
          </cell>
          <cell r="F404" t="str">
            <v>收购产品</v>
          </cell>
          <cell r="G404">
            <v>22.123889999999999</v>
          </cell>
          <cell r="H404">
            <v>2314</v>
          </cell>
          <cell r="I404">
            <v>51194.69</v>
          </cell>
          <cell r="J404">
            <v>0</v>
          </cell>
          <cell r="K404">
            <v>0</v>
          </cell>
          <cell r="L404" t="str">
            <v>借</v>
          </cell>
          <cell r="M404">
            <v>1670</v>
          </cell>
          <cell r="N404">
            <v>0</v>
          </cell>
          <cell r="O404">
            <v>41506.230000000003</v>
          </cell>
        </row>
        <row r="405">
          <cell r="A405" t="str">
            <v>10</v>
          </cell>
          <cell r="F405" t="str">
            <v>本月合计</v>
          </cell>
          <cell r="G405">
            <v>0</v>
          </cell>
          <cell r="H405">
            <v>2314</v>
          </cell>
          <cell r="I405">
            <v>51194.69</v>
          </cell>
          <cell r="J405">
            <v>0</v>
          </cell>
          <cell r="K405">
            <v>0</v>
          </cell>
          <cell r="L405" t="str">
            <v>借</v>
          </cell>
          <cell r="M405">
            <v>1670</v>
          </cell>
          <cell r="N405">
            <v>24.854030000000002</v>
          </cell>
          <cell r="O405">
            <v>41506.230000000003</v>
          </cell>
        </row>
        <row r="406">
          <cell r="A406" t="str">
            <v>10</v>
          </cell>
          <cell r="F406" t="str">
            <v>累    计</v>
          </cell>
          <cell r="G406">
            <v>0</v>
          </cell>
          <cell r="H406">
            <v>2314</v>
          </cell>
          <cell r="I406">
            <v>51194.69</v>
          </cell>
          <cell r="J406">
            <v>1204</v>
          </cell>
          <cell r="K406">
            <v>18113.240000000002</v>
          </cell>
          <cell r="L406" t="str">
            <v>借</v>
          </cell>
          <cell r="M406">
            <v>1670</v>
          </cell>
          <cell r="N406">
            <v>24.854030000000002</v>
          </cell>
          <cell r="O406">
            <v>41506.230000000003</v>
          </cell>
        </row>
        <row r="407">
          <cell r="A407" t="str">
            <v>11</v>
          </cell>
          <cell r="B407" t="str">
            <v>30</v>
          </cell>
          <cell r="C407" t="str">
            <v>记-0045</v>
          </cell>
          <cell r="D407" t="str">
            <v>023</v>
          </cell>
          <cell r="E407" t="str">
            <v>梁外干草丁片</v>
          </cell>
          <cell r="F407" t="str">
            <v>合并名称</v>
          </cell>
          <cell r="G407">
            <v>15.04425</v>
          </cell>
          <cell r="H407">
            <v>784</v>
          </cell>
          <cell r="I407">
            <v>11794.69</v>
          </cell>
          <cell r="J407">
            <v>0</v>
          </cell>
          <cell r="K407">
            <v>0</v>
          </cell>
          <cell r="L407" t="str">
            <v>借</v>
          </cell>
          <cell r="M407">
            <v>2454</v>
          </cell>
          <cell r="N407">
            <v>0</v>
          </cell>
          <cell r="O407">
            <v>53300.92</v>
          </cell>
        </row>
        <row r="408">
          <cell r="A408" t="str">
            <v>11</v>
          </cell>
          <cell r="B408" t="str">
            <v>30</v>
          </cell>
          <cell r="C408" t="str">
            <v>记-0046</v>
          </cell>
          <cell r="D408" t="str">
            <v>023</v>
          </cell>
          <cell r="E408" t="str">
            <v>梁外干草丁片</v>
          </cell>
          <cell r="F408" t="str">
            <v>合并名称</v>
          </cell>
          <cell r="G408">
            <v>15.04429</v>
          </cell>
          <cell r="H408">
            <v>-56</v>
          </cell>
          <cell r="I408">
            <v>-842.48</v>
          </cell>
          <cell r="J408">
            <v>0</v>
          </cell>
          <cell r="K408">
            <v>0</v>
          </cell>
          <cell r="L408" t="str">
            <v>借</v>
          </cell>
          <cell r="M408">
            <v>2398</v>
          </cell>
          <cell r="N408">
            <v>0</v>
          </cell>
          <cell r="O408">
            <v>52458.44</v>
          </cell>
        </row>
        <row r="409">
          <cell r="A409" t="str">
            <v>11</v>
          </cell>
          <cell r="B409" t="str">
            <v>30</v>
          </cell>
          <cell r="C409" t="str">
            <v>记-0047</v>
          </cell>
          <cell r="D409" t="str">
            <v>023</v>
          </cell>
          <cell r="E409" t="str">
            <v>梁外干草丁片</v>
          </cell>
          <cell r="F409" t="str">
            <v>合并名称</v>
          </cell>
          <cell r="G409">
            <v>19.87114</v>
          </cell>
          <cell r="H409">
            <v>-44</v>
          </cell>
          <cell r="I409">
            <v>-874.33</v>
          </cell>
          <cell r="J409">
            <v>0</v>
          </cell>
          <cell r="K409">
            <v>0</v>
          </cell>
          <cell r="L409" t="str">
            <v>借</v>
          </cell>
          <cell r="M409">
            <v>2354</v>
          </cell>
          <cell r="N409">
            <v>0</v>
          </cell>
          <cell r="O409">
            <v>51584.11</v>
          </cell>
        </row>
        <row r="410">
          <cell r="A410" t="str">
            <v>11</v>
          </cell>
          <cell r="B410" t="str">
            <v>30</v>
          </cell>
          <cell r="C410" t="str">
            <v>记-0048</v>
          </cell>
          <cell r="D410" t="str">
            <v>023</v>
          </cell>
          <cell r="E410" t="str">
            <v>梁外干草丁片</v>
          </cell>
          <cell r="F410" t="str">
            <v>合并名称</v>
          </cell>
          <cell r="G410">
            <v>23.01</v>
          </cell>
          <cell r="H410">
            <v>-2314</v>
          </cell>
          <cell r="I410">
            <v>-53245.14</v>
          </cell>
          <cell r="J410">
            <v>0</v>
          </cell>
          <cell r="K410">
            <v>0</v>
          </cell>
          <cell r="L410" t="str">
            <v>贷</v>
          </cell>
          <cell r="M410">
            <v>-40</v>
          </cell>
          <cell r="N410">
            <v>0</v>
          </cell>
          <cell r="O410">
            <v>1661.03</v>
          </cell>
        </row>
        <row r="411">
          <cell r="A411" t="str">
            <v>11</v>
          </cell>
          <cell r="B411" t="str">
            <v>30</v>
          </cell>
          <cell r="C411" t="str">
            <v>记-0170</v>
          </cell>
          <cell r="D411" t="str">
            <v>023</v>
          </cell>
          <cell r="E411" t="str">
            <v>梁外干草丁片</v>
          </cell>
          <cell r="F411" t="str">
            <v>调整库存</v>
          </cell>
          <cell r="G411">
            <v>41.525750000000002</v>
          </cell>
          <cell r="H411">
            <v>-40</v>
          </cell>
          <cell r="I411">
            <v>1661.03</v>
          </cell>
          <cell r="J411">
            <v>0</v>
          </cell>
          <cell r="K411">
            <v>0</v>
          </cell>
          <cell r="L411" t="str">
            <v>平</v>
          </cell>
          <cell r="M411">
            <v>0</v>
          </cell>
          <cell r="N411">
            <v>0</v>
          </cell>
          <cell r="O411">
            <v>0</v>
          </cell>
        </row>
        <row r="412">
          <cell r="A412" t="str">
            <v>11</v>
          </cell>
          <cell r="F412" t="str">
            <v>本月合计</v>
          </cell>
          <cell r="G412">
            <v>0</v>
          </cell>
          <cell r="H412">
            <v>-1670</v>
          </cell>
          <cell r="I412">
            <v>-41506.230000000003</v>
          </cell>
          <cell r="J412">
            <v>0</v>
          </cell>
          <cell r="K412">
            <v>0</v>
          </cell>
          <cell r="L412" t="str">
            <v>平</v>
          </cell>
          <cell r="M412">
            <v>0</v>
          </cell>
          <cell r="N412">
            <v>0</v>
          </cell>
          <cell r="O412">
            <v>0</v>
          </cell>
        </row>
        <row r="413">
          <cell r="A413" t="str">
            <v>11</v>
          </cell>
          <cell r="E413" t="str">
            <v>梁外干草丁片</v>
          </cell>
          <cell r="F413" t="str">
            <v>本年累计</v>
          </cell>
          <cell r="G413">
            <v>0</v>
          </cell>
          <cell r="H413">
            <v>644</v>
          </cell>
          <cell r="I413">
            <v>9688.4599999999991</v>
          </cell>
          <cell r="J413">
            <v>1204</v>
          </cell>
          <cell r="K413">
            <v>18113.240000000002</v>
          </cell>
          <cell r="L413" t="str">
            <v>平</v>
          </cell>
          <cell r="M413">
            <v>0</v>
          </cell>
          <cell r="N413">
            <v>0</v>
          </cell>
          <cell r="O413">
            <v>0</v>
          </cell>
        </row>
        <row r="414">
          <cell r="D414" t="str">
            <v>024</v>
          </cell>
          <cell r="E414" t="str">
            <v>超细野生干草粉</v>
          </cell>
          <cell r="F414" t="str">
            <v>上年结转</v>
          </cell>
          <cell r="G414">
            <v>0</v>
          </cell>
          <cell r="H414">
            <v>0</v>
          </cell>
          <cell r="I414">
            <v>0</v>
          </cell>
          <cell r="J414">
            <v>0</v>
          </cell>
          <cell r="K414">
            <v>0</v>
          </cell>
          <cell r="L414" t="str">
            <v>借</v>
          </cell>
          <cell r="M414">
            <v>460</v>
          </cell>
          <cell r="N414">
            <v>7.07965</v>
          </cell>
          <cell r="O414">
            <v>3256.64</v>
          </cell>
        </row>
        <row r="415">
          <cell r="A415" t="str">
            <v>02</v>
          </cell>
          <cell r="B415" t="str">
            <v>28</v>
          </cell>
          <cell r="C415" t="str">
            <v>记-0051</v>
          </cell>
          <cell r="D415" t="str">
            <v>024</v>
          </cell>
          <cell r="E415" t="str">
            <v>超细野生干草粉</v>
          </cell>
          <cell r="F415" t="str">
            <v>销售商品</v>
          </cell>
          <cell r="G415">
            <v>7.0796200000000002</v>
          </cell>
          <cell r="H415">
            <v>0</v>
          </cell>
          <cell r="I415">
            <v>0</v>
          </cell>
          <cell r="J415">
            <v>260</v>
          </cell>
          <cell r="K415">
            <v>1840.7</v>
          </cell>
          <cell r="L415" t="str">
            <v>借</v>
          </cell>
          <cell r="M415">
            <v>200</v>
          </cell>
          <cell r="N415">
            <v>0</v>
          </cell>
          <cell r="O415">
            <v>1415.94</v>
          </cell>
        </row>
        <row r="416">
          <cell r="A416" t="str">
            <v>02</v>
          </cell>
          <cell r="F416" t="str">
            <v>本月合计</v>
          </cell>
          <cell r="G416">
            <v>0</v>
          </cell>
          <cell r="H416">
            <v>0</v>
          </cell>
          <cell r="I416">
            <v>0</v>
          </cell>
          <cell r="J416">
            <v>260</v>
          </cell>
          <cell r="K416">
            <v>1840.7</v>
          </cell>
          <cell r="L416" t="str">
            <v>借</v>
          </cell>
          <cell r="M416">
            <v>200</v>
          </cell>
          <cell r="N416">
            <v>7.0796999999999999</v>
          </cell>
          <cell r="O416">
            <v>1415.94</v>
          </cell>
        </row>
        <row r="417">
          <cell r="A417" t="str">
            <v>02</v>
          </cell>
          <cell r="F417" t="str">
            <v>累    计</v>
          </cell>
          <cell r="G417">
            <v>0</v>
          </cell>
          <cell r="H417">
            <v>0</v>
          </cell>
          <cell r="I417">
            <v>0</v>
          </cell>
          <cell r="J417">
            <v>260</v>
          </cell>
          <cell r="K417">
            <v>1840.7</v>
          </cell>
          <cell r="L417" t="str">
            <v>借</v>
          </cell>
          <cell r="M417">
            <v>200</v>
          </cell>
          <cell r="N417">
            <v>7.0796999999999999</v>
          </cell>
          <cell r="O417">
            <v>1415.94</v>
          </cell>
        </row>
        <row r="418">
          <cell r="A418" t="str">
            <v>11</v>
          </cell>
          <cell r="B418" t="str">
            <v>30</v>
          </cell>
          <cell r="C418" t="str">
            <v>记-0082</v>
          </cell>
          <cell r="D418" t="str">
            <v>024</v>
          </cell>
          <cell r="E418" t="str">
            <v>超细野生干草粉</v>
          </cell>
          <cell r="F418" t="str">
            <v>合并名称</v>
          </cell>
          <cell r="G418">
            <v>7.0796999999999999</v>
          </cell>
          <cell r="H418">
            <v>-200</v>
          </cell>
          <cell r="I418">
            <v>-1415.94</v>
          </cell>
          <cell r="J418">
            <v>0</v>
          </cell>
          <cell r="K418">
            <v>0</v>
          </cell>
          <cell r="L418" t="str">
            <v>平</v>
          </cell>
          <cell r="M418">
            <v>0</v>
          </cell>
          <cell r="N418">
            <v>0</v>
          </cell>
          <cell r="O418">
            <v>0</v>
          </cell>
        </row>
        <row r="419">
          <cell r="A419" t="str">
            <v>11</v>
          </cell>
          <cell r="F419" t="str">
            <v>本月合计</v>
          </cell>
          <cell r="G419">
            <v>0</v>
          </cell>
          <cell r="H419">
            <v>-200</v>
          </cell>
          <cell r="I419">
            <v>-1415.94</v>
          </cell>
          <cell r="J419">
            <v>0</v>
          </cell>
          <cell r="K419">
            <v>0</v>
          </cell>
          <cell r="L419" t="str">
            <v>平</v>
          </cell>
          <cell r="M419">
            <v>0</v>
          </cell>
          <cell r="N419">
            <v>0</v>
          </cell>
          <cell r="O419">
            <v>0</v>
          </cell>
        </row>
        <row r="420">
          <cell r="A420" t="str">
            <v>11</v>
          </cell>
          <cell r="E420" t="str">
            <v>超细野生干草粉</v>
          </cell>
          <cell r="F420" t="str">
            <v>本年累计</v>
          </cell>
          <cell r="G420">
            <v>0</v>
          </cell>
          <cell r="H420">
            <v>-200</v>
          </cell>
          <cell r="I420">
            <v>-1415.94</v>
          </cell>
          <cell r="J420">
            <v>260</v>
          </cell>
          <cell r="K420">
            <v>1840.7</v>
          </cell>
          <cell r="L420" t="str">
            <v>平</v>
          </cell>
          <cell r="M420">
            <v>0</v>
          </cell>
          <cell r="N420">
            <v>0</v>
          </cell>
          <cell r="O420">
            <v>0</v>
          </cell>
        </row>
        <row r="421">
          <cell r="D421" t="str">
            <v>025</v>
          </cell>
          <cell r="E421" t="str">
            <v>超细野生家种干</v>
          </cell>
          <cell r="F421" t="str">
            <v>上年结转</v>
          </cell>
          <cell r="G421">
            <v>0</v>
          </cell>
          <cell r="H421">
            <v>0</v>
          </cell>
          <cell r="I421">
            <v>0</v>
          </cell>
          <cell r="J421">
            <v>0</v>
          </cell>
          <cell r="K421">
            <v>0</v>
          </cell>
          <cell r="L421" t="str">
            <v>借</v>
          </cell>
          <cell r="M421">
            <v>460</v>
          </cell>
          <cell r="N421">
            <v>6.1947000000000001</v>
          </cell>
          <cell r="O421">
            <v>2849.56</v>
          </cell>
        </row>
        <row r="422">
          <cell r="A422" t="str">
            <v>11</v>
          </cell>
          <cell r="B422" t="str">
            <v>30</v>
          </cell>
          <cell r="C422" t="str">
            <v>记-0083</v>
          </cell>
          <cell r="D422" t="str">
            <v>025</v>
          </cell>
          <cell r="E422" t="str">
            <v>超细野生家种干</v>
          </cell>
          <cell r="F422" t="str">
            <v>合并名称</v>
          </cell>
          <cell r="G422">
            <v>6.1947000000000001</v>
          </cell>
          <cell r="H422">
            <v>-460</v>
          </cell>
          <cell r="I422">
            <v>-2849.56</v>
          </cell>
          <cell r="J422">
            <v>0</v>
          </cell>
          <cell r="K422">
            <v>0</v>
          </cell>
          <cell r="L422" t="str">
            <v>平</v>
          </cell>
          <cell r="M422">
            <v>0</v>
          </cell>
          <cell r="N422">
            <v>0</v>
          </cell>
          <cell r="O422">
            <v>0</v>
          </cell>
        </row>
        <row r="423">
          <cell r="A423" t="str">
            <v>11</v>
          </cell>
          <cell r="F423" t="str">
            <v>本月合计</v>
          </cell>
          <cell r="G423">
            <v>0</v>
          </cell>
          <cell r="H423">
            <v>-460</v>
          </cell>
          <cell r="I423">
            <v>-2849.56</v>
          </cell>
          <cell r="J423">
            <v>0</v>
          </cell>
          <cell r="K423">
            <v>0</v>
          </cell>
          <cell r="L423" t="str">
            <v>平</v>
          </cell>
          <cell r="M423">
            <v>0</v>
          </cell>
          <cell r="N423">
            <v>0</v>
          </cell>
          <cell r="O423">
            <v>0</v>
          </cell>
        </row>
        <row r="424">
          <cell r="A424" t="str">
            <v>11</v>
          </cell>
          <cell r="E424" t="str">
            <v>超细野生家种干</v>
          </cell>
          <cell r="F424" t="str">
            <v>本年累计</v>
          </cell>
          <cell r="G424">
            <v>0</v>
          </cell>
          <cell r="H424">
            <v>-460</v>
          </cell>
          <cell r="I424">
            <v>-2849.56</v>
          </cell>
          <cell r="J424">
            <v>0</v>
          </cell>
          <cell r="K424">
            <v>0</v>
          </cell>
          <cell r="L424" t="str">
            <v>平</v>
          </cell>
          <cell r="M424">
            <v>0</v>
          </cell>
          <cell r="N424">
            <v>0</v>
          </cell>
          <cell r="O424">
            <v>0</v>
          </cell>
        </row>
        <row r="425">
          <cell r="D425" t="str">
            <v>026</v>
          </cell>
          <cell r="E425" t="str">
            <v>120干草粉</v>
          </cell>
          <cell r="F425" t="str">
            <v>上年结转</v>
          </cell>
          <cell r="G425">
            <v>0</v>
          </cell>
          <cell r="H425">
            <v>0</v>
          </cell>
          <cell r="I425">
            <v>0</v>
          </cell>
          <cell r="J425">
            <v>0</v>
          </cell>
          <cell r="K425">
            <v>0</v>
          </cell>
          <cell r="L425" t="str">
            <v>借</v>
          </cell>
          <cell r="M425">
            <v>105</v>
          </cell>
          <cell r="N425">
            <v>6.1947599999999996</v>
          </cell>
          <cell r="O425">
            <v>650.45000000000005</v>
          </cell>
        </row>
        <row r="426">
          <cell r="A426" t="str">
            <v>03</v>
          </cell>
          <cell r="B426" t="str">
            <v>31</v>
          </cell>
          <cell r="C426" t="str">
            <v>记-0046</v>
          </cell>
          <cell r="D426" t="str">
            <v>026</v>
          </cell>
          <cell r="E426" t="str">
            <v>120干草粉</v>
          </cell>
          <cell r="F426" t="str">
            <v>转成本</v>
          </cell>
          <cell r="G426">
            <v>7.07958</v>
          </cell>
          <cell r="H426">
            <v>0</v>
          </cell>
          <cell r="I426">
            <v>0</v>
          </cell>
          <cell r="J426">
            <v>120</v>
          </cell>
          <cell r="K426">
            <v>849.55</v>
          </cell>
          <cell r="L426" t="str">
            <v>贷</v>
          </cell>
          <cell r="M426">
            <v>15</v>
          </cell>
          <cell r="N426">
            <v>0</v>
          </cell>
          <cell r="O426">
            <v>199.1</v>
          </cell>
        </row>
        <row r="427">
          <cell r="A427" t="str">
            <v>03</v>
          </cell>
          <cell r="F427" t="str">
            <v>本月合计</v>
          </cell>
          <cell r="G427">
            <v>0</v>
          </cell>
          <cell r="H427">
            <v>0</v>
          </cell>
          <cell r="I427">
            <v>0</v>
          </cell>
          <cell r="J427">
            <v>120</v>
          </cell>
          <cell r="K427">
            <v>849.55</v>
          </cell>
          <cell r="L427" t="str">
            <v>贷</v>
          </cell>
          <cell r="M427">
            <v>15</v>
          </cell>
          <cell r="N427">
            <v>13.27333</v>
          </cell>
          <cell r="O427">
            <v>199.1</v>
          </cell>
        </row>
        <row r="428">
          <cell r="A428" t="str">
            <v>03</v>
          </cell>
          <cell r="F428" t="str">
            <v>累    计</v>
          </cell>
          <cell r="G428">
            <v>0</v>
          </cell>
          <cell r="H428">
            <v>0</v>
          </cell>
          <cell r="I428">
            <v>0</v>
          </cell>
          <cell r="J428">
            <v>120</v>
          </cell>
          <cell r="K428">
            <v>849.55</v>
          </cell>
          <cell r="L428" t="str">
            <v>贷</v>
          </cell>
          <cell r="M428">
            <v>15</v>
          </cell>
          <cell r="N428">
            <v>13.27333</v>
          </cell>
          <cell r="O428">
            <v>199.1</v>
          </cell>
        </row>
        <row r="429">
          <cell r="A429" t="str">
            <v>11</v>
          </cell>
          <cell r="B429" t="str">
            <v>30</v>
          </cell>
          <cell r="C429" t="str">
            <v>记-0079</v>
          </cell>
          <cell r="D429" t="str">
            <v>026</v>
          </cell>
          <cell r="E429" t="str">
            <v>120干草粉</v>
          </cell>
          <cell r="F429" t="str">
            <v>合并名称</v>
          </cell>
          <cell r="G429">
            <v>13.27333</v>
          </cell>
          <cell r="H429">
            <v>15</v>
          </cell>
          <cell r="I429">
            <v>199.1</v>
          </cell>
          <cell r="J429">
            <v>0</v>
          </cell>
          <cell r="K429">
            <v>0</v>
          </cell>
          <cell r="L429" t="str">
            <v>平</v>
          </cell>
          <cell r="M429">
            <v>0</v>
          </cell>
          <cell r="N429">
            <v>0</v>
          </cell>
          <cell r="O429">
            <v>0</v>
          </cell>
        </row>
        <row r="430">
          <cell r="A430" t="str">
            <v>11</v>
          </cell>
          <cell r="F430" t="str">
            <v>本月合计</v>
          </cell>
          <cell r="G430">
            <v>0</v>
          </cell>
          <cell r="H430">
            <v>15</v>
          </cell>
          <cell r="I430">
            <v>199.1</v>
          </cell>
          <cell r="J430">
            <v>0</v>
          </cell>
          <cell r="K430">
            <v>0</v>
          </cell>
          <cell r="L430" t="str">
            <v>平</v>
          </cell>
          <cell r="M430">
            <v>0</v>
          </cell>
          <cell r="N430">
            <v>0</v>
          </cell>
          <cell r="O430">
            <v>0</v>
          </cell>
        </row>
        <row r="431">
          <cell r="A431" t="str">
            <v>11</v>
          </cell>
          <cell r="E431" t="str">
            <v>120干草粉</v>
          </cell>
          <cell r="F431" t="str">
            <v>本年累计</v>
          </cell>
          <cell r="G431">
            <v>0</v>
          </cell>
          <cell r="H431">
            <v>15</v>
          </cell>
          <cell r="I431">
            <v>199.1</v>
          </cell>
          <cell r="J431">
            <v>120</v>
          </cell>
          <cell r="K431">
            <v>849.55</v>
          </cell>
          <cell r="L431" t="str">
            <v>平</v>
          </cell>
          <cell r="M431">
            <v>0</v>
          </cell>
          <cell r="N431">
            <v>0</v>
          </cell>
          <cell r="O431">
            <v>0</v>
          </cell>
        </row>
        <row r="432">
          <cell r="D432" t="str">
            <v>027</v>
          </cell>
          <cell r="E432" t="str">
            <v>1250干草粉</v>
          </cell>
          <cell r="F432" t="str">
            <v>上年结转</v>
          </cell>
          <cell r="G432">
            <v>0</v>
          </cell>
          <cell r="H432">
            <v>0</v>
          </cell>
          <cell r="I432">
            <v>0</v>
          </cell>
          <cell r="J432">
            <v>0</v>
          </cell>
          <cell r="K432">
            <v>0</v>
          </cell>
          <cell r="L432" t="str">
            <v>借</v>
          </cell>
          <cell r="M432">
            <v>60</v>
          </cell>
          <cell r="N432">
            <v>6.1946700000000003</v>
          </cell>
          <cell r="O432">
            <v>371.68</v>
          </cell>
        </row>
        <row r="433">
          <cell r="A433" t="str">
            <v>11</v>
          </cell>
          <cell r="B433" t="str">
            <v>30</v>
          </cell>
          <cell r="C433" t="str">
            <v>记-0084</v>
          </cell>
          <cell r="D433" t="str">
            <v>027</v>
          </cell>
          <cell r="E433" t="str">
            <v>1250干草粉</v>
          </cell>
          <cell r="F433" t="str">
            <v>合并名称</v>
          </cell>
          <cell r="G433">
            <v>0</v>
          </cell>
          <cell r="H433">
            <v>0</v>
          </cell>
          <cell r="I433">
            <v>-371.68</v>
          </cell>
          <cell r="J433">
            <v>0</v>
          </cell>
          <cell r="K433">
            <v>0</v>
          </cell>
          <cell r="L433" t="str">
            <v>平</v>
          </cell>
          <cell r="M433">
            <v>60</v>
          </cell>
          <cell r="N433">
            <v>0</v>
          </cell>
          <cell r="O433">
            <v>0</v>
          </cell>
        </row>
        <row r="434">
          <cell r="A434" t="str">
            <v>11</v>
          </cell>
          <cell r="F434" t="str">
            <v>本月合计</v>
          </cell>
          <cell r="G434">
            <v>0</v>
          </cell>
          <cell r="H434">
            <v>0</v>
          </cell>
          <cell r="I434">
            <v>-371.68</v>
          </cell>
          <cell r="J434">
            <v>0</v>
          </cell>
          <cell r="K434">
            <v>0</v>
          </cell>
          <cell r="L434" t="str">
            <v>平</v>
          </cell>
          <cell r="M434">
            <v>60</v>
          </cell>
          <cell r="N434">
            <v>0</v>
          </cell>
          <cell r="O434">
            <v>0</v>
          </cell>
        </row>
        <row r="435">
          <cell r="A435" t="str">
            <v>11</v>
          </cell>
          <cell r="F435" t="str">
            <v>累    计</v>
          </cell>
          <cell r="G435">
            <v>0</v>
          </cell>
          <cell r="H435">
            <v>0</v>
          </cell>
          <cell r="I435">
            <v>-371.68</v>
          </cell>
          <cell r="J435">
            <v>0</v>
          </cell>
          <cell r="K435">
            <v>0</v>
          </cell>
          <cell r="L435" t="str">
            <v>平</v>
          </cell>
          <cell r="M435">
            <v>60</v>
          </cell>
          <cell r="N435">
            <v>0</v>
          </cell>
          <cell r="O435">
            <v>0</v>
          </cell>
        </row>
        <row r="436">
          <cell r="A436" t="str">
            <v>12</v>
          </cell>
          <cell r="B436" t="str">
            <v>11</v>
          </cell>
          <cell r="C436" t="str">
            <v>记-0007</v>
          </cell>
          <cell r="D436" t="str">
            <v>027</v>
          </cell>
          <cell r="E436" t="str">
            <v>1250干草粉</v>
          </cell>
          <cell r="F436" t="str">
            <v>调整84号凭证</v>
          </cell>
          <cell r="G436">
            <v>0</v>
          </cell>
          <cell r="H436">
            <v>0</v>
          </cell>
          <cell r="I436">
            <v>371.68</v>
          </cell>
          <cell r="J436">
            <v>0</v>
          </cell>
          <cell r="K436">
            <v>0</v>
          </cell>
          <cell r="L436" t="str">
            <v>借</v>
          </cell>
          <cell r="M436">
            <v>60</v>
          </cell>
          <cell r="N436">
            <v>0</v>
          </cell>
          <cell r="O436">
            <v>371.68</v>
          </cell>
        </row>
        <row r="437">
          <cell r="A437" t="str">
            <v>12</v>
          </cell>
          <cell r="B437" t="str">
            <v>11</v>
          </cell>
          <cell r="C437" t="str">
            <v>记-0007</v>
          </cell>
          <cell r="D437" t="str">
            <v>027</v>
          </cell>
          <cell r="E437" t="str">
            <v>1250干草粉</v>
          </cell>
          <cell r="F437" t="str">
            <v>更正</v>
          </cell>
          <cell r="G437">
            <v>0</v>
          </cell>
          <cell r="H437">
            <v>0</v>
          </cell>
          <cell r="I437">
            <v>-371.68</v>
          </cell>
          <cell r="J437">
            <v>0</v>
          </cell>
          <cell r="K437">
            <v>0</v>
          </cell>
          <cell r="L437" t="str">
            <v>平</v>
          </cell>
          <cell r="M437">
            <v>60</v>
          </cell>
          <cell r="N437">
            <v>0</v>
          </cell>
          <cell r="O437">
            <v>0</v>
          </cell>
        </row>
        <row r="438">
          <cell r="A438" t="str">
            <v>12</v>
          </cell>
          <cell r="F438" t="str">
            <v>本月合计</v>
          </cell>
          <cell r="G438">
            <v>0</v>
          </cell>
          <cell r="H438">
            <v>0</v>
          </cell>
          <cell r="I438">
            <v>0</v>
          </cell>
          <cell r="J438">
            <v>0</v>
          </cell>
          <cell r="K438">
            <v>0</v>
          </cell>
          <cell r="L438" t="str">
            <v>平</v>
          </cell>
          <cell r="M438">
            <v>60</v>
          </cell>
          <cell r="N438">
            <v>0</v>
          </cell>
          <cell r="O438">
            <v>0</v>
          </cell>
        </row>
        <row r="439">
          <cell r="A439" t="str">
            <v>12</v>
          </cell>
          <cell r="E439" t="str">
            <v>1250干草粉</v>
          </cell>
          <cell r="F439" t="str">
            <v>本年累计</v>
          </cell>
          <cell r="G439">
            <v>0</v>
          </cell>
          <cell r="H439">
            <v>0</v>
          </cell>
          <cell r="I439">
            <v>-371.68</v>
          </cell>
          <cell r="J439">
            <v>0</v>
          </cell>
          <cell r="K439">
            <v>0</v>
          </cell>
          <cell r="L439" t="str">
            <v>平</v>
          </cell>
          <cell r="M439">
            <v>60</v>
          </cell>
          <cell r="N439">
            <v>0</v>
          </cell>
          <cell r="O439">
            <v>0</v>
          </cell>
        </row>
        <row r="440">
          <cell r="D440" t="str">
            <v>028</v>
          </cell>
          <cell r="E440" t="str">
            <v>干草乙片</v>
          </cell>
          <cell r="F440" t="str">
            <v>上年结转</v>
          </cell>
          <cell r="G440">
            <v>0</v>
          </cell>
          <cell r="H440">
            <v>0</v>
          </cell>
          <cell r="I440">
            <v>0</v>
          </cell>
          <cell r="J440">
            <v>0</v>
          </cell>
          <cell r="K440">
            <v>0</v>
          </cell>
          <cell r="L440" t="str">
            <v>借</v>
          </cell>
          <cell r="M440">
            <v>22</v>
          </cell>
          <cell r="N440">
            <v>20.354089999999999</v>
          </cell>
          <cell r="O440">
            <v>447.79</v>
          </cell>
        </row>
        <row r="441">
          <cell r="D441" t="str">
            <v>029</v>
          </cell>
          <cell r="E441" t="str">
            <v>干草丙片</v>
          </cell>
          <cell r="F441" t="str">
            <v>上年结转</v>
          </cell>
          <cell r="G441">
            <v>0</v>
          </cell>
          <cell r="H441">
            <v>0</v>
          </cell>
          <cell r="I441">
            <v>0</v>
          </cell>
          <cell r="J441">
            <v>0</v>
          </cell>
          <cell r="K441">
            <v>0</v>
          </cell>
          <cell r="L441" t="str">
            <v>借</v>
          </cell>
          <cell r="M441">
            <v>40</v>
          </cell>
          <cell r="N441">
            <v>11.5045</v>
          </cell>
          <cell r="O441">
            <v>460.18</v>
          </cell>
        </row>
        <row r="442">
          <cell r="A442" t="str">
            <v>11</v>
          </cell>
          <cell r="B442" t="str">
            <v>30</v>
          </cell>
          <cell r="C442" t="str">
            <v>记-0109</v>
          </cell>
          <cell r="D442" t="str">
            <v>029</v>
          </cell>
          <cell r="E442" t="str">
            <v>干草丙片</v>
          </cell>
          <cell r="F442" t="str">
            <v>合并名称</v>
          </cell>
          <cell r="G442">
            <v>11.5045</v>
          </cell>
          <cell r="H442">
            <v>-40</v>
          </cell>
          <cell r="I442">
            <v>-460.18</v>
          </cell>
          <cell r="J442">
            <v>0</v>
          </cell>
          <cell r="K442">
            <v>0</v>
          </cell>
          <cell r="L442" t="str">
            <v>平</v>
          </cell>
          <cell r="M442">
            <v>0</v>
          </cell>
          <cell r="N442">
            <v>0</v>
          </cell>
          <cell r="O442">
            <v>0</v>
          </cell>
        </row>
        <row r="443">
          <cell r="A443" t="str">
            <v>11</v>
          </cell>
          <cell r="F443" t="str">
            <v>本月合计</v>
          </cell>
          <cell r="G443">
            <v>0</v>
          </cell>
          <cell r="H443">
            <v>-40</v>
          </cell>
          <cell r="I443">
            <v>-460.18</v>
          </cell>
          <cell r="J443">
            <v>0</v>
          </cell>
          <cell r="K443">
            <v>0</v>
          </cell>
          <cell r="L443" t="str">
            <v>平</v>
          </cell>
          <cell r="M443">
            <v>0</v>
          </cell>
          <cell r="N443">
            <v>0</v>
          </cell>
          <cell r="O443">
            <v>0</v>
          </cell>
        </row>
        <row r="444">
          <cell r="A444" t="str">
            <v>11</v>
          </cell>
          <cell r="E444" t="str">
            <v>干草丙片</v>
          </cell>
          <cell r="F444" t="str">
            <v>本年累计</v>
          </cell>
          <cell r="G444">
            <v>0</v>
          </cell>
          <cell r="H444">
            <v>-40</v>
          </cell>
          <cell r="I444">
            <v>-460.18</v>
          </cell>
          <cell r="J444">
            <v>0</v>
          </cell>
          <cell r="K444">
            <v>0</v>
          </cell>
          <cell r="L444" t="str">
            <v>平</v>
          </cell>
          <cell r="M444">
            <v>0</v>
          </cell>
          <cell r="N444">
            <v>0</v>
          </cell>
          <cell r="O444">
            <v>0</v>
          </cell>
        </row>
        <row r="445">
          <cell r="D445" t="str">
            <v>030</v>
          </cell>
          <cell r="E445" t="str">
            <v>干草丁片</v>
          </cell>
          <cell r="F445" t="str">
            <v>上年结转</v>
          </cell>
          <cell r="G445">
            <v>0</v>
          </cell>
          <cell r="H445">
            <v>0</v>
          </cell>
          <cell r="I445">
            <v>0</v>
          </cell>
          <cell r="J445">
            <v>0</v>
          </cell>
          <cell r="K445">
            <v>0</v>
          </cell>
          <cell r="L445" t="str">
            <v>借</v>
          </cell>
          <cell r="M445">
            <v>40</v>
          </cell>
          <cell r="N445">
            <v>9.7345000000000006</v>
          </cell>
          <cell r="O445">
            <v>389.38</v>
          </cell>
        </row>
        <row r="446">
          <cell r="A446" t="str">
            <v>03</v>
          </cell>
          <cell r="B446" t="str">
            <v>31</v>
          </cell>
          <cell r="C446" t="str">
            <v>记-0035</v>
          </cell>
          <cell r="D446" t="str">
            <v>030</v>
          </cell>
          <cell r="E446" t="str">
            <v>干草丁片</v>
          </cell>
          <cell r="F446" t="str">
            <v>转成本</v>
          </cell>
          <cell r="G446">
            <v>15.044169999999999</v>
          </cell>
          <cell r="H446">
            <v>0</v>
          </cell>
          <cell r="I446">
            <v>0</v>
          </cell>
          <cell r="J446">
            <v>84</v>
          </cell>
          <cell r="K446">
            <v>1263.71</v>
          </cell>
          <cell r="L446" t="str">
            <v>贷</v>
          </cell>
          <cell r="M446">
            <v>44</v>
          </cell>
          <cell r="N446">
            <v>0</v>
          </cell>
          <cell r="O446">
            <v>874.33</v>
          </cell>
        </row>
        <row r="447">
          <cell r="A447" t="str">
            <v>03</v>
          </cell>
          <cell r="F447" t="str">
            <v>本月合计</v>
          </cell>
          <cell r="G447">
            <v>0</v>
          </cell>
          <cell r="H447">
            <v>0</v>
          </cell>
          <cell r="I447">
            <v>0</v>
          </cell>
          <cell r="J447">
            <v>84</v>
          </cell>
          <cell r="K447">
            <v>1263.71</v>
          </cell>
          <cell r="L447" t="str">
            <v>贷</v>
          </cell>
          <cell r="M447">
            <v>44</v>
          </cell>
          <cell r="N447">
            <v>19.87114</v>
          </cell>
          <cell r="O447">
            <v>874.33</v>
          </cell>
        </row>
        <row r="448">
          <cell r="A448" t="str">
            <v>03</v>
          </cell>
          <cell r="F448" t="str">
            <v>累    计</v>
          </cell>
          <cell r="G448">
            <v>0</v>
          </cell>
          <cell r="H448">
            <v>0</v>
          </cell>
          <cell r="I448">
            <v>0</v>
          </cell>
          <cell r="J448">
            <v>84</v>
          </cell>
          <cell r="K448">
            <v>1263.71</v>
          </cell>
          <cell r="L448" t="str">
            <v>贷</v>
          </cell>
          <cell r="M448">
            <v>44</v>
          </cell>
          <cell r="N448">
            <v>19.87114</v>
          </cell>
          <cell r="O448">
            <v>874.33</v>
          </cell>
        </row>
        <row r="449">
          <cell r="A449" t="str">
            <v>11</v>
          </cell>
          <cell r="B449" t="str">
            <v>30</v>
          </cell>
          <cell r="C449" t="str">
            <v>记-0047</v>
          </cell>
          <cell r="D449" t="str">
            <v>030</v>
          </cell>
          <cell r="E449" t="str">
            <v>干草丁片</v>
          </cell>
          <cell r="F449" t="str">
            <v>合并名称</v>
          </cell>
          <cell r="G449">
            <v>19.87114</v>
          </cell>
          <cell r="H449">
            <v>44</v>
          </cell>
          <cell r="I449">
            <v>874.33</v>
          </cell>
          <cell r="J449">
            <v>0</v>
          </cell>
          <cell r="K449">
            <v>0</v>
          </cell>
          <cell r="L449" t="str">
            <v>平</v>
          </cell>
          <cell r="M449">
            <v>0</v>
          </cell>
          <cell r="N449">
            <v>0</v>
          </cell>
          <cell r="O449">
            <v>0</v>
          </cell>
        </row>
        <row r="450">
          <cell r="A450" t="str">
            <v>11</v>
          </cell>
          <cell r="F450" t="str">
            <v>本月合计</v>
          </cell>
          <cell r="G450">
            <v>0</v>
          </cell>
          <cell r="H450">
            <v>44</v>
          </cell>
          <cell r="I450">
            <v>874.33</v>
          </cell>
          <cell r="J450">
            <v>0</v>
          </cell>
          <cell r="K450">
            <v>0</v>
          </cell>
          <cell r="L450" t="str">
            <v>平</v>
          </cell>
          <cell r="M450">
            <v>0</v>
          </cell>
          <cell r="N450">
            <v>0</v>
          </cell>
          <cell r="O450">
            <v>0</v>
          </cell>
        </row>
        <row r="451">
          <cell r="A451" t="str">
            <v>11</v>
          </cell>
          <cell r="E451" t="str">
            <v>干草丁片</v>
          </cell>
          <cell r="F451" t="str">
            <v>本年累计</v>
          </cell>
          <cell r="G451">
            <v>0</v>
          </cell>
          <cell r="H451">
            <v>44</v>
          </cell>
          <cell r="I451">
            <v>874.33</v>
          </cell>
          <cell r="J451">
            <v>84</v>
          </cell>
          <cell r="K451">
            <v>1263.71</v>
          </cell>
          <cell r="L451" t="str">
            <v>平</v>
          </cell>
          <cell r="M451">
            <v>0</v>
          </cell>
          <cell r="N451">
            <v>0</v>
          </cell>
          <cell r="O451">
            <v>0</v>
          </cell>
        </row>
        <row r="452">
          <cell r="D452" t="str">
            <v>031</v>
          </cell>
          <cell r="E452" t="str">
            <v>小节子</v>
          </cell>
          <cell r="F452" t="str">
            <v>上年结转</v>
          </cell>
          <cell r="G452">
            <v>0</v>
          </cell>
          <cell r="H452">
            <v>0</v>
          </cell>
          <cell r="I452">
            <v>0</v>
          </cell>
          <cell r="J452">
            <v>0</v>
          </cell>
          <cell r="K452">
            <v>0</v>
          </cell>
          <cell r="L452" t="str">
            <v>借</v>
          </cell>
          <cell r="M452">
            <v>2559</v>
          </cell>
          <cell r="N452">
            <v>4.8329899999999997</v>
          </cell>
          <cell r="O452">
            <v>12367.63</v>
          </cell>
        </row>
        <row r="453">
          <cell r="A453" t="str">
            <v>06</v>
          </cell>
          <cell r="B453" t="str">
            <v>24</v>
          </cell>
          <cell r="C453" t="str">
            <v>记-0018</v>
          </cell>
          <cell r="D453" t="str">
            <v>031</v>
          </cell>
          <cell r="E453" t="str">
            <v>小节子</v>
          </cell>
          <cell r="F453" t="str">
            <v>结转成本</v>
          </cell>
          <cell r="G453">
            <v>7.4</v>
          </cell>
          <cell r="H453">
            <v>0</v>
          </cell>
          <cell r="I453">
            <v>0</v>
          </cell>
          <cell r="J453">
            <v>23006</v>
          </cell>
          <cell r="K453">
            <v>170244.4</v>
          </cell>
          <cell r="L453" t="str">
            <v>贷</v>
          </cell>
          <cell r="M453">
            <v>20447</v>
          </cell>
          <cell r="N453">
            <v>0</v>
          </cell>
          <cell r="O453">
            <v>157876.76999999999</v>
          </cell>
        </row>
        <row r="454">
          <cell r="A454" t="str">
            <v>06</v>
          </cell>
          <cell r="B454" t="str">
            <v>24</v>
          </cell>
          <cell r="C454" t="str">
            <v>记-0018</v>
          </cell>
          <cell r="D454" t="str">
            <v>031</v>
          </cell>
          <cell r="E454" t="str">
            <v>小节子</v>
          </cell>
          <cell r="F454" t="str">
            <v>结转成本</v>
          </cell>
          <cell r="G454">
            <v>6.96</v>
          </cell>
          <cell r="H454">
            <v>0</v>
          </cell>
          <cell r="I454">
            <v>0</v>
          </cell>
          <cell r="J454">
            <v>1224</v>
          </cell>
          <cell r="K454">
            <v>8519.0400000000009</v>
          </cell>
          <cell r="L454" t="str">
            <v>贷</v>
          </cell>
          <cell r="M454">
            <v>21671</v>
          </cell>
          <cell r="N454">
            <v>0</v>
          </cell>
          <cell r="O454">
            <v>166395.81</v>
          </cell>
        </row>
        <row r="455">
          <cell r="A455" t="str">
            <v>06</v>
          </cell>
          <cell r="B455" t="str">
            <v>24</v>
          </cell>
          <cell r="C455" t="str">
            <v>记-0019</v>
          </cell>
          <cell r="D455" t="str">
            <v>031</v>
          </cell>
          <cell r="E455" t="str">
            <v>小节子</v>
          </cell>
          <cell r="F455" t="str">
            <v>收购产品</v>
          </cell>
          <cell r="G455">
            <v>6.96</v>
          </cell>
          <cell r="H455">
            <v>1224</v>
          </cell>
          <cell r="I455">
            <v>8519.0400000000009</v>
          </cell>
          <cell r="J455">
            <v>0</v>
          </cell>
          <cell r="K455">
            <v>0</v>
          </cell>
          <cell r="L455" t="str">
            <v>贷</v>
          </cell>
          <cell r="M455">
            <v>20447</v>
          </cell>
          <cell r="N455">
            <v>0</v>
          </cell>
          <cell r="O455">
            <v>157876.76999999999</v>
          </cell>
        </row>
        <row r="456">
          <cell r="A456" t="str">
            <v>06</v>
          </cell>
          <cell r="B456" t="str">
            <v>24</v>
          </cell>
          <cell r="C456" t="str">
            <v>记-0020</v>
          </cell>
          <cell r="D456" t="str">
            <v>031</v>
          </cell>
          <cell r="E456" t="str">
            <v>小节子</v>
          </cell>
          <cell r="F456" t="str">
            <v>收购产品</v>
          </cell>
          <cell r="G456">
            <v>8.7339599999999997</v>
          </cell>
          <cell r="H456">
            <v>79.5</v>
          </cell>
          <cell r="I456">
            <v>694.35</v>
          </cell>
          <cell r="J456">
            <v>0</v>
          </cell>
          <cell r="K456">
            <v>0</v>
          </cell>
          <cell r="L456" t="str">
            <v>贷</v>
          </cell>
          <cell r="M456">
            <v>20367.5</v>
          </cell>
          <cell r="N456">
            <v>0</v>
          </cell>
          <cell r="O456">
            <v>157182.42000000001</v>
          </cell>
        </row>
        <row r="457">
          <cell r="A457" t="str">
            <v>06</v>
          </cell>
          <cell r="F457" t="str">
            <v>本月合计</v>
          </cell>
          <cell r="G457">
            <v>0</v>
          </cell>
          <cell r="H457">
            <v>1303.5</v>
          </cell>
          <cell r="I457">
            <v>9213.39</v>
          </cell>
          <cell r="J457">
            <v>24230</v>
          </cell>
          <cell r="K457">
            <v>178763.44</v>
          </cell>
          <cell r="L457" t="str">
            <v>贷</v>
          </cell>
          <cell r="M457">
            <v>20367.5</v>
          </cell>
          <cell r="N457">
            <v>7.71732</v>
          </cell>
          <cell r="O457">
            <v>157182.42000000001</v>
          </cell>
        </row>
        <row r="458">
          <cell r="A458" t="str">
            <v>06</v>
          </cell>
          <cell r="F458" t="str">
            <v>累    计</v>
          </cell>
          <cell r="G458">
            <v>0</v>
          </cell>
          <cell r="H458">
            <v>1303.5</v>
          </cell>
          <cell r="I458">
            <v>9213.39</v>
          </cell>
          <cell r="J458">
            <v>24230</v>
          </cell>
          <cell r="K458">
            <v>178763.44</v>
          </cell>
          <cell r="L458" t="str">
            <v>贷</v>
          </cell>
          <cell r="M458">
            <v>20367.5</v>
          </cell>
          <cell r="N458">
            <v>7.71732</v>
          </cell>
          <cell r="O458">
            <v>157182.42000000001</v>
          </cell>
        </row>
        <row r="459">
          <cell r="A459" t="str">
            <v>10</v>
          </cell>
          <cell r="B459" t="str">
            <v>22</v>
          </cell>
          <cell r="C459" t="str">
            <v>记-0050</v>
          </cell>
          <cell r="D459" t="str">
            <v>031</v>
          </cell>
          <cell r="E459" t="str">
            <v>小节子</v>
          </cell>
          <cell r="F459" t="str">
            <v>收购产品</v>
          </cell>
          <cell r="G459">
            <v>7.0796599999999996</v>
          </cell>
          <cell r="H459">
            <v>146</v>
          </cell>
          <cell r="I459">
            <v>1033.6300000000001</v>
          </cell>
          <cell r="J459">
            <v>0</v>
          </cell>
          <cell r="K459">
            <v>0</v>
          </cell>
          <cell r="L459" t="str">
            <v>贷</v>
          </cell>
          <cell r="M459">
            <v>20221.5</v>
          </cell>
          <cell r="N459">
            <v>0</v>
          </cell>
          <cell r="O459">
            <v>156148.79</v>
          </cell>
        </row>
        <row r="460">
          <cell r="A460" t="str">
            <v>10</v>
          </cell>
          <cell r="B460" t="str">
            <v>22</v>
          </cell>
          <cell r="C460" t="str">
            <v>记-0050</v>
          </cell>
          <cell r="D460" t="str">
            <v>031</v>
          </cell>
          <cell r="E460" t="str">
            <v>小节子</v>
          </cell>
          <cell r="F460" t="str">
            <v>收购产品</v>
          </cell>
          <cell r="G460">
            <v>7.07965</v>
          </cell>
          <cell r="H460">
            <v>2210</v>
          </cell>
          <cell r="I460">
            <v>15646.02</v>
          </cell>
          <cell r="J460">
            <v>0</v>
          </cell>
          <cell r="K460">
            <v>0</v>
          </cell>
          <cell r="L460" t="str">
            <v>贷</v>
          </cell>
          <cell r="M460">
            <v>18011.5</v>
          </cell>
          <cell r="N460">
            <v>0</v>
          </cell>
          <cell r="O460">
            <v>140502.76999999999</v>
          </cell>
        </row>
        <row r="461">
          <cell r="A461" t="str">
            <v>10</v>
          </cell>
          <cell r="B461" t="str">
            <v>22</v>
          </cell>
          <cell r="C461" t="str">
            <v>记-0068</v>
          </cell>
          <cell r="D461" t="str">
            <v>031</v>
          </cell>
          <cell r="E461" t="str">
            <v>小节子</v>
          </cell>
          <cell r="F461" t="str">
            <v>结转成本</v>
          </cell>
          <cell r="G461">
            <v>7.7169999999999996</v>
          </cell>
          <cell r="H461">
            <v>0</v>
          </cell>
          <cell r="I461">
            <v>0</v>
          </cell>
          <cell r="J461">
            <v>2288</v>
          </cell>
          <cell r="K461">
            <v>17656.5</v>
          </cell>
          <cell r="L461" t="str">
            <v>贷</v>
          </cell>
          <cell r="M461">
            <v>20299.5</v>
          </cell>
          <cell r="N461">
            <v>0</v>
          </cell>
          <cell r="O461">
            <v>158159.26999999999</v>
          </cell>
        </row>
        <row r="462">
          <cell r="A462" t="str">
            <v>10</v>
          </cell>
          <cell r="B462" t="str">
            <v>22</v>
          </cell>
          <cell r="C462" t="str">
            <v>记-0068</v>
          </cell>
          <cell r="D462" t="str">
            <v>031</v>
          </cell>
          <cell r="E462" t="str">
            <v>小节子</v>
          </cell>
          <cell r="F462" t="str">
            <v>结转成本</v>
          </cell>
          <cell r="G462">
            <v>7.7170399999999999</v>
          </cell>
          <cell r="H462">
            <v>0</v>
          </cell>
          <cell r="I462">
            <v>0</v>
          </cell>
          <cell r="J462">
            <v>81</v>
          </cell>
          <cell r="K462">
            <v>625.08000000000004</v>
          </cell>
          <cell r="L462" t="str">
            <v>贷</v>
          </cell>
          <cell r="M462">
            <v>20380.5</v>
          </cell>
          <cell r="N462">
            <v>0</v>
          </cell>
          <cell r="O462">
            <v>158784.35</v>
          </cell>
        </row>
        <row r="463">
          <cell r="A463" t="str">
            <v>10</v>
          </cell>
          <cell r="B463" t="str">
            <v>22</v>
          </cell>
          <cell r="C463" t="str">
            <v>记-0068</v>
          </cell>
          <cell r="D463" t="str">
            <v>031</v>
          </cell>
          <cell r="E463" t="str">
            <v>小节子</v>
          </cell>
          <cell r="F463" t="str">
            <v>结转成本</v>
          </cell>
          <cell r="G463">
            <v>7.71699</v>
          </cell>
          <cell r="H463">
            <v>0</v>
          </cell>
          <cell r="I463">
            <v>0</v>
          </cell>
          <cell r="J463">
            <v>156</v>
          </cell>
          <cell r="K463">
            <v>1203.8499999999999</v>
          </cell>
          <cell r="L463" t="str">
            <v>贷</v>
          </cell>
          <cell r="M463">
            <v>20536.5</v>
          </cell>
          <cell r="N463">
            <v>0</v>
          </cell>
          <cell r="O463">
            <v>159988.20000000001</v>
          </cell>
        </row>
        <row r="464">
          <cell r="A464" t="str">
            <v>10</v>
          </cell>
          <cell r="F464" t="str">
            <v>本月合计</v>
          </cell>
          <cell r="G464">
            <v>0</v>
          </cell>
          <cell r="H464">
            <v>2356</v>
          </cell>
          <cell r="I464">
            <v>16679.650000000001</v>
          </cell>
          <cell r="J464">
            <v>2525</v>
          </cell>
          <cell r="K464">
            <v>19485.43</v>
          </cell>
          <cell r="L464" t="str">
            <v>贷</v>
          </cell>
          <cell r="M464">
            <v>20536.5</v>
          </cell>
          <cell r="N464">
            <v>7.7904299999999997</v>
          </cell>
          <cell r="O464">
            <v>159988.20000000001</v>
          </cell>
        </row>
        <row r="465">
          <cell r="A465" t="str">
            <v>10</v>
          </cell>
          <cell r="F465" t="str">
            <v>累    计</v>
          </cell>
          <cell r="G465">
            <v>0</v>
          </cell>
          <cell r="H465">
            <v>3659.5</v>
          </cell>
          <cell r="I465">
            <v>25893.040000000001</v>
          </cell>
          <cell r="J465">
            <v>26755</v>
          </cell>
          <cell r="K465">
            <v>198248.87</v>
          </cell>
          <cell r="L465" t="str">
            <v>贷</v>
          </cell>
          <cell r="M465">
            <v>20536.5</v>
          </cell>
          <cell r="N465">
            <v>7.7904299999999997</v>
          </cell>
          <cell r="O465">
            <v>159988.20000000001</v>
          </cell>
        </row>
        <row r="466">
          <cell r="A466" t="str">
            <v>11</v>
          </cell>
          <cell r="B466" t="str">
            <v>30</v>
          </cell>
          <cell r="C466" t="str">
            <v>记-0093</v>
          </cell>
          <cell r="D466" t="str">
            <v>031</v>
          </cell>
          <cell r="E466" t="str">
            <v>小节子</v>
          </cell>
          <cell r="F466" t="str">
            <v>合并名称</v>
          </cell>
          <cell r="G466">
            <v>7.7904299999999997</v>
          </cell>
          <cell r="H466">
            <v>0</v>
          </cell>
          <cell r="I466">
            <v>0</v>
          </cell>
          <cell r="J466">
            <v>-20536.5</v>
          </cell>
          <cell r="K466">
            <v>-159988.20000000001</v>
          </cell>
          <cell r="L466" t="str">
            <v>平</v>
          </cell>
          <cell r="M466">
            <v>0</v>
          </cell>
          <cell r="N466">
            <v>0</v>
          </cell>
          <cell r="O466">
            <v>0</v>
          </cell>
        </row>
        <row r="467">
          <cell r="A467" t="str">
            <v>11</v>
          </cell>
          <cell r="F467" t="str">
            <v>本月合计</v>
          </cell>
          <cell r="G467">
            <v>0</v>
          </cell>
          <cell r="H467">
            <v>0</v>
          </cell>
          <cell r="I467">
            <v>0</v>
          </cell>
          <cell r="J467">
            <v>-20536.5</v>
          </cell>
          <cell r="K467">
            <v>-159988.20000000001</v>
          </cell>
          <cell r="L467" t="str">
            <v>平</v>
          </cell>
          <cell r="M467">
            <v>0</v>
          </cell>
          <cell r="N467">
            <v>0</v>
          </cell>
          <cell r="O467">
            <v>0</v>
          </cell>
        </row>
        <row r="468">
          <cell r="A468" t="str">
            <v>11</v>
          </cell>
          <cell r="E468" t="str">
            <v>小节子</v>
          </cell>
          <cell r="F468" t="str">
            <v>本年累计</v>
          </cell>
          <cell r="G468">
            <v>0</v>
          </cell>
          <cell r="H468">
            <v>3659.5</v>
          </cell>
          <cell r="I468">
            <v>25893.040000000001</v>
          </cell>
          <cell r="J468">
            <v>6218.5</v>
          </cell>
          <cell r="K468">
            <v>38260.67</v>
          </cell>
          <cell r="L468" t="str">
            <v>平</v>
          </cell>
          <cell r="M468">
            <v>0</v>
          </cell>
          <cell r="N468">
            <v>0</v>
          </cell>
          <cell r="O468">
            <v>0</v>
          </cell>
        </row>
        <row r="469">
          <cell r="D469" t="str">
            <v>032</v>
          </cell>
          <cell r="E469" t="str">
            <v>刀头</v>
          </cell>
          <cell r="F469" t="str">
            <v>上年结转</v>
          </cell>
          <cell r="G469">
            <v>0</v>
          </cell>
          <cell r="H469">
            <v>0</v>
          </cell>
          <cell r="I469">
            <v>0</v>
          </cell>
          <cell r="J469">
            <v>0</v>
          </cell>
          <cell r="K469">
            <v>0</v>
          </cell>
          <cell r="L469" t="str">
            <v>借</v>
          </cell>
          <cell r="M469">
            <v>2470</v>
          </cell>
          <cell r="N469">
            <v>7.3497399999999997</v>
          </cell>
          <cell r="O469">
            <v>18153.849999999999</v>
          </cell>
        </row>
        <row r="470">
          <cell r="A470" t="str">
            <v>11</v>
          </cell>
          <cell r="B470" t="str">
            <v>30</v>
          </cell>
          <cell r="C470" t="str">
            <v>记-0092</v>
          </cell>
          <cell r="D470" t="str">
            <v>032</v>
          </cell>
          <cell r="E470" t="str">
            <v>刀头</v>
          </cell>
          <cell r="F470" t="str">
            <v>合并名称</v>
          </cell>
          <cell r="G470">
            <v>0</v>
          </cell>
          <cell r="H470">
            <v>0</v>
          </cell>
          <cell r="I470">
            <v>-18153.849999999999</v>
          </cell>
          <cell r="J470">
            <v>0</v>
          </cell>
          <cell r="K470">
            <v>0</v>
          </cell>
          <cell r="L470" t="str">
            <v>平</v>
          </cell>
          <cell r="M470">
            <v>2470</v>
          </cell>
          <cell r="N470">
            <v>0</v>
          </cell>
          <cell r="O470">
            <v>0</v>
          </cell>
        </row>
        <row r="471">
          <cell r="A471" t="str">
            <v>11</v>
          </cell>
          <cell r="F471" t="str">
            <v>本月合计</v>
          </cell>
          <cell r="G471">
            <v>0</v>
          </cell>
          <cell r="H471">
            <v>0</v>
          </cell>
          <cell r="I471">
            <v>-18153.849999999999</v>
          </cell>
          <cell r="J471">
            <v>0</v>
          </cell>
          <cell r="K471">
            <v>0</v>
          </cell>
          <cell r="L471" t="str">
            <v>平</v>
          </cell>
          <cell r="M471">
            <v>2470</v>
          </cell>
          <cell r="N471">
            <v>0</v>
          </cell>
          <cell r="O471">
            <v>0</v>
          </cell>
        </row>
        <row r="472">
          <cell r="A472" t="str">
            <v>11</v>
          </cell>
          <cell r="E472" t="str">
            <v>刀头</v>
          </cell>
          <cell r="F472" t="str">
            <v>本年累计</v>
          </cell>
          <cell r="G472">
            <v>0</v>
          </cell>
          <cell r="H472">
            <v>0</v>
          </cell>
          <cell r="I472">
            <v>-18153.849999999999</v>
          </cell>
          <cell r="J472">
            <v>0</v>
          </cell>
          <cell r="K472">
            <v>0</v>
          </cell>
          <cell r="L472" t="str">
            <v>平</v>
          </cell>
          <cell r="M472">
            <v>2470</v>
          </cell>
          <cell r="N472">
            <v>0</v>
          </cell>
          <cell r="O472">
            <v>0</v>
          </cell>
        </row>
        <row r="473">
          <cell r="A473" t="str">
            <v>03</v>
          </cell>
          <cell r="B473" t="str">
            <v>31</v>
          </cell>
          <cell r="C473" t="str">
            <v>记-0046</v>
          </cell>
          <cell r="D473" t="str">
            <v>033</v>
          </cell>
          <cell r="E473" t="str">
            <v>渣片</v>
          </cell>
          <cell r="F473" t="str">
            <v>转成本</v>
          </cell>
          <cell r="G473">
            <v>5.7522200000000003</v>
          </cell>
          <cell r="H473">
            <v>0</v>
          </cell>
          <cell r="I473">
            <v>0</v>
          </cell>
          <cell r="J473">
            <v>3742</v>
          </cell>
          <cell r="K473">
            <v>21524.799999999999</v>
          </cell>
          <cell r="L473" t="str">
            <v>贷</v>
          </cell>
          <cell r="M473">
            <v>3742</v>
          </cell>
          <cell r="N473">
            <v>0</v>
          </cell>
          <cell r="O473">
            <v>21524.799999999999</v>
          </cell>
        </row>
        <row r="474">
          <cell r="A474" t="str">
            <v>03</v>
          </cell>
          <cell r="F474" t="str">
            <v>本月合计</v>
          </cell>
          <cell r="G474">
            <v>0</v>
          </cell>
          <cell r="H474">
            <v>0</v>
          </cell>
          <cell r="I474">
            <v>0</v>
          </cell>
          <cell r="J474">
            <v>3742</v>
          </cell>
          <cell r="K474">
            <v>21524.799999999999</v>
          </cell>
          <cell r="L474" t="str">
            <v>贷</v>
          </cell>
          <cell r="M474">
            <v>3742</v>
          </cell>
          <cell r="N474">
            <v>5.7522200000000003</v>
          </cell>
          <cell r="O474">
            <v>21524.799999999999</v>
          </cell>
        </row>
        <row r="475">
          <cell r="A475" t="str">
            <v>03</v>
          </cell>
          <cell r="F475" t="str">
            <v>累    计</v>
          </cell>
          <cell r="G475">
            <v>0</v>
          </cell>
          <cell r="H475">
            <v>0</v>
          </cell>
          <cell r="I475">
            <v>0</v>
          </cell>
          <cell r="J475">
            <v>3742</v>
          </cell>
          <cell r="K475">
            <v>21524.799999999999</v>
          </cell>
          <cell r="L475" t="str">
            <v>贷</v>
          </cell>
          <cell r="M475">
            <v>3742</v>
          </cell>
          <cell r="N475">
            <v>5.7522200000000003</v>
          </cell>
          <cell r="O475">
            <v>21524.799999999999</v>
          </cell>
        </row>
        <row r="476">
          <cell r="A476" t="str">
            <v>05</v>
          </cell>
          <cell r="B476" t="str">
            <v>31</v>
          </cell>
          <cell r="C476" t="str">
            <v>记-0036</v>
          </cell>
          <cell r="D476" t="str">
            <v>033</v>
          </cell>
          <cell r="E476" t="str">
            <v>渣片</v>
          </cell>
          <cell r="F476" t="str">
            <v>收购产品</v>
          </cell>
          <cell r="G476">
            <v>5.7522099999999998</v>
          </cell>
          <cell r="H476">
            <v>1902</v>
          </cell>
          <cell r="I476">
            <v>10940.71</v>
          </cell>
          <cell r="J476">
            <v>0</v>
          </cell>
          <cell r="K476">
            <v>0</v>
          </cell>
          <cell r="L476" t="str">
            <v>贷</v>
          </cell>
          <cell r="M476">
            <v>1840</v>
          </cell>
          <cell r="N476">
            <v>0</v>
          </cell>
          <cell r="O476">
            <v>10584.09</v>
          </cell>
        </row>
        <row r="477">
          <cell r="A477" t="str">
            <v>05</v>
          </cell>
          <cell r="B477" t="str">
            <v>31</v>
          </cell>
          <cell r="C477" t="str">
            <v>记-0036</v>
          </cell>
          <cell r="D477" t="str">
            <v>033</v>
          </cell>
          <cell r="E477" t="str">
            <v>渣片</v>
          </cell>
          <cell r="F477" t="str">
            <v>收购产品</v>
          </cell>
          <cell r="G477">
            <v>5.7522099999999998</v>
          </cell>
          <cell r="H477">
            <v>1840</v>
          </cell>
          <cell r="I477">
            <v>10584.07</v>
          </cell>
          <cell r="J477">
            <v>0</v>
          </cell>
          <cell r="K477">
            <v>0</v>
          </cell>
          <cell r="L477" t="str">
            <v>贷</v>
          </cell>
          <cell r="M477">
            <v>0</v>
          </cell>
          <cell r="N477">
            <v>0</v>
          </cell>
          <cell r="O477">
            <v>0.02</v>
          </cell>
        </row>
        <row r="478">
          <cell r="A478" t="str">
            <v>05</v>
          </cell>
          <cell r="F478" t="str">
            <v>本月合计</v>
          </cell>
          <cell r="G478">
            <v>0</v>
          </cell>
          <cell r="H478">
            <v>3742</v>
          </cell>
          <cell r="I478">
            <v>21524.78</v>
          </cell>
          <cell r="J478">
            <v>0</v>
          </cell>
          <cell r="K478">
            <v>0</v>
          </cell>
          <cell r="L478" t="str">
            <v>贷</v>
          </cell>
          <cell r="M478">
            <v>0</v>
          </cell>
          <cell r="N478">
            <v>0</v>
          </cell>
          <cell r="O478">
            <v>0.02</v>
          </cell>
        </row>
        <row r="479">
          <cell r="A479" t="str">
            <v>05</v>
          </cell>
          <cell r="F479" t="str">
            <v>累    计</v>
          </cell>
          <cell r="G479">
            <v>0</v>
          </cell>
          <cell r="H479">
            <v>3742</v>
          </cell>
          <cell r="I479">
            <v>21524.78</v>
          </cell>
          <cell r="J479">
            <v>3742</v>
          </cell>
          <cell r="K479">
            <v>21524.799999999999</v>
          </cell>
          <cell r="L479" t="str">
            <v>贷</v>
          </cell>
          <cell r="M479">
            <v>0</v>
          </cell>
          <cell r="N479">
            <v>0</v>
          </cell>
          <cell r="O479">
            <v>0.02</v>
          </cell>
        </row>
        <row r="480">
          <cell r="A480" t="str">
            <v>08</v>
          </cell>
          <cell r="B480" t="str">
            <v>25</v>
          </cell>
          <cell r="C480" t="str">
            <v>记-0071</v>
          </cell>
          <cell r="D480" t="str">
            <v>033</v>
          </cell>
          <cell r="E480" t="str">
            <v>渣片</v>
          </cell>
          <cell r="F480" t="str">
            <v>收购产品</v>
          </cell>
          <cell r="G480">
            <v>7.07965</v>
          </cell>
          <cell r="H480">
            <v>5232</v>
          </cell>
          <cell r="I480">
            <v>37040.71</v>
          </cell>
          <cell r="J480">
            <v>0</v>
          </cell>
          <cell r="K480">
            <v>0</v>
          </cell>
          <cell r="L480" t="str">
            <v>借</v>
          </cell>
          <cell r="M480">
            <v>5232</v>
          </cell>
          <cell r="N480">
            <v>0</v>
          </cell>
          <cell r="O480">
            <v>37040.69</v>
          </cell>
        </row>
        <row r="481">
          <cell r="A481" t="str">
            <v>08</v>
          </cell>
          <cell r="F481" t="str">
            <v>本月合计</v>
          </cell>
          <cell r="G481">
            <v>0</v>
          </cell>
          <cell r="H481">
            <v>5232</v>
          </cell>
          <cell r="I481">
            <v>37040.71</v>
          </cell>
          <cell r="J481">
            <v>0</v>
          </cell>
          <cell r="K481">
            <v>0</v>
          </cell>
          <cell r="L481" t="str">
            <v>借</v>
          </cell>
          <cell r="M481">
            <v>5232</v>
          </cell>
          <cell r="N481">
            <v>7.0796400000000004</v>
          </cell>
          <cell r="O481">
            <v>37040.69</v>
          </cell>
        </row>
        <row r="482">
          <cell r="A482" t="str">
            <v>08</v>
          </cell>
          <cell r="F482" t="str">
            <v>累    计</v>
          </cell>
          <cell r="G482">
            <v>0</v>
          </cell>
          <cell r="H482">
            <v>8974</v>
          </cell>
          <cell r="I482">
            <v>58565.49</v>
          </cell>
          <cell r="J482">
            <v>3742</v>
          </cell>
          <cell r="K482">
            <v>21524.799999999999</v>
          </cell>
          <cell r="L482" t="str">
            <v>借</v>
          </cell>
          <cell r="M482">
            <v>5232</v>
          </cell>
          <cell r="N482">
            <v>7.0796400000000004</v>
          </cell>
          <cell r="O482">
            <v>37040.69</v>
          </cell>
        </row>
        <row r="483">
          <cell r="A483" t="str">
            <v>09</v>
          </cell>
          <cell r="B483" t="str">
            <v>22</v>
          </cell>
          <cell r="C483" t="str">
            <v>记-0040</v>
          </cell>
          <cell r="D483" t="str">
            <v>033</v>
          </cell>
          <cell r="E483" t="str">
            <v>渣片</v>
          </cell>
          <cell r="F483" t="str">
            <v>结转成本</v>
          </cell>
          <cell r="G483">
            <v>7.08</v>
          </cell>
          <cell r="H483">
            <v>0</v>
          </cell>
          <cell r="I483">
            <v>0</v>
          </cell>
          <cell r="J483">
            <v>4784</v>
          </cell>
          <cell r="K483">
            <v>33870.720000000001</v>
          </cell>
          <cell r="L483" t="str">
            <v>借</v>
          </cell>
          <cell r="M483">
            <v>448</v>
          </cell>
          <cell r="N483">
            <v>0</v>
          </cell>
          <cell r="O483">
            <v>3169.97</v>
          </cell>
        </row>
        <row r="484">
          <cell r="A484" t="str">
            <v>09</v>
          </cell>
          <cell r="B484" t="str">
            <v>22</v>
          </cell>
          <cell r="C484" t="str">
            <v>记-0040</v>
          </cell>
          <cell r="D484" t="str">
            <v>033</v>
          </cell>
          <cell r="E484" t="str">
            <v>渣片</v>
          </cell>
          <cell r="F484" t="str">
            <v>结转成本</v>
          </cell>
          <cell r="G484">
            <v>7.08</v>
          </cell>
          <cell r="H484">
            <v>0</v>
          </cell>
          <cell r="I484">
            <v>0</v>
          </cell>
          <cell r="J484">
            <v>450</v>
          </cell>
          <cell r="K484">
            <v>3186</v>
          </cell>
          <cell r="L484" t="str">
            <v>贷</v>
          </cell>
          <cell r="M484">
            <v>2</v>
          </cell>
          <cell r="N484">
            <v>0</v>
          </cell>
          <cell r="O484">
            <v>16.03</v>
          </cell>
        </row>
        <row r="485">
          <cell r="A485" t="str">
            <v>09</v>
          </cell>
          <cell r="F485" t="str">
            <v>本月合计</v>
          </cell>
          <cell r="G485">
            <v>0</v>
          </cell>
          <cell r="H485">
            <v>0</v>
          </cell>
          <cell r="I485">
            <v>0</v>
          </cell>
          <cell r="J485">
            <v>5234</v>
          </cell>
          <cell r="K485">
            <v>37056.720000000001</v>
          </cell>
          <cell r="L485" t="str">
            <v>贷</v>
          </cell>
          <cell r="M485">
            <v>2</v>
          </cell>
          <cell r="N485">
            <v>8.0150000000000006</v>
          </cell>
          <cell r="O485">
            <v>16.03</v>
          </cell>
        </row>
        <row r="486">
          <cell r="A486" t="str">
            <v>09</v>
          </cell>
          <cell r="F486" t="str">
            <v>累    计</v>
          </cell>
          <cell r="G486">
            <v>0</v>
          </cell>
          <cell r="H486">
            <v>8974</v>
          </cell>
          <cell r="I486">
            <v>58565.49</v>
          </cell>
          <cell r="J486">
            <v>8976</v>
          </cell>
          <cell r="K486">
            <v>58581.52</v>
          </cell>
          <cell r="L486" t="str">
            <v>贷</v>
          </cell>
          <cell r="M486">
            <v>2</v>
          </cell>
          <cell r="N486">
            <v>8.0150000000000006</v>
          </cell>
          <cell r="O486">
            <v>16.03</v>
          </cell>
        </row>
        <row r="487">
          <cell r="A487" t="str">
            <v>12</v>
          </cell>
          <cell r="B487" t="str">
            <v>11</v>
          </cell>
          <cell r="C487" t="str">
            <v>记-0008</v>
          </cell>
          <cell r="D487" t="str">
            <v>033</v>
          </cell>
          <cell r="E487" t="str">
            <v>渣片</v>
          </cell>
          <cell r="F487" t="str">
            <v>调整库存</v>
          </cell>
          <cell r="G487">
            <v>8.0150000000000006</v>
          </cell>
          <cell r="H487">
            <v>2</v>
          </cell>
          <cell r="I487">
            <v>16.03</v>
          </cell>
          <cell r="J487">
            <v>0</v>
          </cell>
          <cell r="K487">
            <v>0</v>
          </cell>
          <cell r="L487" t="str">
            <v>平</v>
          </cell>
          <cell r="M487">
            <v>0</v>
          </cell>
          <cell r="N487">
            <v>0</v>
          </cell>
          <cell r="O487">
            <v>0</v>
          </cell>
        </row>
        <row r="488">
          <cell r="A488" t="str">
            <v>12</v>
          </cell>
          <cell r="F488" t="str">
            <v>本月合计</v>
          </cell>
          <cell r="G488">
            <v>0</v>
          </cell>
          <cell r="H488">
            <v>2</v>
          </cell>
          <cell r="I488">
            <v>16.03</v>
          </cell>
          <cell r="J488">
            <v>0</v>
          </cell>
          <cell r="K488">
            <v>0</v>
          </cell>
          <cell r="L488" t="str">
            <v>平</v>
          </cell>
          <cell r="M488">
            <v>0</v>
          </cell>
          <cell r="N488">
            <v>0</v>
          </cell>
          <cell r="O488">
            <v>0</v>
          </cell>
        </row>
        <row r="489">
          <cell r="A489" t="str">
            <v>12</v>
          </cell>
          <cell r="E489" t="str">
            <v>渣片</v>
          </cell>
          <cell r="F489" t="str">
            <v>本年累计</v>
          </cell>
          <cell r="G489">
            <v>0</v>
          </cell>
          <cell r="H489">
            <v>8976</v>
          </cell>
          <cell r="I489">
            <v>58581.52</v>
          </cell>
          <cell r="J489">
            <v>8976</v>
          </cell>
          <cell r="K489">
            <v>58581.52</v>
          </cell>
          <cell r="L489" t="str">
            <v>平</v>
          </cell>
          <cell r="M489">
            <v>0</v>
          </cell>
          <cell r="N489">
            <v>0</v>
          </cell>
          <cell r="O489">
            <v>0</v>
          </cell>
        </row>
        <row r="490">
          <cell r="D490" t="str">
            <v>034</v>
          </cell>
          <cell r="E490" t="str">
            <v>野生过刀片</v>
          </cell>
          <cell r="F490" t="str">
            <v>上年结转</v>
          </cell>
          <cell r="G490">
            <v>0</v>
          </cell>
          <cell r="H490">
            <v>0</v>
          </cell>
          <cell r="I490">
            <v>0</v>
          </cell>
          <cell r="J490">
            <v>0</v>
          </cell>
          <cell r="K490">
            <v>0</v>
          </cell>
          <cell r="L490" t="str">
            <v>借</v>
          </cell>
          <cell r="M490">
            <v>480</v>
          </cell>
          <cell r="N490">
            <v>8.8495600000000003</v>
          </cell>
          <cell r="O490">
            <v>4247.79</v>
          </cell>
        </row>
        <row r="491">
          <cell r="A491" t="str">
            <v>03</v>
          </cell>
          <cell r="B491" t="str">
            <v>31</v>
          </cell>
          <cell r="C491" t="str">
            <v>记-0042</v>
          </cell>
          <cell r="D491" t="str">
            <v>034</v>
          </cell>
          <cell r="E491" t="str">
            <v>野生过刀片</v>
          </cell>
          <cell r="F491" t="str">
            <v>转成本</v>
          </cell>
          <cell r="G491">
            <v>8.8495600000000003</v>
          </cell>
          <cell r="H491">
            <v>0</v>
          </cell>
          <cell r="I491">
            <v>0</v>
          </cell>
          <cell r="J491">
            <v>480</v>
          </cell>
          <cell r="K491">
            <v>4247.79</v>
          </cell>
          <cell r="L491" t="str">
            <v>平</v>
          </cell>
          <cell r="M491">
            <v>0</v>
          </cell>
          <cell r="N491">
            <v>0</v>
          </cell>
          <cell r="O491">
            <v>0</v>
          </cell>
        </row>
        <row r="492">
          <cell r="A492" t="str">
            <v>03</v>
          </cell>
          <cell r="F492" t="str">
            <v>本月合计</v>
          </cell>
          <cell r="G492">
            <v>0</v>
          </cell>
          <cell r="H492">
            <v>0</v>
          </cell>
          <cell r="I492">
            <v>0</v>
          </cell>
          <cell r="J492">
            <v>480</v>
          </cell>
          <cell r="K492">
            <v>4247.79</v>
          </cell>
          <cell r="L492" t="str">
            <v>平</v>
          </cell>
          <cell r="M492">
            <v>0</v>
          </cell>
          <cell r="N492">
            <v>0</v>
          </cell>
          <cell r="O492">
            <v>0</v>
          </cell>
        </row>
        <row r="493">
          <cell r="A493" t="str">
            <v>03</v>
          </cell>
          <cell r="F493" t="str">
            <v>累    计</v>
          </cell>
          <cell r="G493">
            <v>0</v>
          </cell>
          <cell r="H493">
            <v>0</v>
          </cell>
          <cell r="I493">
            <v>0</v>
          </cell>
          <cell r="J493">
            <v>480</v>
          </cell>
          <cell r="K493">
            <v>4247.79</v>
          </cell>
          <cell r="L493" t="str">
            <v>平</v>
          </cell>
          <cell r="M493">
            <v>0</v>
          </cell>
          <cell r="N493">
            <v>0</v>
          </cell>
          <cell r="O493">
            <v>0</v>
          </cell>
        </row>
        <row r="494">
          <cell r="A494" t="str">
            <v>06</v>
          </cell>
          <cell r="B494" t="str">
            <v>24</v>
          </cell>
          <cell r="C494" t="str">
            <v>记-0018</v>
          </cell>
          <cell r="D494" t="str">
            <v>034</v>
          </cell>
          <cell r="E494" t="str">
            <v>野生过刀片</v>
          </cell>
          <cell r="F494" t="str">
            <v>结转成本</v>
          </cell>
          <cell r="G494">
            <v>11.03</v>
          </cell>
          <cell r="H494">
            <v>0</v>
          </cell>
          <cell r="I494">
            <v>0</v>
          </cell>
          <cell r="J494">
            <v>2880</v>
          </cell>
          <cell r="K494">
            <v>31766.400000000001</v>
          </cell>
          <cell r="L494" t="str">
            <v>贷</v>
          </cell>
          <cell r="M494">
            <v>2880</v>
          </cell>
          <cell r="N494">
            <v>0</v>
          </cell>
          <cell r="O494">
            <v>31766.400000000001</v>
          </cell>
        </row>
        <row r="495">
          <cell r="A495" t="str">
            <v>06</v>
          </cell>
          <cell r="F495" t="str">
            <v>本月合计</v>
          </cell>
          <cell r="G495">
            <v>0</v>
          </cell>
          <cell r="H495">
            <v>0</v>
          </cell>
          <cell r="I495">
            <v>0</v>
          </cell>
          <cell r="J495">
            <v>2880</v>
          </cell>
          <cell r="K495">
            <v>31766.400000000001</v>
          </cell>
          <cell r="L495" t="str">
            <v>贷</v>
          </cell>
          <cell r="M495">
            <v>2880</v>
          </cell>
          <cell r="N495">
            <v>11.03</v>
          </cell>
          <cell r="O495">
            <v>31766.400000000001</v>
          </cell>
        </row>
        <row r="496">
          <cell r="A496" t="str">
            <v>06</v>
          </cell>
          <cell r="F496" t="str">
            <v>累    计</v>
          </cell>
          <cell r="G496">
            <v>0</v>
          </cell>
          <cell r="H496">
            <v>0</v>
          </cell>
          <cell r="I496">
            <v>0</v>
          </cell>
          <cell r="J496">
            <v>3360</v>
          </cell>
          <cell r="K496">
            <v>36014.19</v>
          </cell>
          <cell r="L496" t="str">
            <v>贷</v>
          </cell>
          <cell r="M496">
            <v>2880</v>
          </cell>
          <cell r="N496">
            <v>11.03</v>
          </cell>
          <cell r="O496">
            <v>31766.400000000001</v>
          </cell>
        </row>
        <row r="497">
          <cell r="A497" t="str">
            <v>08</v>
          </cell>
          <cell r="B497" t="str">
            <v>25</v>
          </cell>
          <cell r="C497" t="str">
            <v>记-0071</v>
          </cell>
          <cell r="D497" t="str">
            <v>034</v>
          </cell>
          <cell r="E497" t="str">
            <v>野生过刀片</v>
          </cell>
          <cell r="F497" t="str">
            <v>收购产品</v>
          </cell>
          <cell r="G497">
            <v>10.61947</v>
          </cell>
          <cell r="H497">
            <v>320</v>
          </cell>
          <cell r="I497">
            <v>3398.23</v>
          </cell>
          <cell r="J497">
            <v>0</v>
          </cell>
          <cell r="K497">
            <v>0</v>
          </cell>
          <cell r="L497" t="str">
            <v>贷</v>
          </cell>
          <cell r="M497">
            <v>2560</v>
          </cell>
          <cell r="N497">
            <v>0</v>
          </cell>
          <cell r="O497">
            <v>28368.17</v>
          </cell>
        </row>
        <row r="498">
          <cell r="A498" t="str">
            <v>08</v>
          </cell>
          <cell r="B498" t="str">
            <v>25</v>
          </cell>
          <cell r="C498" t="str">
            <v>记-0072</v>
          </cell>
          <cell r="D498" t="str">
            <v>034</v>
          </cell>
          <cell r="E498" t="str">
            <v>野生过刀片</v>
          </cell>
          <cell r="F498" t="str">
            <v>收购产品</v>
          </cell>
          <cell r="G498">
            <v>10.61947</v>
          </cell>
          <cell r="H498">
            <v>1320</v>
          </cell>
          <cell r="I498">
            <v>14017.7</v>
          </cell>
          <cell r="J498">
            <v>0</v>
          </cell>
          <cell r="K498">
            <v>0</v>
          </cell>
          <cell r="L498" t="str">
            <v>贷</v>
          </cell>
          <cell r="M498">
            <v>1240</v>
          </cell>
          <cell r="N498">
            <v>0</v>
          </cell>
          <cell r="O498">
            <v>14350.47</v>
          </cell>
        </row>
        <row r="499">
          <cell r="A499" t="str">
            <v>08</v>
          </cell>
          <cell r="B499" t="str">
            <v>25</v>
          </cell>
          <cell r="C499" t="str">
            <v>记-0073</v>
          </cell>
          <cell r="D499" t="str">
            <v>034</v>
          </cell>
          <cell r="E499" t="str">
            <v>野生过刀片</v>
          </cell>
          <cell r="F499" t="str">
            <v>收购产品</v>
          </cell>
          <cell r="G499">
            <v>10.61947</v>
          </cell>
          <cell r="H499">
            <v>1560</v>
          </cell>
          <cell r="I499">
            <v>16566.38</v>
          </cell>
          <cell r="J499">
            <v>0</v>
          </cell>
          <cell r="K499">
            <v>0</v>
          </cell>
          <cell r="L499" t="str">
            <v>借</v>
          </cell>
          <cell r="M499">
            <v>320</v>
          </cell>
          <cell r="N499">
            <v>0</v>
          </cell>
          <cell r="O499">
            <v>2215.91</v>
          </cell>
        </row>
        <row r="500">
          <cell r="A500" t="str">
            <v>08</v>
          </cell>
          <cell r="F500" t="str">
            <v>本月合计</v>
          </cell>
          <cell r="G500">
            <v>0</v>
          </cell>
          <cell r="H500">
            <v>3200</v>
          </cell>
          <cell r="I500">
            <v>33982.31</v>
          </cell>
          <cell r="J500">
            <v>0</v>
          </cell>
          <cell r="K500">
            <v>0</v>
          </cell>
          <cell r="L500" t="str">
            <v>借</v>
          </cell>
          <cell r="M500">
            <v>320</v>
          </cell>
          <cell r="N500">
            <v>6.9247199999999998</v>
          </cell>
          <cell r="O500">
            <v>2215.91</v>
          </cell>
        </row>
        <row r="501">
          <cell r="A501" t="str">
            <v>08</v>
          </cell>
          <cell r="F501" t="str">
            <v>累    计</v>
          </cell>
          <cell r="G501">
            <v>0</v>
          </cell>
          <cell r="H501">
            <v>3200</v>
          </cell>
          <cell r="I501">
            <v>33982.31</v>
          </cell>
          <cell r="J501">
            <v>3360</v>
          </cell>
          <cell r="K501">
            <v>36014.19</v>
          </cell>
          <cell r="L501" t="str">
            <v>借</v>
          </cell>
          <cell r="M501">
            <v>320</v>
          </cell>
          <cell r="N501">
            <v>6.9247199999999998</v>
          </cell>
          <cell r="O501">
            <v>2215.91</v>
          </cell>
        </row>
        <row r="502">
          <cell r="A502" t="str">
            <v>10</v>
          </cell>
          <cell r="B502" t="str">
            <v>22</v>
          </cell>
          <cell r="C502" t="str">
            <v>记-0050</v>
          </cell>
          <cell r="D502" t="str">
            <v>034</v>
          </cell>
          <cell r="E502" t="str">
            <v>野生过刀片</v>
          </cell>
          <cell r="F502" t="str">
            <v>收购产品</v>
          </cell>
          <cell r="G502">
            <v>11.50442</v>
          </cell>
          <cell r="H502">
            <v>120</v>
          </cell>
          <cell r="I502">
            <v>1380.53</v>
          </cell>
          <cell r="J502">
            <v>0</v>
          </cell>
          <cell r="K502">
            <v>0</v>
          </cell>
          <cell r="L502" t="str">
            <v>借</v>
          </cell>
          <cell r="M502">
            <v>440</v>
          </cell>
          <cell r="N502">
            <v>0</v>
          </cell>
          <cell r="O502">
            <v>3596.44</v>
          </cell>
        </row>
        <row r="503">
          <cell r="A503" t="str">
            <v>10</v>
          </cell>
          <cell r="B503" t="str">
            <v>22</v>
          </cell>
          <cell r="C503" t="str">
            <v>记-0068</v>
          </cell>
          <cell r="D503" t="str">
            <v>034</v>
          </cell>
          <cell r="E503" t="str">
            <v>野生过刀片</v>
          </cell>
          <cell r="F503" t="str">
            <v>结转成本</v>
          </cell>
          <cell r="G503">
            <v>6.9249999999999998</v>
          </cell>
          <cell r="H503">
            <v>0</v>
          </cell>
          <cell r="I503">
            <v>0</v>
          </cell>
          <cell r="J503">
            <v>440</v>
          </cell>
          <cell r="K503">
            <v>3047</v>
          </cell>
          <cell r="L503" t="str">
            <v>借</v>
          </cell>
          <cell r="M503">
            <v>0</v>
          </cell>
          <cell r="N503">
            <v>0</v>
          </cell>
          <cell r="O503">
            <v>549.44000000000005</v>
          </cell>
        </row>
        <row r="504">
          <cell r="A504" t="str">
            <v>10</v>
          </cell>
          <cell r="F504" t="str">
            <v>本月合计</v>
          </cell>
          <cell r="G504">
            <v>0</v>
          </cell>
          <cell r="H504">
            <v>120</v>
          </cell>
          <cell r="I504">
            <v>1380.53</v>
          </cell>
          <cell r="J504">
            <v>440</v>
          </cell>
          <cell r="K504">
            <v>3047</v>
          </cell>
          <cell r="L504" t="str">
            <v>借</v>
          </cell>
          <cell r="M504">
            <v>0</v>
          </cell>
          <cell r="N504">
            <v>0</v>
          </cell>
          <cell r="O504">
            <v>549.44000000000005</v>
          </cell>
        </row>
        <row r="505">
          <cell r="A505" t="str">
            <v>10</v>
          </cell>
          <cell r="F505" t="str">
            <v>累    计</v>
          </cell>
          <cell r="G505">
            <v>0</v>
          </cell>
          <cell r="H505">
            <v>3320</v>
          </cell>
          <cell r="I505">
            <v>35362.839999999997</v>
          </cell>
          <cell r="J505">
            <v>3800</v>
          </cell>
          <cell r="K505">
            <v>39061.19</v>
          </cell>
          <cell r="L505" t="str">
            <v>借</v>
          </cell>
          <cell r="M505">
            <v>0</v>
          </cell>
          <cell r="N505">
            <v>0</v>
          </cell>
          <cell r="O505">
            <v>549.44000000000005</v>
          </cell>
        </row>
        <row r="506">
          <cell r="A506" t="str">
            <v>11</v>
          </cell>
          <cell r="B506" t="str">
            <v>30</v>
          </cell>
          <cell r="C506" t="str">
            <v>记-0091</v>
          </cell>
          <cell r="D506" t="str">
            <v>034</v>
          </cell>
          <cell r="E506" t="str">
            <v>野生过刀片</v>
          </cell>
          <cell r="F506" t="str">
            <v>合并名称</v>
          </cell>
          <cell r="G506">
            <v>0</v>
          </cell>
          <cell r="H506">
            <v>0</v>
          </cell>
          <cell r="I506">
            <v>-549.44000000000005</v>
          </cell>
          <cell r="J506">
            <v>0</v>
          </cell>
          <cell r="K506">
            <v>0</v>
          </cell>
          <cell r="L506" t="str">
            <v>平</v>
          </cell>
          <cell r="M506">
            <v>0</v>
          </cell>
          <cell r="N506">
            <v>0</v>
          </cell>
          <cell r="O506">
            <v>0</v>
          </cell>
        </row>
        <row r="507">
          <cell r="A507" t="str">
            <v>11</v>
          </cell>
          <cell r="F507" t="str">
            <v>本月合计</v>
          </cell>
          <cell r="G507">
            <v>0</v>
          </cell>
          <cell r="H507">
            <v>0</v>
          </cell>
          <cell r="I507">
            <v>-549.44000000000005</v>
          </cell>
          <cell r="J507">
            <v>0</v>
          </cell>
          <cell r="K507">
            <v>0</v>
          </cell>
          <cell r="L507" t="str">
            <v>平</v>
          </cell>
          <cell r="M507">
            <v>0</v>
          </cell>
          <cell r="N507">
            <v>0</v>
          </cell>
          <cell r="O507">
            <v>0</v>
          </cell>
        </row>
        <row r="508">
          <cell r="A508" t="str">
            <v>11</v>
          </cell>
          <cell r="E508" t="str">
            <v>野生过刀片</v>
          </cell>
          <cell r="F508" t="str">
            <v>本年累计</v>
          </cell>
          <cell r="G508">
            <v>0</v>
          </cell>
          <cell r="H508">
            <v>3320</v>
          </cell>
          <cell r="I508">
            <v>34813.4</v>
          </cell>
          <cell r="J508">
            <v>3800</v>
          </cell>
          <cell r="K508">
            <v>39061.19</v>
          </cell>
          <cell r="L508" t="str">
            <v>平</v>
          </cell>
          <cell r="M508">
            <v>0</v>
          </cell>
          <cell r="N508">
            <v>0</v>
          </cell>
          <cell r="O508">
            <v>0</v>
          </cell>
        </row>
        <row r="509">
          <cell r="D509" t="str">
            <v>035</v>
          </cell>
          <cell r="E509" t="str">
            <v>红皮干草片特</v>
          </cell>
          <cell r="F509" t="str">
            <v>上年结转</v>
          </cell>
          <cell r="G509">
            <v>0</v>
          </cell>
          <cell r="H509">
            <v>0</v>
          </cell>
          <cell r="I509">
            <v>0</v>
          </cell>
          <cell r="J509">
            <v>0</v>
          </cell>
          <cell r="K509">
            <v>0</v>
          </cell>
          <cell r="L509" t="str">
            <v>借</v>
          </cell>
          <cell r="M509">
            <v>112</v>
          </cell>
          <cell r="N509">
            <v>48.67259</v>
          </cell>
          <cell r="O509">
            <v>5451.33</v>
          </cell>
        </row>
        <row r="510">
          <cell r="A510" t="str">
            <v>11</v>
          </cell>
          <cell r="B510" t="str">
            <v>30</v>
          </cell>
          <cell r="C510" t="str">
            <v>记-0105</v>
          </cell>
          <cell r="D510" t="str">
            <v>035</v>
          </cell>
          <cell r="E510" t="str">
            <v>红皮干草片特</v>
          </cell>
          <cell r="F510" t="str">
            <v>合并名称</v>
          </cell>
          <cell r="G510">
            <v>48.67259</v>
          </cell>
          <cell r="H510">
            <v>-112</v>
          </cell>
          <cell r="I510">
            <v>-5451.33</v>
          </cell>
          <cell r="J510">
            <v>0</v>
          </cell>
          <cell r="K510">
            <v>0</v>
          </cell>
          <cell r="L510" t="str">
            <v>平</v>
          </cell>
          <cell r="M510">
            <v>0</v>
          </cell>
          <cell r="N510">
            <v>0</v>
          </cell>
          <cell r="O510">
            <v>0</v>
          </cell>
        </row>
        <row r="511">
          <cell r="A511" t="str">
            <v>11</v>
          </cell>
          <cell r="F511" t="str">
            <v>本月合计</v>
          </cell>
          <cell r="G511">
            <v>0</v>
          </cell>
          <cell r="H511">
            <v>-112</v>
          </cell>
          <cell r="I511">
            <v>-5451.33</v>
          </cell>
          <cell r="J511">
            <v>0</v>
          </cell>
          <cell r="K511">
            <v>0</v>
          </cell>
          <cell r="L511" t="str">
            <v>平</v>
          </cell>
          <cell r="M511">
            <v>0</v>
          </cell>
          <cell r="N511">
            <v>0</v>
          </cell>
          <cell r="O511">
            <v>0</v>
          </cell>
        </row>
        <row r="512">
          <cell r="A512" t="str">
            <v>11</v>
          </cell>
          <cell r="E512" t="str">
            <v>红皮干草片特</v>
          </cell>
          <cell r="F512" t="str">
            <v>本年累计</v>
          </cell>
          <cell r="G512">
            <v>0</v>
          </cell>
          <cell r="H512">
            <v>-112</v>
          </cell>
          <cell r="I512">
            <v>-5451.33</v>
          </cell>
          <cell r="J512">
            <v>0</v>
          </cell>
          <cell r="K512">
            <v>0</v>
          </cell>
          <cell r="L512" t="str">
            <v>平</v>
          </cell>
          <cell r="M512">
            <v>0</v>
          </cell>
          <cell r="N512">
            <v>0</v>
          </cell>
          <cell r="O512">
            <v>0</v>
          </cell>
        </row>
        <row r="513">
          <cell r="D513" t="str">
            <v>036</v>
          </cell>
          <cell r="E513" t="str">
            <v>红皮干草片甲</v>
          </cell>
          <cell r="F513" t="str">
            <v>上年结转</v>
          </cell>
          <cell r="G513">
            <v>0</v>
          </cell>
          <cell r="H513">
            <v>0</v>
          </cell>
          <cell r="I513">
            <v>0</v>
          </cell>
          <cell r="J513">
            <v>0</v>
          </cell>
          <cell r="K513">
            <v>0</v>
          </cell>
          <cell r="L513" t="str">
            <v>借</v>
          </cell>
          <cell r="M513">
            <v>56</v>
          </cell>
          <cell r="N513">
            <v>44.247860000000003</v>
          </cell>
          <cell r="O513">
            <v>2477.88</v>
          </cell>
        </row>
        <row r="514">
          <cell r="A514" t="str">
            <v>04</v>
          </cell>
          <cell r="B514" t="str">
            <v>30</v>
          </cell>
          <cell r="C514" t="str">
            <v>记-0049</v>
          </cell>
          <cell r="D514" t="str">
            <v>036</v>
          </cell>
          <cell r="E514" t="str">
            <v>红皮干草片甲</v>
          </cell>
          <cell r="F514" t="str">
            <v>转成本</v>
          </cell>
          <cell r="G514">
            <v>44.247860000000003</v>
          </cell>
          <cell r="H514">
            <v>0</v>
          </cell>
          <cell r="I514">
            <v>0</v>
          </cell>
          <cell r="J514">
            <v>56</v>
          </cell>
          <cell r="K514">
            <v>2477.88</v>
          </cell>
          <cell r="L514" t="str">
            <v>平</v>
          </cell>
          <cell r="M514">
            <v>0</v>
          </cell>
          <cell r="N514">
            <v>0</v>
          </cell>
          <cell r="O514">
            <v>0</v>
          </cell>
        </row>
        <row r="515">
          <cell r="A515" t="str">
            <v>04</v>
          </cell>
          <cell r="F515" t="str">
            <v>本月合计</v>
          </cell>
          <cell r="G515">
            <v>0</v>
          </cell>
          <cell r="H515">
            <v>0</v>
          </cell>
          <cell r="I515">
            <v>0</v>
          </cell>
          <cell r="J515">
            <v>56</v>
          </cell>
          <cell r="K515">
            <v>2477.88</v>
          </cell>
          <cell r="L515" t="str">
            <v>平</v>
          </cell>
          <cell r="M515">
            <v>0</v>
          </cell>
          <cell r="N515">
            <v>0</v>
          </cell>
          <cell r="O515">
            <v>0</v>
          </cell>
        </row>
        <row r="516">
          <cell r="A516" t="str">
            <v>04</v>
          </cell>
          <cell r="E516" t="str">
            <v>红皮干草片甲</v>
          </cell>
          <cell r="F516" t="str">
            <v>本年累计</v>
          </cell>
          <cell r="G516">
            <v>0</v>
          </cell>
          <cell r="H516">
            <v>0</v>
          </cell>
          <cell r="I516">
            <v>0</v>
          </cell>
          <cell r="J516">
            <v>56</v>
          </cell>
          <cell r="K516">
            <v>2477.88</v>
          </cell>
          <cell r="L516" t="str">
            <v>平</v>
          </cell>
          <cell r="M516">
            <v>0</v>
          </cell>
          <cell r="N516">
            <v>0</v>
          </cell>
          <cell r="O516">
            <v>0</v>
          </cell>
        </row>
        <row r="517">
          <cell r="D517" t="str">
            <v>037</v>
          </cell>
          <cell r="E517" t="str">
            <v>红皮干草片乙</v>
          </cell>
          <cell r="F517" t="str">
            <v>上年结转</v>
          </cell>
          <cell r="G517">
            <v>0</v>
          </cell>
          <cell r="H517">
            <v>0</v>
          </cell>
          <cell r="I517">
            <v>0</v>
          </cell>
          <cell r="J517">
            <v>0</v>
          </cell>
          <cell r="K517">
            <v>0</v>
          </cell>
          <cell r="L517" t="str">
            <v>借</v>
          </cell>
          <cell r="M517">
            <v>56</v>
          </cell>
          <cell r="N517">
            <v>35.398209999999999</v>
          </cell>
          <cell r="O517">
            <v>1982.3</v>
          </cell>
        </row>
        <row r="518">
          <cell r="A518" t="str">
            <v>04</v>
          </cell>
          <cell r="B518" t="str">
            <v>30</v>
          </cell>
          <cell r="C518" t="str">
            <v>记-0049</v>
          </cell>
          <cell r="D518" t="str">
            <v>037</v>
          </cell>
          <cell r="E518" t="str">
            <v>红皮干草片乙</v>
          </cell>
          <cell r="F518" t="str">
            <v>转成本</v>
          </cell>
          <cell r="G518">
            <v>35.398209999999999</v>
          </cell>
          <cell r="H518">
            <v>0</v>
          </cell>
          <cell r="I518">
            <v>0</v>
          </cell>
          <cell r="J518">
            <v>56</v>
          </cell>
          <cell r="K518">
            <v>1982.3</v>
          </cell>
          <cell r="L518" t="str">
            <v>平</v>
          </cell>
          <cell r="M518">
            <v>0</v>
          </cell>
          <cell r="N518">
            <v>0</v>
          </cell>
          <cell r="O518">
            <v>0</v>
          </cell>
        </row>
        <row r="519">
          <cell r="A519" t="str">
            <v>04</v>
          </cell>
          <cell r="F519" t="str">
            <v>本月合计</v>
          </cell>
          <cell r="G519">
            <v>0</v>
          </cell>
          <cell r="H519">
            <v>0</v>
          </cell>
          <cell r="I519">
            <v>0</v>
          </cell>
          <cell r="J519">
            <v>56</v>
          </cell>
          <cell r="K519">
            <v>1982.3</v>
          </cell>
          <cell r="L519" t="str">
            <v>平</v>
          </cell>
          <cell r="M519">
            <v>0</v>
          </cell>
          <cell r="N519">
            <v>0</v>
          </cell>
          <cell r="O519">
            <v>0</v>
          </cell>
        </row>
        <row r="520">
          <cell r="A520" t="str">
            <v>04</v>
          </cell>
          <cell r="E520" t="str">
            <v>红皮干草片乙</v>
          </cell>
          <cell r="F520" t="str">
            <v>本年累计</v>
          </cell>
          <cell r="G520">
            <v>0</v>
          </cell>
          <cell r="H520">
            <v>0</v>
          </cell>
          <cell r="I520">
            <v>0</v>
          </cell>
          <cell r="J520">
            <v>56</v>
          </cell>
          <cell r="K520">
            <v>1982.3</v>
          </cell>
          <cell r="L520" t="str">
            <v>平</v>
          </cell>
          <cell r="M520">
            <v>0</v>
          </cell>
          <cell r="N520">
            <v>0</v>
          </cell>
          <cell r="O520">
            <v>0</v>
          </cell>
        </row>
        <row r="521">
          <cell r="D521" t="str">
            <v>038</v>
          </cell>
          <cell r="E521" t="str">
            <v>红皮干草片丙</v>
          </cell>
          <cell r="F521" t="str">
            <v>上年结转</v>
          </cell>
          <cell r="G521">
            <v>0</v>
          </cell>
          <cell r="H521">
            <v>0</v>
          </cell>
          <cell r="I521">
            <v>0</v>
          </cell>
          <cell r="J521">
            <v>0</v>
          </cell>
          <cell r="K521">
            <v>0</v>
          </cell>
          <cell r="L521" t="str">
            <v>借</v>
          </cell>
          <cell r="M521">
            <v>56</v>
          </cell>
          <cell r="N521">
            <v>23.008929999999999</v>
          </cell>
          <cell r="O521">
            <v>1288.5</v>
          </cell>
        </row>
        <row r="522">
          <cell r="A522" t="str">
            <v>04</v>
          </cell>
          <cell r="B522" t="str">
            <v>30</v>
          </cell>
          <cell r="C522" t="str">
            <v>记-0051</v>
          </cell>
          <cell r="D522" t="str">
            <v>038</v>
          </cell>
          <cell r="E522" t="str">
            <v>红皮干草片丙</v>
          </cell>
          <cell r="F522" t="str">
            <v>转成本</v>
          </cell>
          <cell r="G522">
            <v>23.008929999999999</v>
          </cell>
          <cell r="H522">
            <v>0</v>
          </cell>
          <cell r="I522">
            <v>0</v>
          </cell>
          <cell r="J522">
            <v>56</v>
          </cell>
          <cell r="K522">
            <v>1288.5</v>
          </cell>
          <cell r="L522" t="str">
            <v>平</v>
          </cell>
          <cell r="M522">
            <v>0</v>
          </cell>
          <cell r="N522">
            <v>0</v>
          </cell>
          <cell r="O522">
            <v>0</v>
          </cell>
        </row>
        <row r="523">
          <cell r="A523" t="str">
            <v>04</v>
          </cell>
          <cell r="F523" t="str">
            <v>本月合计</v>
          </cell>
          <cell r="G523">
            <v>0</v>
          </cell>
          <cell r="H523">
            <v>0</v>
          </cell>
          <cell r="I523">
            <v>0</v>
          </cell>
          <cell r="J523">
            <v>56</v>
          </cell>
          <cell r="K523">
            <v>1288.5</v>
          </cell>
          <cell r="L523" t="str">
            <v>平</v>
          </cell>
          <cell r="M523">
            <v>0</v>
          </cell>
          <cell r="N523">
            <v>0</v>
          </cell>
          <cell r="O523">
            <v>0</v>
          </cell>
        </row>
        <row r="524">
          <cell r="A524" t="str">
            <v>04</v>
          </cell>
          <cell r="E524" t="str">
            <v>红皮干草片丙</v>
          </cell>
          <cell r="F524" t="str">
            <v>本年累计</v>
          </cell>
          <cell r="G524">
            <v>0</v>
          </cell>
          <cell r="H524">
            <v>0</v>
          </cell>
          <cell r="I524">
            <v>0</v>
          </cell>
          <cell r="J524">
            <v>56</v>
          </cell>
          <cell r="K524">
            <v>1288.5</v>
          </cell>
          <cell r="L524" t="str">
            <v>平</v>
          </cell>
          <cell r="M524">
            <v>0</v>
          </cell>
          <cell r="N524">
            <v>0</v>
          </cell>
          <cell r="O524">
            <v>0</v>
          </cell>
        </row>
        <row r="525">
          <cell r="D525" t="str">
            <v>039</v>
          </cell>
          <cell r="E525" t="str">
            <v>野生干草</v>
          </cell>
          <cell r="F525" t="str">
            <v>上年结转</v>
          </cell>
          <cell r="G525">
            <v>0</v>
          </cell>
          <cell r="H525">
            <v>0</v>
          </cell>
          <cell r="I525">
            <v>0</v>
          </cell>
          <cell r="J525">
            <v>0</v>
          </cell>
          <cell r="K525">
            <v>0</v>
          </cell>
          <cell r="L525" t="str">
            <v>借</v>
          </cell>
          <cell r="M525">
            <v>5</v>
          </cell>
          <cell r="N525">
            <v>11.022</v>
          </cell>
          <cell r="O525">
            <v>55.11</v>
          </cell>
        </row>
        <row r="526">
          <cell r="A526" t="str">
            <v>11</v>
          </cell>
          <cell r="B526" t="str">
            <v>30</v>
          </cell>
          <cell r="C526" t="str">
            <v>记-0146</v>
          </cell>
          <cell r="D526" t="str">
            <v>039</v>
          </cell>
          <cell r="E526" t="str">
            <v>野生干草</v>
          </cell>
          <cell r="F526" t="str">
            <v>调整库存</v>
          </cell>
          <cell r="G526">
            <v>11.022</v>
          </cell>
          <cell r="H526">
            <v>-5</v>
          </cell>
          <cell r="I526">
            <v>-55.11</v>
          </cell>
          <cell r="J526">
            <v>0</v>
          </cell>
          <cell r="K526">
            <v>0</v>
          </cell>
          <cell r="L526" t="str">
            <v>平</v>
          </cell>
          <cell r="M526">
            <v>0</v>
          </cell>
          <cell r="N526">
            <v>0</v>
          </cell>
          <cell r="O526">
            <v>0</v>
          </cell>
        </row>
        <row r="527">
          <cell r="A527" t="str">
            <v>11</v>
          </cell>
          <cell r="F527" t="str">
            <v>本月合计</v>
          </cell>
          <cell r="G527">
            <v>0</v>
          </cell>
          <cell r="H527">
            <v>-5</v>
          </cell>
          <cell r="I527">
            <v>-55.11</v>
          </cell>
          <cell r="J527">
            <v>0</v>
          </cell>
          <cell r="K527">
            <v>0</v>
          </cell>
          <cell r="L527" t="str">
            <v>平</v>
          </cell>
          <cell r="M527">
            <v>0</v>
          </cell>
          <cell r="N527">
            <v>0</v>
          </cell>
          <cell r="O527">
            <v>0</v>
          </cell>
        </row>
        <row r="528">
          <cell r="A528" t="str">
            <v>11</v>
          </cell>
          <cell r="E528" t="str">
            <v>野生干草</v>
          </cell>
          <cell r="F528" t="str">
            <v>本年累计</v>
          </cell>
          <cell r="G528">
            <v>0</v>
          </cell>
          <cell r="H528">
            <v>-5</v>
          </cell>
          <cell r="I528">
            <v>-55.11</v>
          </cell>
          <cell r="J528">
            <v>0</v>
          </cell>
          <cell r="K528">
            <v>0</v>
          </cell>
          <cell r="L528" t="str">
            <v>平</v>
          </cell>
          <cell r="M528">
            <v>0</v>
          </cell>
          <cell r="N528">
            <v>0</v>
          </cell>
          <cell r="O528">
            <v>0</v>
          </cell>
        </row>
        <row r="529">
          <cell r="D529" t="str">
            <v>040</v>
          </cell>
          <cell r="E529" t="str">
            <v>白生须</v>
          </cell>
          <cell r="F529" t="str">
            <v>上年结转</v>
          </cell>
          <cell r="G529">
            <v>0</v>
          </cell>
          <cell r="H529">
            <v>0</v>
          </cell>
          <cell r="I529">
            <v>0</v>
          </cell>
          <cell r="J529">
            <v>0</v>
          </cell>
          <cell r="K529">
            <v>0</v>
          </cell>
          <cell r="L529" t="str">
            <v>借</v>
          </cell>
          <cell r="M529">
            <v>7086</v>
          </cell>
          <cell r="N529">
            <v>59.446159999999999</v>
          </cell>
          <cell r="O529">
            <v>421235.49</v>
          </cell>
        </row>
        <row r="530">
          <cell r="A530" t="str">
            <v>02</v>
          </cell>
          <cell r="B530" t="str">
            <v>28</v>
          </cell>
          <cell r="C530" t="str">
            <v>记-0041</v>
          </cell>
          <cell r="D530" t="str">
            <v>040</v>
          </cell>
          <cell r="E530" t="str">
            <v>白生须</v>
          </cell>
          <cell r="F530" t="str">
            <v>收货款</v>
          </cell>
          <cell r="G530">
            <v>59.446159999999999</v>
          </cell>
          <cell r="H530">
            <v>0</v>
          </cell>
          <cell r="I530">
            <v>0</v>
          </cell>
          <cell r="J530">
            <v>7086</v>
          </cell>
          <cell r="K530">
            <v>421235.49</v>
          </cell>
          <cell r="L530" t="str">
            <v>平</v>
          </cell>
          <cell r="M530">
            <v>0</v>
          </cell>
          <cell r="N530">
            <v>0</v>
          </cell>
          <cell r="O530">
            <v>0</v>
          </cell>
        </row>
        <row r="531">
          <cell r="A531" t="str">
            <v>02</v>
          </cell>
          <cell r="B531" t="str">
            <v>28</v>
          </cell>
          <cell r="C531" t="str">
            <v>记-0059</v>
          </cell>
          <cell r="D531" t="str">
            <v>040</v>
          </cell>
          <cell r="E531" t="str">
            <v>白生须</v>
          </cell>
          <cell r="F531" t="str">
            <v>结转销售成本</v>
          </cell>
          <cell r="G531">
            <v>413.18340000000001</v>
          </cell>
          <cell r="H531">
            <v>0</v>
          </cell>
          <cell r="I531">
            <v>0</v>
          </cell>
          <cell r="J531">
            <v>50</v>
          </cell>
          <cell r="K531">
            <v>20659.169999999998</v>
          </cell>
          <cell r="L531" t="str">
            <v>贷</v>
          </cell>
          <cell r="M531">
            <v>50</v>
          </cell>
          <cell r="N531">
            <v>0</v>
          </cell>
          <cell r="O531">
            <v>20659.169999999998</v>
          </cell>
        </row>
        <row r="532">
          <cell r="A532" t="str">
            <v>02</v>
          </cell>
          <cell r="F532" t="str">
            <v>本月合计</v>
          </cell>
          <cell r="G532">
            <v>0</v>
          </cell>
          <cell r="H532">
            <v>0</v>
          </cell>
          <cell r="I532">
            <v>0</v>
          </cell>
          <cell r="J532">
            <v>7136</v>
          </cell>
          <cell r="K532">
            <v>441894.66</v>
          </cell>
          <cell r="L532" t="str">
            <v>贷</v>
          </cell>
          <cell r="M532">
            <v>50</v>
          </cell>
          <cell r="N532">
            <v>413.18340000000001</v>
          </cell>
          <cell r="O532">
            <v>20659.169999999998</v>
          </cell>
        </row>
        <row r="533">
          <cell r="A533" t="str">
            <v>02</v>
          </cell>
          <cell r="F533" t="str">
            <v>累    计</v>
          </cell>
          <cell r="G533">
            <v>0</v>
          </cell>
          <cell r="H533">
            <v>0</v>
          </cell>
          <cell r="I533">
            <v>0</v>
          </cell>
          <cell r="J533">
            <v>7136</v>
          </cell>
          <cell r="K533">
            <v>441894.66</v>
          </cell>
          <cell r="L533" t="str">
            <v>贷</v>
          </cell>
          <cell r="M533">
            <v>50</v>
          </cell>
          <cell r="N533">
            <v>413.18340000000001</v>
          </cell>
          <cell r="O533">
            <v>20659.169999999998</v>
          </cell>
        </row>
        <row r="534">
          <cell r="A534" t="str">
            <v>06</v>
          </cell>
          <cell r="B534" t="str">
            <v>24</v>
          </cell>
          <cell r="C534" t="str">
            <v>记-0059</v>
          </cell>
          <cell r="D534" t="str">
            <v>040</v>
          </cell>
          <cell r="E534" t="str">
            <v>白生须</v>
          </cell>
          <cell r="F534" t="str">
            <v>购入商品</v>
          </cell>
          <cell r="G534">
            <v>87</v>
          </cell>
          <cell r="H534">
            <v>25000</v>
          </cell>
          <cell r="I534">
            <v>2175000</v>
          </cell>
          <cell r="J534">
            <v>0</v>
          </cell>
          <cell r="K534">
            <v>0</v>
          </cell>
          <cell r="L534" t="str">
            <v>借</v>
          </cell>
          <cell r="M534">
            <v>24950</v>
          </cell>
          <cell r="N534">
            <v>0</v>
          </cell>
          <cell r="O534">
            <v>2154340.83</v>
          </cell>
        </row>
        <row r="535">
          <cell r="A535" t="str">
            <v>06</v>
          </cell>
          <cell r="B535" t="str">
            <v>24</v>
          </cell>
          <cell r="C535" t="str">
            <v>记-0065</v>
          </cell>
          <cell r="D535" t="str">
            <v>040</v>
          </cell>
          <cell r="E535" t="str">
            <v>白生须</v>
          </cell>
          <cell r="F535" t="str">
            <v>转成本</v>
          </cell>
          <cell r="G535">
            <v>87</v>
          </cell>
          <cell r="H535">
            <v>0</v>
          </cell>
          <cell r="I535">
            <v>0</v>
          </cell>
          <cell r="J535">
            <v>25000</v>
          </cell>
          <cell r="K535">
            <v>2175000</v>
          </cell>
          <cell r="L535" t="str">
            <v>贷</v>
          </cell>
          <cell r="M535">
            <v>50</v>
          </cell>
          <cell r="N535">
            <v>0</v>
          </cell>
          <cell r="O535">
            <v>20659.169999999998</v>
          </cell>
        </row>
        <row r="536">
          <cell r="A536" t="str">
            <v>06</v>
          </cell>
          <cell r="F536" t="str">
            <v>本月合计</v>
          </cell>
          <cell r="G536">
            <v>0</v>
          </cell>
          <cell r="H536">
            <v>25000</v>
          </cell>
          <cell r="I536">
            <v>2175000</v>
          </cell>
          <cell r="J536">
            <v>25000</v>
          </cell>
          <cell r="K536">
            <v>2175000</v>
          </cell>
          <cell r="L536" t="str">
            <v>贷</v>
          </cell>
          <cell r="M536">
            <v>50</v>
          </cell>
          <cell r="N536">
            <v>413.18340000000001</v>
          </cell>
          <cell r="O536">
            <v>20659.169999999998</v>
          </cell>
        </row>
        <row r="537">
          <cell r="A537" t="str">
            <v>06</v>
          </cell>
          <cell r="F537" t="str">
            <v>累    计</v>
          </cell>
          <cell r="G537">
            <v>0</v>
          </cell>
          <cell r="H537">
            <v>25000</v>
          </cell>
          <cell r="I537">
            <v>2175000</v>
          </cell>
          <cell r="J537">
            <v>32136</v>
          </cell>
          <cell r="K537">
            <v>2616894.66</v>
          </cell>
          <cell r="L537" t="str">
            <v>贷</v>
          </cell>
          <cell r="M537">
            <v>50</v>
          </cell>
          <cell r="N537">
            <v>413.18340000000001</v>
          </cell>
          <cell r="O537">
            <v>20659.169999999998</v>
          </cell>
        </row>
        <row r="538">
          <cell r="A538" t="str">
            <v>12</v>
          </cell>
          <cell r="B538" t="str">
            <v>31</v>
          </cell>
          <cell r="C538" t="str">
            <v>记-0174</v>
          </cell>
          <cell r="D538" t="str">
            <v>040</v>
          </cell>
          <cell r="E538" t="str">
            <v>白生须</v>
          </cell>
          <cell r="F538" t="str">
            <v>调整2月59号凭</v>
          </cell>
          <cell r="G538">
            <v>413.18340000000001</v>
          </cell>
          <cell r="H538">
            <v>0</v>
          </cell>
          <cell r="I538">
            <v>0</v>
          </cell>
          <cell r="J538">
            <v>-50</v>
          </cell>
          <cell r="K538">
            <v>-20659.169999999998</v>
          </cell>
          <cell r="L538" t="str">
            <v>平</v>
          </cell>
          <cell r="M538">
            <v>0</v>
          </cell>
          <cell r="N538">
            <v>0</v>
          </cell>
          <cell r="O538">
            <v>0</v>
          </cell>
        </row>
        <row r="539">
          <cell r="A539" t="str">
            <v>12</v>
          </cell>
          <cell r="F539" t="str">
            <v>本月合计</v>
          </cell>
          <cell r="G539">
            <v>0</v>
          </cell>
          <cell r="H539">
            <v>0</v>
          </cell>
          <cell r="I539">
            <v>0</v>
          </cell>
          <cell r="J539">
            <v>-50</v>
          </cell>
          <cell r="K539">
            <v>-20659.169999999998</v>
          </cell>
          <cell r="L539" t="str">
            <v>平</v>
          </cell>
          <cell r="M539">
            <v>0</v>
          </cell>
          <cell r="N539">
            <v>0</v>
          </cell>
          <cell r="O539">
            <v>0</v>
          </cell>
        </row>
        <row r="540">
          <cell r="A540" t="str">
            <v>12</v>
          </cell>
          <cell r="E540" t="str">
            <v>白生须</v>
          </cell>
          <cell r="F540" t="str">
            <v>本年累计</v>
          </cell>
          <cell r="G540">
            <v>0</v>
          </cell>
          <cell r="H540">
            <v>25000</v>
          </cell>
          <cell r="I540">
            <v>2175000</v>
          </cell>
          <cell r="J540">
            <v>32086</v>
          </cell>
          <cell r="K540">
            <v>2596235.4900000002</v>
          </cell>
          <cell r="L540" t="str">
            <v>平</v>
          </cell>
          <cell r="M540">
            <v>0</v>
          </cell>
          <cell r="N540">
            <v>0</v>
          </cell>
          <cell r="O540">
            <v>0</v>
          </cell>
        </row>
        <row r="541">
          <cell r="D541" t="str">
            <v>041</v>
          </cell>
          <cell r="E541" t="str">
            <v>林蛙</v>
          </cell>
          <cell r="F541" t="str">
            <v>上年结转</v>
          </cell>
          <cell r="G541">
            <v>0</v>
          </cell>
          <cell r="H541">
            <v>0</v>
          </cell>
          <cell r="I541">
            <v>0</v>
          </cell>
          <cell r="J541">
            <v>0</v>
          </cell>
          <cell r="K541">
            <v>0</v>
          </cell>
          <cell r="L541" t="str">
            <v>借</v>
          </cell>
          <cell r="M541">
            <v>53235.824999999997</v>
          </cell>
          <cell r="N541">
            <v>124.34435999999999</v>
          </cell>
          <cell r="O541">
            <v>6619574.7199999997</v>
          </cell>
        </row>
        <row r="542">
          <cell r="A542" t="str">
            <v>01</v>
          </cell>
          <cell r="B542" t="str">
            <v>31</v>
          </cell>
          <cell r="C542" t="str">
            <v>记-0002</v>
          </cell>
          <cell r="D542" t="str">
            <v>041</v>
          </cell>
          <cell r="E542" t="str">
            <v>林蛙</v>
          </cell>
          <cell r="F542" t="str">
            <v>转出林蛙</v>
          </cell>
          <cell r="G542">
            <v>124.34439999999999</v>
          </cell>
          <cell r="H542">
            <v>0</v>
          </cell>
          <cell r="I542">
            <v>0</v>
          </cell>
          <cell r="J542">
            <v>6941.8890000000001</v>
          </cell>
          <cell r="K542">
            <v>863185.02</v>
          </cell>
          <cell r="L542" t="str">
            <v>借</v>
          </cell>
          <cell r="M542">
            <v>46293.936000000002</v>
          </cell>
          <cell r="N542">
            <v>0</v>
          </cell>
          <cell r="O542">
            <v>5756389.7000000002</v>
          </cell>
        </row>
        <row r="543">
          <cell r="A543" t="str">
            <v>01</v>
          </cell>
          <cell r="B543" t="str">
            <v>31</v>
          </cell>
          <cell r="C543" t="str">
            <v>记-0005</v>
          </cell>
          <cell r="D543" t="str">
            <v>041</v>
          </cell>
          <cell r="E543" t="str">
            <v>林蛙</v>
          </cell>
          <cell r="F543" t="str">
            <v>结转成本收货</v>
          </cell>
          <cell r="G543">
            <v>124.34439999999999</v>
          </cell>
          <cell r="H543">
            <v>0</v>
          </cell>
          <cell r="I543">
            <v>0</v>
          </cell>
          <cell r="J543">
            <v>2847.7890000000002</v>
          </cell>
          <cell r="K543">
            <v>354106.61</v>
          </cell>
          <cell r="L543" t="str">
            <v>借</v>
          </cell>
          <cell r="M543">
            <v>43446.146999999997</v>
          </cell>
          <cell r="N543">
            <v>0</v>
          </cell>
          <cell r="O543">
            <v>5402283.0899999999</v>
          </cell>
        </row>
        <row r="544">
          <cell r="A544" t="str">
            <v>01</v>
          </cell>
          <cell r="B544" t="str">
            <v>31</v>
          </cell>
          <cell r="C544" t="str">
            <v>记-0006</v>
          </cell>
          <cell r="D544" t="str">
            <v>041</v>
          </cell>
          <cell r="E544" t="str">
            <v>林蛙</v>
          </cell>
          <cell r="F544" t="str">
            <v>结转成本</v>
          </cell>
          <cell r="G544">
            <v>124.34439999999999</v>
          </cell>
          <cell r="H544">
            <v>0</v>
          </cell>
          <cell r="I544">
            <v>0</v>
          </cell>
          <cell r="J544">
            <v>6404.2759999999998</v>
          </cell>
          <cell r="K544">
            <v>796335.86</v>
          </cell>
          <cell r="L544" t="str">
            <v>借</v>
          </cell>
          <cell r="M544">
            <v>37041.870999999999</v>
          </cell>
          <cell r="N544">
            <v>0</v>
          </cell>
          <cell r="O544">
            <v>4605947.2300000004</v>
          </cell>
        </row>
        <row r="545">
          <cell r="A545" t="str">
            <v>01</v>
          </cell>
          <cell r="F545" t="str">
            <v>本月合计</v>
          </cell>
          <cell r="G545">
            <v>0</v>
          </cell>
          <cell r="H545">
            <v>0</v>
          </cell>
          <cell r="I545">
            <v>0</v>
          </cell>
          <cell r="J545">
            <v>16193.954</v>
          </cell>
          <cell r="K545">
            <v>2013627.49</v>
          </cell>
          <cell r="L545" t="str">
            <v>借</v>
          </cell>
          <cell r="M545">
            <v>37041.870999999999</v>
          </cell>
          <cell r="N545">
            <v>124.34435000000001</v>
          </cell>
          <cell r="O545">
            <v>4605947.2300000004</v>
          </cell>
        </row>
        <row r="546">
          <cell r="A546" t="str">
            <v>01</v>
          </cell>
          <cell r="F546" t="str">
            <v>累    计</v>
          </cell>
          <cell r="G546">
            <v>0</v>
          </cell>
          <cell r="H546">
            <v>0</v>
          </cell>
          <cell r="I546">
            <v>0</v>
          </cell>
          <cell r="J546">
            <v>16193.954</v>
          </cell>
          <cell r="K546">
            <v>2013627.49</v>
          </cell>
          <cell r="L546" t="str">
            <v>借</v>
          </cell>
          <cell r="M546">
            <v>37041.870999999999</v>
          </cell>
          <cell r="N546">
            <v>124.34435000000001</v>
          </cell>
          <cell r="O546">
            <v>4605947.2300000004</v>
          </cell>
        </row>
        <row r="547">
          <cell r="A547" t="str">
            <v>02</v>
          </cell>
          <cell r="B547" t="str">
            <v>28</v>
          </cell>
          <cell r="C547" t="str">
            <v>记-0038</v>
          </cell>
          <cell r="D547" t="str">
            <v>041</v>
          </cell>
          <cell r="E547" t="str">
            <v>林蛙</v>
          </cell>
          <cell r="F547" t="str">
            <v>付货款</v>
          </cell>
          <cell r="G547">
            <v>124.34442</v>
          </cell>
          <cell r="H547">
            <v>0</v>
          </cell>
          <cell r="I547">
            <v>0</v>
          </cell>
          <cell r="J547">
            <v>4980.53</v>
          </cell>
          <cell r="K547">
            <v>619301.12</v>
          </cell>
          <cell r="L547" t="str">
            <v>借</v>
          </cell>
          <cell r="M547">
            <v>32061.341</v>
          </cell>
          <cell r="N547">
            <v>0</v>
          </cell>
          <cell r="O547">
            <v>3986646.11</v>
          </cell>
        </row>
        <row r="548">
          <cell r="A548" t="str">
            <v>02</v>
          </cell>
          <cell r="B548" t="str">
            <v>28</v>
          </cell>
          <cell r="C548" t="str">
            <v>记-0039</v>
          </cell>
          <cell r="D548" t="str">
            <v>041</v>
          </cell>
          <cell r="E548" t="str">
            <v>林蛙</v>
          </cell>
          <cell r="F548" t="str">
            <v>转成本</v>
          </cell>
          <cell r="G548">
            <v>124.34439999999999</v>
          </cell>
          <cell r="H548">
            <v>0</v>
          </cell>
          <cell r="I548">
            <v>0</v>
          </cell>
          <cell r="J548">
            <v>7092.2</v>
          </cell>
          <cell r="K548">
            <v>881875.35</v>
          </cell>
          <cell r="L548" t="str">
            <v>借</v>
          </cell>
          <cell r="M548">
            <v>24969.141</v>
          </cell>
          <cell r="N548">
            <v>0</v>
          </cell>
          <cell r="O548">
            <v>3104770.76</v>
          </cell>
        </row>
        <row r="549">
          <cell r="A549" t="str">
            <v>02</v>
          </cell>
          <cell r="B549" t="str">
            <v>28</v>
          </cell>
          <cell r="C549" t="str">
            <v>记-0040</v>
          </cell>
          <cell r="D549" t="str">
            <v>041</v>
          </cell>
          <cell r="E549" t="str">
            <v>林蛙</v>
          </cell>
          <cell r="F549" t="str">
            <v>收货款</v>
          </cell>
          <cell r="G549">
            <v>124.43957</v>
          </cell>
          <cell r="H549">
            <v>0</v>
          </cell>
          <cell r="I549">
            <v>0</v>
          </cell>
          <cell r="J549">
            <v>2925</v>
          </cell>
          <cell r="K549">
            <v>363985.75</v>
          </cell>
          <cell r="L549" t="str">
            <v>借</v>
          </cell>
          <cell r="M549">
            <v>22044.141</v>
          </cell>
          <cell r="N549">
            <v>0</v>
          </cell>
          <cell r="O549">
            <v>2740785.01</v>
          </cell>
        </row>
        <row r="550">
          <cell r="A550" t="str">
            <v>02</v>
          </cell>
          <cell r="B550" t="str">
            <v>28</v>
          </cell>
          <cell r="C550" t="str">
            <v>记-0041</v>
          </cell>
          <cell r="D550" t="str">
            <v>041</v>
          </cell>
          <cell r="E550" t="str">
            <v>林蛙</v>
          </cell>
          <cell r="F550" t="str">
            <v>收货款</v>
          </cell>
          <cell r="G550">
            <v>124.34439999999999</v>
          </cell>
          <cell r="H550">
            <v>0</v>
          </cell>
          <cell r="I550">
            <v>0</v>
          </cell>
          <cell r="J550">
            <v>3635.14</v>
          </cell>
          <cell r="K550">
            <v>452009.3</v>
          </cell>
          <cell r="L550" t="str">
            <v>借</v>
          </cell>
          <cell r="M550">
            <v>18409.001</v>
          </cell>
          <cell r="N550">
            <v>0</v>
          </cell>
          <cell r="O550">
            <v>2288775.71</v>
          </cell>
        </row>
        <row r="551">
          <cell r="A551" t="str">
            <v>02</v>
          </cell>
          <cell r="B551" t="str">
            <v>28</v>
          </cell>
          <cell r="C551" t="str">
            <v>记-0043</v>
          </cell>
          <cell r="D551" t="str">
            <v>041</v>
          </cell>
          <cell r="E551" t="str">
            <v>林蛙</v>
          </cell>
          <cell r="F551" t="str">
            <v>收货款</v>
          </cell>
          <cell r="G551">
            <v>124.32903</v>
          </cell>
          <cell r="H551">
            <v>0</v>
          </cell>
          <cell r="I551">
            <v>0</v>
          </cell>
          <cell r="J551">
            <v>5685</v>
          </cell>
          <cell r="K551">
            <v>706810.52</v>
          </cell>
          <cell r="L551" t="str">
            <v>借</v>
          </cell>
          <cell r="M551">
            <v>12724.001</v>
          </cell>
          <cell r="N551">
            <v>0</v>
          </cell>
          <cell r="O551">
            <v>1581965.19</v>
          </cell>
        </row>
        <row r="552">
          <cell r="A552" t="str">
            <v>02</v>
          </cell>
          <cell r="B552" t="str">
            <v>28</v>
          </cell>
          <cell r="C552" t="str">
            <v>记-0044</v>
          </cell>
          <cell r="D552" t="str">
            <v>041</v>
          </cell>
          <cell r="E552" t="str">
            <v>林蛙</v>
          </cell>
          <cell r="F552" t="str">
            <v>收货款</v>
          </cell>
          <cell r="G552">
            <v>124.34439</v>
          </cell>
          <cell r="H552">
            <v>0</v>
          </cell>
          <cell r="I552">
            <v>0</v>
          </cell>
          <cell r="J552">
            <v>3555.49</v>
          </cell>
          <cell r="K552">
            <v>442105.22</v>
          </cell>
          <cell r="L552" t="str">
            <v>借</v>
          </cell>
          <cell r="M552">
            <v>9168.5110000000004</v>
          </cell>
          <cell r="N552">
            <v>0</v>
          </cell>
          <cell r="O552">
            <v>1139859.97</v>
          </cell>
        </row>
        <row r="553">
          <cell r="A553" t="str">
            <v>02</v>
          </cell>
          <cell r="B553" t="str">
            <v>28</v>
          </cell>
          <cell r="C553" t="str">
            <v>记-0045</v>
          </cell>
          <cell r="D553" t="str">
            <v>041</v>
          </cell>
          <cell r="E553" t="str">
            <v>林蛙</v>
          </cell>
          <cell r="F553" t="str">
            <v>收货款</v>
          </cell>
          <cell r="G553">
            <v>124.34439999999999</v>
          </cell>
          <cell r="H553">
            <v>0</v>
          </cell>
          <cell r="I553">
            <v>0</v>
          </cell>
          <cell r="J553">
            <v>7092.2</v>
          </cell>
          <cell r="K553">
            <v>881875.35</v>
          </cell>
          <cell r="L553" t="str">
            <v>借</v>
          </cell>
          <cell r="M553">
            <v>2076.3110000000001</v>
          </cell>
          <cell r="N553">
            <v>0</v>
          </cell>
          <cell r="O553">
            <v>257984.62</v>
          </cell>
        </row>
        <row r="554">
          <cell r="A554" t="str">
            <v>02</v>
          </cell>
          <cell r="B554" t="str">
            <v>28</v>
          </cell>
          <cell r="C554" t="str">
            <v>记-0046</v>
          </cell>
          <cell r="D554" t="str">
            <v>041</v>
          </cell>
          <cell r="E554" t="str">
            <v>林蛙</v>
          </cell>
          <cell r="F554" t="str">
            <v>收货款</v>
          </cell>
          <cell r="G554">
            <v>124.34393</v>
          </cell>
          <cell r="H554">
            <v>0</v>
          </cell>
          <cell r="I554">
            <v>0</v>
          </cell>
          <cell r="J554">
            <v>1423.4</v>
          </cell>
          <cell r="K554">
            <v>176991.15</v>
          </cell>
          <cell r="L554" t="str">
            <v>借</v>
          </cell>
          <cell r="M554">
            <v>652.91099999999994</v>
          </cell>
          <cell r="N554">
            <v>0</v>
          </cell>
          <cell r="O554">
            <v>80993.47</v>
          </cell>
        </row>
        <row r="555">
          <cell r="A555" t="str">
            <v>02</v>
          </cell>
          <cell r="B555" t="str">
            <v>28</v>
          </cell>
          <cell r="C555" t="str">
            <v>记-0047</v>
          </cell>
          <cell r="D555" t="str">
            <v>041</v>
          </cell>
          <cell r="E555" t="str">
            <v>林蛙</v>
          </cell>
          <cell r="F555" t="str">
            <v>收货款</v>
          </cell>
          <cell r="G555">
            <v>124.34452</v>
          </cell>
          <cell r="H555">
            <v>0</v>
          </cell>
          <cell r="I555">
            <v>0</v>
          </cell>
          <cell r="J555">
            <v>4268.8999999999996</v>
          </cell>
          <cell r="K555">
            <v>530814.31999999995</v>
          </cell>
          <cell r="L555" t="str">
            <v>贷</v>
          </cell>
          <cell r="M555">
            <v>3615.989</v>
          </cell>
          <cell r="N555">
            <v>0</v>
          </cell>
          <cell r="O555">
            <v>449820.85</v>
          </cell>
        </row>
        <row r="556">
          <cell r="A556" t="str">
            <v>02</v>
          </cell>
          <cell r="B556" t="str">
            <v>28</v>
          </cell>
          <cell r="C556" t="str">
            <v>记-0048</v>
          </cell>
          <cell r="D556" t="str">
            <v>041</v>
          </cell>
          <cell r="E556" t="str">
            <v>林蛙</v>
          </cell>
          <cell r="F556" t="str">
            <v>收货款</v>
          </cell>
          <cell r="G556">
            <v>124.34452</v>
          </cell>
          <cell r="H556">
            <v>0</v>
          </cell>
          <cell r="I556">
            <v>0</v>
          </cell>
          <cell r="J556">
            <v>4268.8999999999996</v>
          </cell>
          <cell r="K556">
            <v>530814.31999999995</v>
          </cell>
          <cell r="L556" t="str">
            <v>贷</v>
          </cell>
          <cell r="M556">
            <v>7884.8890000000001</v>
          </cell>
          <cell r="N556">
            <v>0</v>
          </cell>
          <cell r="O556">
            <v>980635.17</v>
          </cell>
        </row>
        <row r="557">
          <cell r="A557" t="str">
            <v>02</v>
          </cell>
          <cell r="B557" t="str">
            <v>28</v>
          </cell>
          <cell r="C557" t="str">
            <v>记-0049</v>
          </cell>
          <cell r="D557" t="str">
            <v>041</v>
          </cell>
          <cell r="E557" t="str">
            <v>林蛙</v>
          </cell>
          <cell r="F557" t="str">
            <v>收货款</v>
          </cell>
          <cell r="G557">
            <v>124.34441</v>
          </cell>
          <cell r="H557">
            <v>0</v>
          </cell>
          <cell r="I557">
            <v>0</v>
          </cell>
          <cell r="J557">
            <v>3486.3</v>
          </cell>
          <cell r="K557">
            <v>433501.91</v>
          </cell>
          <cell r="L557" t="str">
            <v>贷</v>
          </cell>
          <cell r="M557">
            <v>11371.189</v>
          </cell>
          <cell r="N557">
            <v>0</v>
          </cell>
          <cell r="O557">
            <v>1414137.08</v>
          </cell>
        </row>
        <row r="558">
          <cell r="A558" t="str">
            <v>02</v>
          </cell>
          <cell r="B558" t="str">
            <v>28</v>
          </cell>
          <cell r="C558" t="str">
            <v>记-0071</v>
          </cell>
          <cell r="D558" t="str">
            <v>041</v>
          </cell>
          <cell r="E558" t="str">
            <v>林蛙</v>
          </cell>
          <cell r="F558" t="str">
            <v>收购产品</v>
          </cell>
          <cell r="G558">
            <v>121.8</v>
          </cell>
          <cell r="H558">
            <v>7500</v>
          </cell>
          <cell r="I558">
            <v>913500</v>
          </cell>
          <cell r="J558">
            <v>0</v>
          </cell>
          <cell r="K558">
            <v>0</v>
          </cell>
          <cell r="L558" t="str">
            <v>贷</v>
          </cell>
          <cell r="M558">
            <v>3871.1889999999999</v>
          </cell>
          <cell r="N558">
            <v>0</v>
          </cell>
          <cell r="O558">
            <v>500637.08</v>
          </cell>
        </row>
        <row r="559">
          <cell r="A559" t="str">
            <v>02</v>
          </cell>
          <cell r="B559" t="str">
            <v>28</v>
          </cell>
          <cell r="C559" t="str">
            <v>记-0071</v>
          </cell>
          <cell r="D559" t="str">
            <v>041</v>
          </cell>
          <cell r="E559" t="str">
            <v>林蛙</v>
          </cell>
          <cell r="F559" t="str">
            <v>收购产品</v>
          </cell>
          <cell r="G559">
            <v>121.8</v>
          </cell>
          <cell r="H559">
            <v>7500</v>
          </cell>
          <cell r="I559">
            <v>913500</v>
          </cell>
          <cell r="J559">
            <v>0</v>
          </cell>
          <cell r="K559">
            <v>0</v>
          </cell>
          <cell r="L559" t="str">
            <v>借</v>
          </cell>
          <cell r="M559">
            <v>3628.8110000000001</v>
          </cell>
          <cell r="N559">
            <v>0</v>
          </cell>
          <cell r="O559">
            <v>412862.92</v>
          </cell>
        </row>
        <row r="560">
          <cell r="A560" t="str">
            <v>02</v>
          </cell>
          <cell r="F560" t="str">
            <v>本月合计</v>
          </cell>
          <cell r="G560">
            <v>0</v>
          </cell>
          <cell r="H560">
            <v>15000</v>
          </cell>
          <cell r="I560">
            <v>1827000</v>
          </cell>
          <cell r="J560">
            <v>48413.06</v>
          </cell>
          <cell r="K560">
            <v>6020084.3099999996</v>
          </cell>
          <cell r="L560" t="str">
            <v>借</v>
          </cell>
          <cell r="M560">
            <v>3628.8110000000001</v>
          </cell>
          <cell r="N560">
            <v>113.77361000000001</v>
          </cell>
          <cell r="O560">
            <v>412862.92</v>
          </cell>
        </row>
        <row r="561">
          <cell r="A561" t="str">
            <v>02</v>
          </cell>
          <cell r="F561" t="str">
            <v>累    计</v>
          </cell>
          <cell r="G561">
            <v>0</v>
          </cell>
          <cell r="H561">
            <v>15000</v>
          </cell>
          <cell r="I561">
            <v>1827000</v>
          </cell>
          <cell r="J561">
            <v>64607.014000000003</v>
          </cell>
          <cell r="K561">
            <v>8033711.7999999998</v>
          </cell>
          <cell r="L561" t="str">
            <v>借</v>
          </cell>
          <cell r="M561">
            <v>3628.8110000000001</v>
          </cell>
          <cell r="N561">
            <v>113.77361000000001</v>
          </cell>
          <cell r="O561">
            <v>412862.92</v>
          </cell>
        </row>
        <row r="562">
          <cell r="A562" t="str">
            <v>03</v>
          </cell>
          <cell r="B562" t="str">
            <v>31</v>
          </cell>
          <cell r="C562" t="str">
            <v>记-0044</v>
          </cell>
          <cell r="D562" t="str">
            <v>041</v>
          </cell>
          <cell r="E562" t="str">
            <v>林蛙</v>
          </cell>
          <cell r="F562" t="str">
            <v>转成本</v>
          </cell>
          <cell r="G562">
            <v>2574.0000399999999</v>
          </cell>
          <cell r="H562">
            <v>0</v>
          </cell>
          <cell r="I562">
            <v>0</v>
          </cell>
          <cell r="J562">
            <v>113.774</v>
          </cell>
          <cell r="K562">
            <v>292854.28000000003</v>
          </cell>
          <cell r="L562" t="str">
            <v>借</v>
          </cell>
          <cell r="M562">
            <v>3515.0369999999998</v>
          </cell>
          <cell r="N562">
            <v>0</v>
          </cell>
          <cell r="O562">
            <v>120008.64</v>
          </cell>
        </row>
        <row r="563">
          <cell r="A563" t="str">
            <v>03</v>
          </cell>
          <cell r="F563" t="str">
            <v>本月合计</v>
          </cell>
          <cell r="G563">
            <v>0</v>
          </cell>
          <cell r="H563">
            <v>0</v>
          </cell>
          <cell r="I563">
            <v>0</v>
          </cell>
          <cell r="J563">
            <v>113.774</v>
          </cell>
          <cell r="K563">
            <v>292854.28000000003</v>
          </cell>
          <cell r="L563" t="str">
            <v>借</v>
          </cell>
          <cell r="M563">
            <v>3515.0369999999998</v>
          </cell>
          <cell r="N563">
            <v>34.141500000000001</v>
          </cell>
          <cell r="O563">
            <v>120008.64</v>
          </cell>
        </row>
        <row r="564">
          <cell r="A564" t="str">
            <v>03</v>
          </cell>
          <cell r="F564" t="str">
            <v>累    计</v>
          </cell>
          <cell r="G564">
            <v>0</v>
          </cell>
          <cell r="H564">
            <v>15000</v>
          </cell>
          <cell r="I564">
            <v>1827000</v>
          </cell>
          <cell r="J564">
            <v>64720.788</v>
          </cell>
          <cell r="K564">
            <v>8326566.0800000001</v>
          </cell>
          <cell r="L564" t="str">
            <v>借</v>
          </cell>
          <cell r="M564">
            <v>3515.0369999999998</v>
          </cell>
          <cell r="N564">
            <v>34.141500000000001</v>
          </cell>
          <cell r="O564">
            <v>120008.64</v>
          </cell>
        </row>
        <row r="565">
          <cell r="A565" t="str">
            <v>05</v>
          </cell>
          <cell r="B565" t="str">
            <v>31</v>
          </cell>
          <cell r="C565" t="str">
            <v>记-0025</v>
          </cell>
          <cell r="D565" t="str">
            <v>041</v>
          </cell>
          <cell r="E565" t="str">
            <v>林蛙</v>
          </cell>
          <cell r="F565" t="str">
            <v>转成本</v>
          </cell>
          <cell r="G565">
            <v>113.773</v>
          </cell>
          <cell r="H565">
            <v>0</v>
          </cell>
          <cell r="I565">
            <v>0</v>
          </cell>
          <cell r="J565">
            <v>770</v>
          </cell>
          <cell r="K565">
            <v>87605.21</v>
          </cell>
          <cell r="L565" t="str">
            <v>借</v>
          </cell>
          <cell r="M565">
            <v>2745.0369999999998</v>
          </cell>
          <cell r="N565">
            <v>0</v>
          </cell>
          <cell r="O565">
            <v>32403.43</v>
          </cell>
        </row>
        <row r="566">
          <cell r="A566" t="str">
            <v>05</v>
          </cell>
          <cell r="F566" t="str">
            <v>本月合计</v>
          </cell>
          <cell r="G566">
            <v>0</v>
          </cell>
          <cell r="H566">
            <v>0</v>
          </cell>
          <cell r="I566">
            <v>0</v>
          </cell>
          <cell r="J566">
            <v>770</v>
          </cell>
          <cell r="K566">
            <v>87605.21</v>
          </cell>
          <cell r="L566" t="str">
            <v>借</v>
          </cell>
          <cell r="M566">
            <v>2745.0369999999998</v>
          </cell>
          <cell r="N566">
            <v>11.80437</v>
          </cell>
          <cell r="O566">
            <v>32403.43</v>
          </cell>
        </row>
        <row r="567">
          <cell r="A567" t="str">
            <v>05</v>
          </cell>
          <cell r="F567" t="str">
            <v>累    计</v>
          </cell>
          <cell r="G567">
            <v>0</v>
          </cell>
          <cell r="H567">
            <v>15000</v>
          </cell>
          <cell r="I567">
            <v>1827000</v>
          </cell>
          <cell r="J567">
            <v>65490.788</v>
          </cell>
          <cell r="K567">
            <v>8414171.2899999991</v>
          </cell>
          <cell r="L567" t="str">
            <v>借</v>
          </cell>
          <cell r="M567">
            <v>2745.0369999999998</v>
          </cell>
          <cell r="N567">
            <v>11.80437</v>
          </cell>
          <cell r="O567">
            <v>32403.43</v>
          </cell>
        </row>
        <row r="568">
          <cell r="A568" t="str">
            <v>06</v>
          </cell>
          <cell r="B568" t="str">
            <v>24</v>
          </cell>
          <cell r="C568" t="str">
            <v>记-0058</v>
          </cell>
          <cell r="D568" t="str">
            <v>041</v>
          </cell>
          <cell r="E568" t="str">
            <v>林蛙</v>
          </cell>
          <cell r="F568" t="str">
            <v>购入商品</v>
          </cell>
          <cell r="G568">
            <v>108.75</v>
          </cell>
          <cell r="H568">
            <v>20000</v>
          </cell>
          <cell r="I568">
            <v>2175000</v>
          </cell>
          <cell r="J568">
            <v>0</v>
          </cell>
          <cell r="K568">
            <v>0</v>
          </cell>
          <cell r="L568" t="str">
            <v>借</v>
          </cell>
          <cell r="M568">
            <v>22745.037</v>
          </cell>
          <cell r="N568">
            <v>0</v>
          </cell>
          <cell r="O568">
            <v>2207403.4300000002</v>
          </cell>
        </row>
        <row r="569">
          <cell r="A569" t="str">
            <v>06</v>
          </cell>
          <cell r="B569" t="str">
            <v>24</v>
          </cell>
          <cell r="C569" t="str">
            <v>记-0060</v>
          </cell>
          <cell r="D569" t="str">
            <v>041</v>
          </cell>
          <cell r="E569" t="str">
            <v>林蛙</v>
          </cell>
          <cell r="F569" t="str">
            <v>购入商品</v>
          </cell>
          <cell r="G569">
            <v>108.75</v>
          </cell>
          <cell r="H569">
            <v>20000</v>
          </cell>
          <cell r="I569">
            <v>2175000</v>
          </cell>
          <cell r="J569">
            <v>0</v>
          </cell>
          <cell r="K569">
            <v>0</v>
          </cell>
          <cell r="L569" t="str">
            <v>借</v>
          </cell>
          <cell r="M569">
            <v>42745.036999999997</v>
          </cell>
          <cell r="N569">
            <v>0</v>
          </cell>
          <cell r="O569">
            <v>4382403.43</v>
          </cell>
        </row>
        <row r="570">
          <cell r="A570" t="str">
            <v>06</v>
          </cell>
          <cell r="B570" t="str">
            <v>24</v>
          </cell>
          <cell r="C570" t="str">
            <v>记-0063</v>
          </cell>
          <cell r="D570" t="str">
            <v>041</v>
          </cell>
          <cell r="E570" t="str">
            <v>林蛙</v>
          </cell>
          <cell r="F570" t="str">
            <v>转成本</v>
          </cell>
          <cell r="G570">
            <v>108.75</v>
          </cell>
          <cell r="H570">
            <v>0</v>
          </cell>
          <cell r="I570">
            <v>0</v>
          </cell>
          <cell r="J570">
            <v>20000</v>
          </cell>
          <cell r="K570">
            <v>2175000</v>
          </cell>
          <cell r="L570" t="str">
            <v>借</v>
          </cell>
          <cell r="M570">
            <v>22745.037</v>
          </cell>
          <cell r="N570">
            <v>0</v>
          </cell>
          <cell r="O570">
            <v>2207403.4300000002</v>
          </cell>
        </row>
        <row r="571">
          <cell r="A571" t="str">
            <v>06</v>
          </cell>
          <cell r="B571" t="str">
            <v>24</v>
          </cell>
          <cell r="C571" t="str">
            <v>记-0064</v>
          </cell>
          <cell r="D571" t="str">
            <v>041</v>
          </cell>
          <cell r="E571" t="str">
            <v>林蛙</v>
          </cell>
          <cell r="F571" t="str">
            <v>转成本</v>
          </cell>
          <cell r="G571">
            <v>108.75</v>
          </cell>
          <cell r="H571">
            <v>0</v>
          </cell>
          <cell r="I571">
            <v>0</v>
          </cell>
          <cell r="J571">
            <v>20000</v>
          </cell>
          <cell r="K571">
            <v>2175000</v>
          </cell>
          <cell r="L571" t="str">
            <v>借</v>
          </cell>
          <cell r="M571">
            <v>2745.0369999999998</v>
          </cell>
          <cell r="N571">
            <v>0</v>
          </cell>
          <cell r="O571">
            <v>32403.43</v>
          </cell>
        </row>
        <row r="572">
          <cell r="A572" t="str">
            <v>06</v>
          </cell>
          <cell r="F572" t="str">
            <v>本月合计</v>
          </cell>
          <cell r="G572">
            <v>0</v>
          </cell>
          <cell r="H572">
            <v>40000</v>
          </cell>
          <cell r="I572">
            <v>4350000</v>
          </cell>
          <cell r="J572">
            <v>40000</v>
          </cell>
          <cell r="K572">
            <v>4350000</v>
          </cell>
          <cell r="L572" t="str">
            <v>借</v>
          </cell>
          <cell r="M572">
            <v>2745.0369999999998</v>
          </cell>
          <cell r="N572">
            <v>11.80437</v>
          </cell>
          <cell r="O572">
            <v>32403.43</v>
          </cell>
        </row>
        <row r="573">
          <cell r="A573" t="str">
            <v>06</v>
          </cell>
          <cell r="F573" t="str">
            <v>累    计</v>
          </cell>
          <cell r="G573">
            <v>0</v>
          </cell>
          <cell r="H573">
            <v>55000</v>
          </cell>
          <cell r="I573">
            <v>6177000</v>
          </cell>
          <cell r="J573">
            <v>105490.788</v>
          </cell>
          <cell r="K573">
            <v>12764171.289999999</v>
          </cell>
          <cell r="L573" t="str">
            <v>借</v>
          </cell>
          <cell r="M573">
            <v>2745.0369999999998</v>
          </cell>
          <cell r="N573">
            <v>11.80437</v>
          </cell>
          <cell r="O573">
            <v>32403.43</v>
          </cell>
        </row>
        <row r="574">
          <cell r="A574" t="str">
            <v>07</v>
          </cell>
          <cell r="B574" t="str">
            <v>22</v>
          </cell>
          <cell r="C574" t="str">
            <v>记-0076</v>
          </cell>
          <cell r="D574" t="str">
            <v>041</v>
          </cell>
          <cell r="E574" t="str">
            <v>林蛙</v>
          </cell>
          <cell r="F574" t="str">
            <v>收购产品</v>
          </cell>
          <cell r="G574">
            <v>104.4</v>
          </cell>
          <cell r="H574">
            <v>15000</v>
          </cell>
          <cell r="I574">
            <v>1566000</v>
          </cell>
          <cell r="J574">
            <v>0</v>
          </cell>
          <cell r="K574">
            <v>0</v>
          </cell>
          <cell r="L574" t="str">
            <v>借</v>
          </cell>
          <cell r="M574">
            <v>17745.037</v>
          </cell>
          <cell r="N574">
            <v>0</v>
          </cell>
          <cell r="O574">
            <v>1598403.43</v>
          </cell>
        </row>
        <row r="575">
          <cell r="A575" t="str">
            <v>07</v>
          </cell>
          <cell r="B575" t="str">
            <v>22</v>
          </cell>
          <cell r="C575" t="str">
            <v>记-0077</v>
          </cell>
          <cell r="D575" t="str">
            <v>041</v>
          </cell>
          <cell r="E575" t="str">
            <v>林蛙</v>
          </cell>
          <cell r="F575" t="str">
            <v>收购产品</v>
          </cell>
          <cell r="G575">
            <v>104.4</v>
          </cell>
          <cell r="H575">
            <v>10032.6621</v>
          </cell>
          <cell r="I575">
            <v>1047409.92</v>
          </cell>
          <cell r="J575">
            <v>0</v>
          </cell>
          <cell r="K575">
            <v>0</v>
          </cell>
          <cell r="L575" t="str">
            <v>借</v>
          </cell>
          <cell r="M575">
            <v>27777.699100000002</v>
          </cell>
          <cell r="N575">
            <v>0</v>
          </cell>
          <cell r="O575">
            <v>2645813.35</v>
          </cell>
        </row>
        <row r="576">
          <cell r="A576" t="str">
            <v>07</v>
          </cell>
          <cell r="B576" t="str">
            <v>22</v>
          </cell>
          <cell r="C576" t="str">
            <v>记-0078</v>
          </cell>
          <cell r="D576" t="str">
            <v>041</v>
          </cell>
          <cell r="E576" t="str">
            <v>林蛙</v>
          </cell>
          <cell r="F576" t="str">
            <v>结转成本</v>
          </cell>
          <cell r="G576">
            <v>104.4</v>
          </cell>
          <cell r="H576">
            <v>0</v>
          </cell>
          <cell r="I576">
            <v>0</v>
          </cell>
          <cell r="J576">
            <v>15000</v>
          </cell>
          <cell r="K576">
            <v>1566000</v>
          </cell>
          <cell r="L576" t="str">
            <v>借</v>
          </cell>
          <cell r="M576">
            <v>12777.6991</v>
          </cell>
          <cell r="N576">
            <v>0</v>
          </cell>
          <cell r="O576">
            <v>1079813.3500000001</v>
          </cell>
        </row>
        <row r="577">
          <cell r="A577" t="str">
            <v>07</v>
          </cell>
          <cell r="B577" t="str">
            <v>22</v>
          </cell>
          <cell r="C577" t="str">
            <v>记-0079</v>
          </cell>
          <cell r="D577" t="str">
            <v>041</v>
          </cell>
          <cell r="E577" t="str">
            <v>林蛙</v>
          </cell>
          <cell r="F577" t="str">
            <v>结转成本</v>
          </cell>
          <cell r="G577">
            <v>104.4</v>
          </cell>
          <cell r="H577">
            <v>0</v>
          </cell>
          <cell r="I577">
            <v>0</v>
          </cell>
          <cell r="J577">
            <v>10032.6621</v>
          </cell>
          <cell r="K577">
            <v>1047409.92</v>
          </cell>
          <cell r="L577" t="str">
            <v>借</v>
          </cell>
          <cell r="M577">
            <v>2745.0369999999998</v>
          </cell>
          <cell r="N577">
            <v>0</v>
          </cell>
          <cell r="O577">
            <v>32403.43</v>
          </cell>
        </row>
        <row r="578">
          <cell r="A578" t="str">
            <v>07</v>
          </cell>
          <cell r="F578" t="str">
            <v>本月合计</v>
          </cell>
          <cell r="G578">
            <v>0</v>
          </cell>
          <cell r="H578">
            <v>25032.662100000001</v>
          </cell>
          <cell r="I578">
            <v>2613409.92</v>
          </cell>
          <cell r="J578">
            <v>25032.662100000001</v>
          </cell>
          <cell r="K578">
            <v>2613409.92</v>
          </cell>
          <cell r="L578" t="str">
            <v>借</v>
          </cell>
          <cell r="M578">
            <v>2745.0369999999998</v>
          </cell>
          <cell r="N578">
            <v>11.80437</v>
          </cell>
          <cell r="O578">
            <v>32403.43</v>
          </cell>
        </row>
        <row r="579">
          <cell r="A579" t="str">
            <v>07</v>
          </cell>
          <cell r="F579" t="str">
            <v>累    计</v>
          </cell>
          <cell r="G579">
            <v>0</v>
          </cell>
          <cell r="H579">
            <v>80032.662100000001</v>
          </cell>
          <cell r="I579">
            <v>8790409.9199999999</v>
          </cell>
          <cell r="J579">
            <v>130523.4501</v>
          </cell>
          <cell r="K579">
            <v>15377581.210000001</v>
          </cell>
          <cell r="L579" t="str">
            <v>借</v>
          </cell>
          <cell r="M579">
            <v>2745.0369999999998</v>
          </cell>
          <cell r="N579">
            <v>11.80437</v>
          </cell>
          <cell r="O579">
            <v>32403.43</v>
          </cell>
        </row>
        <row r="580">
          <cell r="A580" t="str">
            <v>11</v>
          </cell>
          <cell r="B580" t="str">
            <v>30</v>
          </cell>
          <cell r="C580" t="str">
            <v>记-0143</v>
          </cell>
          <cell r="D580" t="str">
            <v>041</v>
          </cell>
          <cell r="E580" t="str">
            <v>林蛙</v>
          </cell>
          <cell r="F580" t="str">
            <v>调整多抵税款</v>
          </cell>
          <cell r="G580">
            <v>0</v>
          </cell>
          <cell r="H580">
            <v>0</v>
          </cell>
          <cell r="I580">
            <v>232787.34</v>
          </cell>
          <cell r="J580">
            <v>0</v>
          </cell>
          <cell r="K580">
            <v>0</v>
          </cell>
          <cell r="L580" t="str">
            <v>借</v>
          </cell>
          <cell r="M580">
            <v>2745.0369999999998</v>
          </cell>
          <cell r="N580">
            <v>0</v>
          </cell>
          <cell r="O580">
            <v>265190.77</v>
          </cell>
        </row>
        <row r="581">
          <cell r="A581" t="str">
            <v>11</v>
          </cell>
          <cell r="B581" t="str">
            <v>30</v>
          </cell>
          <cell r="C581" t="str">
            <v>记-0144</v>
          </cell>
          <cell r="D581" t="str">
            <v>041</v>
          </cell>
          <cell r="E581" t="str">
            <v>林蛙</v>
          </cell>
          <cell r="F581" t="str">
            <v>调整库存</v>
          </cell>
          <cell r="G581">
            <v>0</v>
          </cell>
          <cell r="H581">
            <v>0</v>
          </cell>
          <cell r="I581">
            <v>0</v>
          </cell>
          <cell r="J581">
            <v>0</v>
          </cell>
          <cell r="K581">
            <v>232787.34</v>
          </cell>
          <cell r="L581" t="str">
            <v>借</v>
          </cell>
          <cell r="M581">
            <v>2745.0369999999998</v>
          </cell>
          <cell r="N581">
            <v>0</v>
          </cell>
          <cell r="O581">
            <v>32403.43</v>
          </cell>
        </row>
        <row r="582">
          <cell r="A582" t="str">
            <v>11</v>
          </cell>
          <cell r="F582" t="str">
            <v>本月合计</v>
          </cell>
          <cell r="G582">
            <v>0</v>
          </cell>
          <cell r="H582">
            <v>0</v>
          </cell>
          <cell r="I582">
            <v>232787.34</v>
          </cell>
          <cell r="J582">
            <v>0</v>
          </cell>
          <cell r="K582">
            <v>232787.34</v>
          </cell>
          <cell r="L582" t="str">
            <v>借</v>
          </cell>
          <cell r="M582">
            <v>2745.0369999999998</v>
          </cell>
          <cell r="N582">
            <v>11.80437</v>
          </cell>
          <cell r="O582">
            <v>32403.43</v>
          </cell>
        </row>
        <row r="583">
          <cell r="A583" t="str">
            <v>11</v>
          </cell>
          <cell r="E583" t="str">
            <v>林蛙</v>
          </cell>
          <cell r="F583" t="str">
            <v>本年累计</v>
          </cell>
          <cell r="G583">
            <v>0</v>
          </cell>
          <cell r="H583">
            <v>80032.662100000001</v>
          </cell>
          <cell r="I583">
            <v>9023197.2599999998</v>
          </cell>
          <cell r="J583">
            <v>130523.4501</v>
          </cell>
          <cell r="K583">
            <v>15610368.550000001</v>
          </cell>
          <cell r="L583" t="str">
            <v>借</v>
          </cell>
          <cell r="M583">
            <v>2745.0369999999998</v>
          </cell>
          <cell r="N583">
            <v>11.80437</v>
          </cell>
          <cell r="O583">
            <v>32403.43</v>
          </cell>
        </row>
        <row r="584">
          <cell r="A584" t="str">
            <v>01</v>
          </cell>
          <cell r="B584" t="str">
            <v>31</v>
          </cell>
          <cell r="C584" t="str">
            <v>记-0028</v>
          </cell>
          <cell r="D584" t="str">
            <v>056</v>
          </cell>
          <cell r="E584" t="str">
            <v>元贝</v>
          </cell>
          <cell r="F584" t="str">
            <v>收购产品</v>
          </cell>
          <cell r="G584">
            <v>523.15449999999998</v>
          </cell>
          <cell r="H584">
            <v>40</v>
          </cell>
          <cell r="I584">
            <v>20926.18</v>
          </cell>
          <cell r="J584">
            <v>0</v>
          </cell>
          <cell r="K584">
            <v>0</v>
          </cell>
          <cell r="L584" t="str">
            <v>借</v>
          </cell>
          <cell r="M584">
            <v>40</v>
          </cell>
          <cell r="N584">
            <v>0</v>
          </cell>
          <cell r="O584">
            <v>20926.18</v>
          </cell>
        </row>
        <row r="585">
          <cell r="A585" t="str">
            <v>01</v>
          </cell>
          <cell r="B585" t="str">
            <v>31</v>
          </cell>
          <cell r="C585" t="str">
            <v>记-0028</v>
          </cell>
          <cell r="D585" t="str">
            <v>056</v>
          </cell>
          <cell r="E585" t="str">
            <v>元贝</v>
          </cell>
          <cell r="F585" t="str">
            <v>收购产品</v>
          </cell>
          <cell r="G585">
            <v>431.19774999999998</v>
          </cell>
          <cell r="H585">
            <v>40</v>
          </cell>
          <cell r="I585">
            <v>17247.91</v>
          </cell>
          <cell r="J585">
            <v>0</v>
          </cell>
          <cell r="K585">
            <v>0</v>
          </cell>
          <cell r="L585" t="str">
            <v>借</v>
          </cell>
          <cell r="M585">
            <v>80</v>
          </cell>
          <cell r="N585">
            <v>0</v>
          </cell>
          <cell r="O585">
            <v>38174.089999999997</v>
          </cell>
        </row>
        <row r="586">
          <cell r="A586" t="str">
            <v>01</v>
          </cell>
          <cell r="B586" t="str">
            <v>31</v>
          </cell>
          <cell r="C586" t="str">
            <v>记-0038</v>
          </cell>
          <cell r="D586" t="str">
            <v>056</v>
          </cell>
          <cell r="E586" t="str">
            <v>元贝</v>
          </cell>
          <cell r="F586" t="str">
            <v>收购产品</v>
          </cell>
          <cell r="G586">
            <v>431.72167000000002</v>
          </cell>
          <cell r="H586">
            <v>60</v>
          </cell>
          <cell r="I586">
            <v>25903.3</v>
          </cell>
          <cell r="J586">
            <v>0</v>
          </cell>
          <cell r="K586">
            <v>0</v>
          </cell>
          <cell r="L586" t="str">
            <v>借</v>
          </cell>
          <cell r="M586">
            <v>140</v>
          </cell>
          <cell r="N586">
            <v>0</v>
          </cell>
          <cell r="O586">
            <v>64077.39</v>
          </cell>
        </row>
        <row r="587">
          <cell r="A587" t="str">
            <v>01</v>
          </cell>
          <cell r="B587" t="str">
            <v>31</v>
          </cell>
          <cell r="C587" t="str">
            <v>记-0038</v>
          </cell>
          <cell r="D587" t="str">
            <v>056</v>
          </cell>
          <cell r="E587" t="str">
            <v>元贝</v>
          </cell>
          <cell r="F587" t="str">
            <v>收购产品</v>
          </cell>
          <cell r="G587">
            <v>501.43049999999999</v>
          </cell>
          <cell r="H587">
            <v>60</v>
          </cell>
          <cell r="I587">
            <v>30085.83</v>
          </cell>
          <cell r="J587">
            <v>0</v>
          </cell>
          <cell r="K587">
            <v>0</v>
          </cell>
          <cell r="L587" t="str">
            <v>借</v>
          </cell>
          <cell r="M587">
            <v>200</v>
          </cell>
          <cell r="N587">
            <v>0</v>
          </cell>
          <cell r="O587">
            <v>94163.22</v>
          </cell>
        </row>
        <row r="588">
          <cell r="A588" t="str">
            <v>01</v>
          </cell>
          <cell r="B588" t="str">
            <v>31</v>
          </cell>
          <cell r="C588" t="str">
            <v>记-0042</v>
          </cell>
          <cell r="D588" t="str">
            <v>056</v>
          </cell>
          <cell r="E588" t="str">
            <v>元贝</v>
          </cell>
          <cell r="F588" t="str">
            <v>结转销售成本</v>
          </cell>
          <cell r="G588">
            <v>523.15425000000005</v>
          </cell>
          <cell r="H588">
            <v>0</v>
          </cell>
          <cell r="I588">
            <v>0</v>
          </cell>
          <cell r="J588">
            <v>40</v>
          </cell>
          <cell r="K588">
            <v>20926.169999999998</v>
          </cell>
          <cell r="L588" t="str">
            <v>借</v>
          </cell>
          <cell r="M588">
            <v>160</v>
          </cell>
          <cell r="N588">
            <v>0</v>
          </cell>
          <cell r="O588">
            <v>73237.05</v>
          </cell>
        </row>
        <row r="589">
          <cell r="A589" t="str">
            <v>01</v>
          </cell>
          <cell r="B589" t="str">
            <v>31</v>
          </cell>
          <cell r="C589" t="str">
            <v>记-0042</v>
          </cell>
          <cell r="D589" t="str">
            <v>056</v>
          </cell>
          <cell r="E589" t="str">
            <v>元贝</v>
          </cell>
          <cell r="F589" t="str">
            <v>结转销售成本</v>
          </cell>
          <cell r="G589">
            <v>431.19799999999998</v>
          </cell>
          <cell r="H589">
            <v>0</v>
          </cell>
          <cell r="I589">
            <v>0</v>
          </cell>
          <cell r="J589">
            <v>40</v>
          </cell>
          <cell r="K589">
            <v>17247.919999999998</v>
          </cell>
          <cell r="L589" t="str">
            <v>借</v>
          </cell>
          <cell r="M589">
            <v>120</v>
          </cell>
          <cell r="N589">
            <v>0</v>
          </cell>
          <cell r="O589">
            <v>55989.13</v>
          </cell>
        </row>
        <row r="590">
          <cell r="A590" t="str">
            <v>01</v>
          </cell>
          <cell r="B590" t="str">
            <v>31</v>
          </cell>
          <cell r="C590" t="str">
            <v>记-0052</v>
          </cell>
          <cell r="D590" t="str">
            <v>056</v>
          </cell>
          <cell r="E590" t="str">
            <v>元贝</v>
          </cell>
          <cell r="F590" t="str">
            <v>结转销售成本</v>
          </cell>
          <cell r="G590">
            <v>431.72167000000002</v>
          </cell>
          <cell r="H590">
            <v>0</v>
          </cell>
          <cell r="I590">
            <v>0</v>
          </cell>
          <cell r="J590">
            <v>60</v>
          </cell>
          <cell r="K590">
            <v>25903.3</v>
          </cell>
          <cell r="L590" t="str">
            <v>借</v>
          </cell>
          <cell r="M590">
            <v>60</v>
          </cell>
          <cell r="N590">
            <v>0</v>
          </cell>
          <cell r="O590">
            <v>30085.83</v>
          </cell>
        </row>
        <row r="591">
          <cell r="A591" t="str">
            <v>01</v>
          </cell>
          <cell r="B591" t="str">
            <v>31</v>
          </cell>
          <cell r="C591" t="str">
            <v>记-0052</v>
          </cell>
          <cell r="D591" t="str">
            <v>056</v>
          </cell>
          <cell r="E591" t="str">
            <v>元贝</v>
          </cell>
          <cell r="F591" t="str">
            <v>结转销售成本</v>
          </cell>
          <cell r="G591">
            <v>501.43049999999999</v>
          </cell>
          <cell r="H591">
            <v>0</v>
          </cell>
          <cell r="I591">
            <v>0</v>
          </cell>
          <cell r="J591">
            <v>60</v>
          </cell>
          <cell r="K591">
            <v>30085.83</v>
          </cell>
          <cell r="L591" t="str">
            <v>平</v>
          </cell>
          <cell r="M591">
            <v>0</v>
          </cell>
          <cell r="N591">
            <v>0</v>
          </cell>
          <cell r="O591">
            <v>0</v>
          </cell>
        </row>
        <row r="592">
          <cell r="A592" t="str">
            <v>01</v>
          </cell>
          <cell r="F592" t="str">
            <v>本月合计</v>
          </cell>
          <cell r="G592">
            <v>0</v>
          </cell>
          <cell r="H592">
            <v>200</v>
          </cell>
          <cell r="I592">
            <v>94163.22</v>
          </cell>
          <cell r="J592">
            <v>200</v>
          </cell>
          <cell r="K592">
            <v>94163.22</v>
          </cell>
          <cell r="L592" t="str">
            <v>平</v>
          </cell>
          <cell r="M592">
            <v>0</v>
          </cell>
          <cell r="N592">
            <v>0</v>
          </cell>
          <cell r="O592">
            <v>0</v>
          </cell>
        </row>
        <row r="593">
          <cell r="A593" t="str">
            <v>01</v>
          </cell>
          <cell r="F593" t="str">
            <v>累    计</v>
          </cell>
          <cell r="G593">
            <v>0</v>
          </cell>
          <cell r="H593">
            <v>200</v>
          </cell>
          <cell r="I593">
            <v>94163.22</v>
          </cell>
          <cell r="J593">
            <v>200</v>
          </cell>
          <cell r="K593">
            <v>94163.22</v>
          </cell>
          <cell r="L593" t="str">
            <v>平</v>
          </cell>
          <cell r="M593">
            <v>0</v>
          </cell>
          <cell r="N593">
            <v>0</v>
          </cell>
          <cell r="O593">
            <v>0</v>
          </cell>
        </row>
        <row r="594">
          <cell r="A594" t="str">
            <v>02</v>
          </cell>
          <cell r="B594" t="str">
            <v>28</v>
          </cell>
          <cell r="C594" t="str">
            <v>记-0058</v>
          </cell>
          <cell r="D594" t="str">
            <v>056</v>
          </cell>
          <cell r="E594" t="str">
            <v>元贝</v>
          </cell>
          <cell r="F594" t="str">
            <v>结转销售成本</v>
          </cell>
          <cell r="G594">
            <v>371.78055999999998</v>
          </cell>
          <cell r="H594">
            <v>0</v>
          </cell>
          <cell r="I594">
            <v>0</v>
          </cell>
          <cell r="J594">
            <v>198</v>
          </cell>
          <cell r="K594">
            <v>73612.55</v>
          </cell>
          <cell r="L594" t="str">
            <v>贷</v>
          </cell>
          <cell r="M594">
            <v>198</v>
          </cell>
          <cell r="N594">
            <v>0</v>
          </cell>
          <cell r="O594">
            <v>73612.55</v>
          </cell>
        </row>
        <row r="595">
          <cell r="A595" t="str">
            <v>02</v>
          </cell>
          <cell r="B595" t="str">
            <v>28</v>
          </cell>
          <cell r="C595" t="str">
            <v>记-0063</v>
          </cell>
          <cell r="D595" t="str">
            <v>056</v>
          </cell>
          <cell r="E595" t="str">
            <v>元贝</v>
          </cell>
          <cell r="F595" t="str">
            <v>结转成本</v>
          </cell>
          <cell r="G595">
            <v>1.9434</v>
          </cell>
          <cell r="H595">
            <v>0</v>
          </cell>
          <cell r="I595">
            <v>0</v>
          </cell>
          <cell r="J595">
            <v>5002</v>
          </cell>
          <cell r="K595">
            <v>9720.8799999999992</v>
          </cell>
          <cell r="L595" t="str">
            <v>贷</v>
          </cell>
          <cell r="M595">
            <v>5200</v>
          </cell>
          <cell r="N595">
            <v>0</v>
          </cell>
          <cell r="O595">
            <v>83333.429999999993</v>
          </cell>
        </row>
        <row r="596">
          <cell r="A596" t="str">
            <v>02</v>
          </cell>
          <cell r="B596" t="str">
            <v>28</v>
          </cell>
          <cell r="C596" t="str">
            <v>记-0063</v>
          </cell>
          <cell r="D596" t="str">
            <v>056</v>
          </cell>
          <cell r="E596" t="str">
            <v>元贝</v>
          </cell>
          <cell r="F596" t="str">
            <v>结转成本</v>
          </cell>
          <cell r="G596">
            <v>1.52092</v>
          </cell>
          <cell r="H596">
            <v>0</v>
          </cell>
          <cell r="I596">
            <v>0</v>
          </cell>
          <cell r="J596">
            <v>3000</v>
          </cell>
          <cell r="K596">
            <v>4562.76</v>
          </cell>
          <cell r="L596" t="str">
            <v>贷</v>
          </cell>
          <cell r="M596">
            <v>8200</v>
          </cell>
          <cell r="N596">
            <v>0</v>
          </cell>
          <cell r="O596">
            <v>87896.19</v>
          </cell>
        </row>
        <row r="597">
          <cell r="A597" t="str">
            <v>02</v>
          </cell>
          <cell r="B597" t="str">
            <v>28</v>
          </cell>
          <cell r="C597" t="str">
            <v>记-0068</v>
          </cell>
          <cell r="D597" t="str">
            <v>056</v>
          </cell>
          <cell r="E597" t="str">
            <v>元贝</v>
          </cell>
          <cell r="F597" t="str">
            <v>收购产品</v>
          </cell>
          <cell r="G597">
            <v>371.78055999999998</v>
          </cell>
          <cell r="H597">
            <v>198</v>
          </cell>
          <cell r="I597">
            <v>73612.55</v>
          </cell>
          <cell r="J597">
            <v>0</v>
          </cell>
          <cell r="K597">
            <v>0</v>
          </cell>
          <cell r="L597" t="str">
            <v>贷</v>
          </cell>
          <cell r="M597">
            <v>8002</v>
          </cell>
          <cell r="N597">
            <v>0</v>
          </cell>
          <cell r="O597">
            <v>14283.64</v>
          </cell>
        </row>
        <row r="598">
          <cell r="A598" t="str">
            <v>02</v>
          </cell>
          <cell r="B598" t="str">
            <v>28</v>
          </cell>
          <cell r="C598" t="str">
            <v>记-0068</v>
          </cell>
          <cell r="D598" t="str">
            <v>056</v>
          </cell>
          <cell r="E598" t="str">
            <v>元贝</v>
          </cell>
          <cell r="F598" t="str">
            <v>收购产品</v>
          </cell>
          <cell r="G598">
            <v>334.60246999999998</v>
          </cell>
          <cell r="H598">
            <v>300</v>
          </cell>
          <cell r="I598">
            <v>100380.74</v>
          </cell>
          <cell r="J598">
            <v>0</v>
          </cell>
          <cell r="K598">
            <v>0</v>
          </cell>
          <cell r="L598" t="str">
            <v>借</v>
          </cell>
          <cell r="M598">
            <v>-7702</v>
          </cell>
          <cell r="N598">
            <v>0</v>
          </cell>
          <cell r="O598">
            <v>86097.1</v>
          </cell>
        </row>
        <row r="599">
          <cell r="A599" t="str">
            <v>02</v>
          </cell>
          <cell r="B599" t="str">
            <v>28</v>
          </cell>
          <cell r="C599" t="str">
            <v>记-0069</v>
          </cell>
          <cell r="D599" t="str">
            <v>056</v>
          </cell>
          <cell r="E599" t="str">
            <v>元贝</v>
          </cell>
          <cell r="F599" t="str">
            <v>收购产品</v>
          </cell>
          <cell r="G599">
            <v>1.9434</v>
          </cell>
          <cell r="H599">
            <v>5002</v>
          </cell>
          <cell r="I599">
            <v>9720.8799999999992</v>
          </cell>
          <cell r="J599">
            <v>0</v>
          </cell>
          <cell r="K599">
            <v>0</v>
          </cell>
          <cell r="L599" t="str">
            <v>借</v>
          </cell>
          <cell r="M599">
            <v>-2700</v>
          </cell>
          <cell r="N599">
            <v>0</v>
          </cell>
          <cell r="O599">
            <v>95817.98</v>
          </cell>
        </row>
        <row r="600">
          <cell r="A600" t="str">
            <v>02</v>
          </cell>
          <cell r="B600" t="str">
            <v>28</v>
          </cell>
          <cell r="C600" t="str">
            <v>记-0069</v>
          </cell>
          <cell r="D600" t="str">
            <v>056</v>
          </cell>
          <cell r="E600" t="str">
            <v>元贝</v>
          </cell>
          <cell r="F600" t="str">
            <v>收购产品</v>
          </cell>
          <cell r="G600">
            <v>1.52092</v>
          </cell>
          <cell r="H600">
            <v>3000</v>
          </cell>
          <cell r="I600">
            <v>4562.76</v>
          </cell>
          <cell r="J600">
            <v>0</v>
          </cell>
          <cell r="K600">
            <v>0</v>
          </cell>
          <cell r="L600" t="str">
            <v>借</v>
          </cell>
          <cell r="M600">
            <v>300</v>
          </cell>
          <cell r="N600">
            <v>0</v>
          </cell>
          <cell r="O600">
            <v>100380.74</v>
          </cell>
        </row>
        <row r="601">
          <cell r="A601" t="str">
            <v>02</v>
          </cell>
          <cell r="F601" t="str">
            <v>本月合计</v>
          </cell>
          <cell r="G601">
            <v>0</v>
          </cell>
          <cell r="H601">
            <v>8500</v>
          </cell>
          <cell r="I601">
            <v>188276.93</v>
          </cell>
          <cell r="J601">
            <v>8200</v>
          </cell>
          <cell r="K601">
            <v>87896.19</v>
          </cell>
          <cell r="L601" t="str">
            <v>借</v>
          </cell>
          <cell r="M601">
            <v>300</v>
          </cell>
          <cell r="N601">
            <v>334.60246999999998</v>
          </cell>
          <cell r="O601">
            <v>100380.74</v>
          </cell>
        </row>
        <row r="602">
          <cell r="A602" t="str">
            <v>02</v>
          </cell>
          <cell r="F602" t="str">
            <v>累    计</v>
          </cell>
          <cell r="G602">
            <v>0</v>
          </cell>
          <cell r="H602">
            <v>8700</v>
          </cell>
          <cell r="I602">
            <v>282440.15000000002</v>
          </cell>
          <cell r="J602">
            <v>8400</v>
          </cell>
          <cell r="K602">
            <v>182059.41</v>
          </cell>
          <cell r="L602" t="str">
            <v>借</v>
          </cell>
          <cell r="M602">
            <v>300</v>
          </cell>
          <cell r="N602">
            <v>334.60246999999998</v>
          </cell>
          <cell r="O602">
            <v>100380.74</v>
          </cell>
        </row>
        <row r="603">
          <cell r="A603" t="str">
            <v>07</v>
          </cell>
          <cell r="B603" t="str">
            <v>22</v>
          </cell>
          <cell r="C603" t="str">
            <v>记-0050</v>
          </cell>
          <cell r="D603" t="str">
            <v>056</v>
          </cell>
          <cell r="E603" t="str">
            <v>元贝</v>
          </cell>
          <cell r="F603" t="str">
            <v>结转成本</v>
          </cell>
          <cell r="G603">
            <v>495.39749999999998</v>
          </cell>
          <cell r="H603">
            <v>0</v>
          </cell>
          <cell r="I603">
            <v>0</v>
          </cell>
          <cell r="J603">
            <v>20</v>
          </cell>
          <cell r="K603">
            <v>9907.9500000000007</v>
          </cell>
          <cell r="L603" t="str">
            <v>借</v>
          </cell>
          <cell r="M603">
            <v>280</v>
          </cell>
          <cell r="N603">
            <v>0</v>
          </cell>
          <cell r="O603">
            <v>90472.79</v>
          </cell>
        </row>
        <row r="604">
          <cell r="A604" t="str">
            <v>07</v>
          </cell>
          <cell r="B604" t="str">
            <v>22</v>
          </cell>
          <cell r="C604" t="str">
            <v>记-0051</v>
          </cell>
          <cell r="D604" t="str">
            <v>056</v>
          </cell>
          <cell r="E604" t="str">
            <v>元贝</v>
          </cell>
          <cell r="F604" t="str">
            <v>结转成本</v>
          </cell>
          <cell r="G604">
            <v>1.52092</v>
          </cell>
          <cell r="H604">
            <v>0</v>
          </cell>
          <cell r="I604">
            <v>0</v>
          </cell>
          <cell r="J604">
            <v>500</v>
          </cell>
          <cell r="K604">
            <v>760.46</v>
          </cell>
          <cell r="L604" t="str">
            <v>借</v>
          </cell>
          <cell r="M604">
            <v>-220</v>
          </cell>
          <cell r="N604">
            <v>0</v>
          </cell>
          <cell r="O604">
            <v>89712.33</v>
          </cell>
        </row>
        <row r="605">
          <cell r="A605" t="str">
            <v>07</v>
          </cell>
          <cell r="B605" t="str">
            <v>22</v>
          </cell>
          <cell r="C605" t="str">
            <v>记-0053</v>
          </cell>
          <cell r="D605" t="str">
            <v>056</v>
          </cell>
          <cell r="E605" t="str">
            <v>元贝</v>
          </cell>
          <cell r="F605" t="str">
            <v>收购产品</v>
          </cell>
          <cell r="G605">
            <v>1.52092</v>
          </cell>
          <cell r="H605">
            <v>500</v>
          </cell>
          <cell r="I605">
            <v>760.46</v>
          </cell>
          <cell r="J605">
            <v>0</v>
          </cell>
          <cell r="K605">
            <v>0</v>
          </cell>
          <cell r="L605" t="str">
            <v>借</v>
          </cell>
          <cell r="M605">
            <v>280</v>
          </cell>
          <cell r="N605">
            <v>0</v>
          </cell>
          <cell r="O605">
            <v>90472.79</v>
          </cell>
        </row>
        <row r="606">
          <cell r="A606" t="str">
            <v>07</v>
          </cell>
          <cell r="B606" t="str">
            <v>22</v>
          </cell>
          <cell r="C606" t="str">
            <v>记-0055</v>
          </cell>
          <cell r="D606" t="str">
            <v>056</v>
          </cell>
          <cell r="E606" t="str">
            <v>元贝</v>
          </cell>
          <cell r="F606" t="str">
            <v>收购产品</v>
          </cell>
          <cell r="G606">
            <v>495.39749999999998</v>
          </cell>
          <cell r="H606">
            <v>20</v>
          </cell>
          <cell r="I606">
            <v>9907.9500000000007</v>
          </cell>
          <cell r="J606">
            <v>0</v>
          </cell>
          <cell r="K606">
            <v>0</v>
          </cell>
          <cell r="L606" t="str">
            <v>借</v>
          </cell>
          <cell r="M606">
            <v>300</v>
          </cell>
          <cell r="N606">
            <v>0</v>
          </cell>
          <cell r="O606">
            <v>100380.74</v>
          </cell>
        </row>
        <row r="607">
          <cell r="A607" t="str">
            <v>07</v>
          </cell>
          <cell r="F607" t="str">
            <v>本月合计</v>
          </cell>
          <cell r="G607">
            <v>0</v>
          </cell>
          <cell r="H607">
            <v>520</v>
          </cell>
          <cell r="I607">
            <v>10668.41</v>
          </cell>
          <cell r="J607">
            <v>520</v>
          </cell>
          <cell r="K607">
            <v>10668.41</v>
          </cell>
          <cell r="L607" t="str">
            <v>借</v>
          </cell>
          <cell r="M607">
            <v>300</v>
          </cell>
          <cell r="N607">
            <v>334.60246999999998</v>
          </cell>
          <cell r="O607">
            <v>100380.74</v>
          </cell>
        </row>
        <row r="608">
          <cell r="A608" t="str">
            <v>07</v>
          </cell>
          <cell r="F608" t="str">
            <v>累    计</v>
          </cell>
          <cell r="G608">
            <v>0</v>
          </cell>
          <cell r="H608">
            <v>9220</v>
          </cell>
          <cell r="I608">
            <v>293108.56</v>
          </cell>
          <cell r="J608">
            <v>8920</v>
          </cell>
          <cell r="K608">
            <v>192727.82</v>
          </cell>
          <cell r="L608" t="str">
            <v>借</v>
          </cell>
          <cell r="M608">
            <v>300</v>
          </cell>
          <cell r="N608">
            <v>334.60246999999998</v>
          </cell>
          <cell r="O608">
            <v>100380.74</v>
          </cell>
        </row>
        <row r="609">
          <cell r="A609" t="str">
            <v>08</v>
          </cell>
          <cell r="B609" t="str">
            <v>25</v>
          </cell>
          <cell r="C609" t="str">
            <v>记-0055</v>
          </cell>
          <cell r="D609" t="str">
            <v>056</v>
          </cell>
          <cell r="E609" t="str">
            <v>元贝</v>
          </cell>
          <cell r="F609" t="str">
            <v>结转成本</v>
          </cell>
          <cell r="G609">
            <v>378.28667000000002</v>
          </cell>
          <cell r="H609">
            <v>0</v>
          </cell>
          <cell r="I609">
            <v>0</v>
          </cell>
          <cell r="J609">
            <v>60</v>
          </cell>
          <cell r="K609">
            <v>22697.200000000001</v>
          </cell>
          <cell r="L609" t="str">
            <v>借</v>
          </cell>
          <cell r="M609">
            <v>240</v>
          </cell>
          <cell r="N609">
            <v>0</v>
          </cell>
          <cell r="O609">
            <v>77683.539999999994</v>
          </cell>
        </row>
        <row r="610">
          <cell r="A610" t="str">
            <v>08</v>
          </cell>
          <cell r="B610" t="str">
            <v>25</v>
          </cell>
          <cell r="C610" t="str">
            <v>记-0055</v>
          </cell>
          <cell r="D610" t="str">
            <v>056</v>
          </cell>
          <cell r="E610" t="str">
            <v>元贝</v>
          </cell>
          <cell r="F610" t="str">
            <v>结转成本</v>
          </cell>
          <cell r="G610">
            <v>414.45075000000003</v>
          </cell>
          <cell r="H610">
            <v>0</v>
          </cell>
          <cell r="I610">
            <v>0</v>
          </cell>
          <cell r="J610">
            <v>40</v>
          </cell>
          <cell r="K610">
            <v>16578.03</v>
          </cell>
          <cell r="L610" t="str">
            <v>借</v>
          </cell>
          <cell r="M610">
            <v>200</v>
          </cell>
          <cell r="N610">
            <v>0</v>
          </cell>
          <cell r="O610">
            <v>61105.51</v>
          </cell>
        </row>
        <row r="611">
          <cell r="A611" t="str">
            <v>08</v>
          </cell>
          <cell r="B611" t="str">
            <v>25</v>
          </cell>
          <cell r="C611" t="str">
            <v>记-0055</v>
          </cell>
          <cell r="D611" t="str">
            <v>056</v>
          </cell>
          <cell r="E611" t="str">
            <v>元贝</v>
          </cell>
          <cell r="F611" t="str">
            <v>结转成本</v>
          </cell>
          <cell r="G611">
            <v>356.74029000000002</v>
          </cell>
          <cell r="H611">
            <v>0</v>
          </cell>
          <cell r="I611">
            <v>0</v>
          </cell>
          <cell r="J611">
            <v>170</v>
          </cell>
          <cell r="K611">
            <v>60645.85</v>
          </cell>
          <cell r="L611" t="str">
            <v>借</v>
          </cell>
          <cell r="M611">
            <v>30</v>
          </cell>
          <cell r="N611">
            <v>0</v>
          </cell>
          <cell r="O611">
            <v>459.66</v>
          </cell>
        </row>
        <row r="612">
          <cell r="A612" t="str">
            <v>08</v>
          </cell>
          <cell r="B612" t="str">
            <v>25</v>
          </cell>
          <cell r="C612" t="str">
            <v>记-0062</v>
          </cell>
          <cell r="D612" t="str">
            <v>056</v>
          </cell>
          <cell r="E612" t="str">
            <v>元贝</v>
          </cell>
          <cell r="F612" t="str">
            <v>收购产品</v>
          </cell>
          <cell r="G612">
            <v>378.28667000000002</v>
          </cell>
          <cell r="H612">
            <v>60</v>
          </cell>
          <cell r="I612">
            <v>22697.200000000001</v>
          </cell>
          <cell r="J612">
            <v>0</v>
          </cell>
          <cell r="K612">
            <v>0</v>
          </cell>
          <cell r="L612" t="str">
            <v>借</v>
          </cell>
          <cell r="M612">
            <v>90</v>
          </cell>
          <cell r="N612">
            <v>0</v>
          </cell>
          <cell r="O612">
            <v>23156.86</v>
          </cell>
        </row>
        <row r="613">
          <cell r="A613" t="str">
            <v>08</v>
          </cell>
          <cell r="B613" t="str">
            <v>25</v>
          </cell>
          <cell r="C613" t="str">
            <v>记-0062</v>
          </cell>
          <cell r="D613" t="str">
            <v>056</v>
          </cell>
          <cell r="E613" t="str">
            <v>元贝</v>
          </cell>
          <cell r="F613" t="str">
            <v>收购产品</v>
          </cell>
          <cell r="G613">
            <v>414.45075000000003</v>
          </cell>
          <cell r="H613">
            <v>40</v>
          </cell>
          <cell r="I613">
            <v>16578.03</v>
          </cell>
          <cell r="J613">
            <v>0</v>
          </cell>
          <cell r="K613">
            <v>0</v>
          </cell>
          <cell r="L613" t="str">
            <v>借</v>
          </cell>
          <cell r="M613">
            <v>130</v>
          </cell>
          <cell r="N613">
            <v>0</v>
          </cell>
          <cell r="O613">
            <v>39734.89</v>
          </cell>
        </row>
        <row r="614">
          <cell r="A614" t="str">
            <v>08</v>
          </cell>
          <cell r="B614" t="str">
            <v>25</v>
          </cell>
          <cell r="C614" t="str">
            <v>记-0062</v>
          </cell>
          <cell r="D614" t="str">
            <v>056</v>
          </cell>
          <cell r="E614" t="str">
            <v>元贝</v>
          </cell>
          <cell r="F614" t="str">
            <v>收购产品</v>
          </cell>
          <cell r="G614">
            <v>356.74029000000002</v>
          </cell>
          <cell r="H614">
            <v>170</v>
          </cell>
          <cell r="I614">
            <v>60645.85</v>
          </cell>
          <cell r="J614">
            <v>0</v>
          </cell>
          <cell r="K614">
            <v>0</v>
          </cell>
          <cell r="L614" t="str">
            <v>借</v>
          </cell>
          <cell r="M614">
            <v>300</v>
          </cell>
          <cell r="N614">
            <v>0</v>
          </cell>
          <cell r="O614">
            <v>100380.74</v>
          </cell>
        </row>
        <row r="615">
          <cell r="A615" t="str">
            <v>08</v>
          </cell>
          <cell r="F615" t="str">
            <v>本月合计</v>
          </cell>
          <cell r="G615">
            <v>0</v>
          </cell>
          <cell r="H615">
            <v>270</v>
          </cell>
          <cell r="I615">
            <v>99921.08</v>
          </cell>
          <cell r="J615">
            <v>270</v>
          </cell>
          <cell r="K615">
            <v>99921.08</v>
          </cell>
          <cell r="L615" t="str">
            <v>借</v>
          </cell>
          <cell r="M615">
            <v>300</v>
          </cell>
          <cell r="N615">
            <v>334.60246999999998</v>
          </cell>
          <cell r="O615">
            <v>100380.74</v>
          </cell>
        </row>
        <row r="616">
          <cell r="A616" t="str">
            <v>08</v>
          </cell>
          <cell r="F616" t="str">
            <v>累    计</v>
          </cell>
          <cell r="G616">
            <v>0</v>
          </cell>
          <cell r="H616">
            <v>9490</v>
          </cell>
          <cell r="I616">
            <v>393029.64</v>
          </cell>
          <cell r="J616">
            <v>9190</v>
          </cell>
          <cell r="K616">
            <v>292648.90000000002</v>
          </cell>
          <cell r="L616" t="str">
            <v>借</v>
          </cell>
          <cell r="M616">
            <v>300</v>
          </cell>
          <cell r="N616">
            <v>334.60246999999998</v>
          </cell>
          <cell r="O616">
            <v>100380.74</v>
          </cell>
        </row>
        <row r="617">
          <cell r="A617" t="str">
            <v>09</v>
          </cell>
          <cell r="B617" t="str">
            <v>22</v>
          </cell>
          <cell r="C617" t="str">
            <v>记-0034</v>
          </cell>
          <cell r="D617" t="str">
            <v>056</v>
          </cell>
          <cell r="E617" t="str">
            <v>元贝</v>
          </cell>
          <cell r="F617" t="str">
            <v>结转成本</v>
          </cell>
          <cell r="G617">
            <v>1.9434</v>
          </cell>
          <cell r="H617">
            <v>0</v>
          </cell>
          <cell r="I617">
            <v>0</v>
          </cell>
          <cell r="J617">
            <v>5000</v>
          </cell>
          <cell r="K617">
            <v>9716.99</v>
          </cell>
          <cell r="L617" t="str">
            <v>借</v>
          </cell>
          <cell r="M617">
            <v>-4700</v>
          </cell>
          <cell r="N617">
            <v>0</v>
          </cell>
          <cell r="O617">
            <v>90663.75</v>
          </cell>
        </row>
        <row r="618">
          <cell r="A618" t="str">
            <v>09</v>
          </cell>
          <cell r="B618" t="str">
            <v>22</v>
          </cell>
          <cell r="C618" t="str">
            <v>记-0038</v>
          </cell>
          <cell r="D618" t="str">
            <v>056</v>
          </cell>
          <cell r="E618" t="str">
            <v>元贝</v>
          </cell>
          <cell r="F618" t="str">
            <v>收购产品</v>
          </cell>
          <cell r="G618">
            <v>1.9434</v>
          </cell>
          <cell r="H618">
            <v>5000</v>
          </cell>
          <cell r="I618">
            <v>9716.99</v>
          </cell>
          <cell r="J618">
            <v>0</v>
          </cell>
          <cell r="K618">
            <v>0</v>
          </cell>
          <cell r="L618" t="str">
            <v>借</v>
          </cell>
          <cell r="M618">
            <v>300</v>
          </cell>
          <cell r="N618">
            <v>0</v>
          </cell>
          <cell r="O618">
            <v>100380.74</v>
          </cell>
        </row>
        <row r="619">
          <cell r="A619" t="str">
            <v>09</v>
          </cell>
          <cell r="F619" t="str">
            <v>本月合计</v>
          </cell>
          <cell r="G619">
            <v>0</v>
          </cell>
          <cell r="H619">
            <v>5000</v>
          </cell>
          <cell r="I619">
            <v>9716.99</v>
          </cell>
          <cell r="J619">
            <v>5000</v>
          </cell>
          <cell r="K619">
            <v>9716.99</v>
          </cell>
          <cell r="L619" t="str">
            <v>借</v>
          </cell>
          <cell r="M619">
            <v>300</v>
          </cell>
          <cell r="N619">
            <v>334.60246999999998</v>
          </cell>
          <cell r="O619">
            <v>100380.74</v>
          </cell>
        </row>
        <row r="620">
          <cell r="A620" t="str">
            <v>09</v>
          </cell>
          <cell r="F620" t="str">
            <v>累    计</v>
          </cell>
          <cell r="G620">
            <v>0</v>
          </cell>
          <cell r="H620">
            <v>14490</v>
          </cell>
          <cell r="I620">
            <v>402746.63</v>
          </cell>
          <cell r="J620">
            <v>14190</v>
          </cell>
          <cell r="K620">
            <v>302365.89</v>
          </cell>
          <cell r="L620" t="str">
            <v>借</v>
          </cell>
          <cell r="M620">
            <v>300</v>
          </cell>
          <cell r="N620">
            <v>334.60246999999998</v>
          </cell>
          <cell r="O620">
            <v>100380.74</v>
          </cell>
        </row>
        <row r="621">
          <cell r="A621" t="str">
            <v>12</v>
          </cell>
          <cell r="B621" t="str">
            <v>11</v>
          </cell>
          <cell r="C621" t="str">
            <v>记-0018</v>
          </cell>
          <cell r="D621" t="str">
            <v>056</v>
          </cell>
          <cell r="E621" t="str">
            <v>元贝</v>
          </cell>
          <cell r="F621" t="str">
            <v>收购产品</v>
          </cell>
          <cell r="G621">
            <v>1.52092</v>
          </cell>
          <cell r="H621">
            <v>5000</v>
          </cell>
          <cell r="I621">
            <v>7604.6</v>
          </cell>
          <cell r="J621">
            <v>0</v>
          </cell>
          <cell r="K621">
            <v>0</v>
          </cell>
          <cell r="L621" t="str">
            <v>借</v>
          </cell>
          <cell r="M621">
            <v>5300</v>
          </cell>
          <cell r="N621">
            <v>0</v>
          </cell>
          <cell r="O621">
            <v>107985.34</v>
          </cell>
        </row>
        <row r="622">
          <cell r="A622" t="str">
            <v>12</v>
          </cell>
          <cell r="B622" t="str">
            <v>11</v>
          </cell>
          <cell r="C622" t="str">
            <v>记-0030</v>
          </cell>
          <cell r="D622" t="str">
            <v>056</v>
          </cell>
          <cell r="E622" t="str">
            <v>元贝</v>
          </cell>
          <cell r="F622" t="str">
            <v>结转成本</v>
          </cell>
          <cell r="G622">
            <v>1.52092</v>
          </cell>
          <cell r="H622">
            <v>0</v>
          </cell>
          <cell r="I622">
            <v>0</v>
          </cell>
          <cell r="J622">
            <v>5000</v>
          </cell>
          <cell r="K622">
            <v>7604.6</v>
          </cell>
          <cell r="L622" t="str">
            <v>借</v>
          </cell>
          <cell r="M622">
            <v>300</v>
          </cell>
          <cell r="N622">
            <v>0</v>
          </cell>
          <cell r="O622">
            <v>100380.74</v>
          </cell>
        </row>
        <row r="623">
          <cell r="A623" t="str">
            <v>12</v>
          </cell>
          <cell r="F623" t="str">
            <v>本月合计</v>
          </cell>
          <cell r="G623">
            <v>0</v>
          </cell>
          <cell r="H623">
            <v>5000</v>
          </cell>
          <cell r="I623">
            <v>7604.6</v>
          </cell>
          <cell r="J623">
            <v>5000</v>
          </cell>
          <cell r="K623">
            <v>7604.6</v>
          </cell>
          <cell r="L623" t="str">
            <v>借</v>
          </cell>
          <cell r="M623">
            <v>300</v>
          </cell>
          <cell r="N623">
            <v>334.60246999999998</v>
          </cell>
          <cell r="O623">
            <v>100380.74</v>
          </cell>
        </row>
        <row r="624">
          <cell r="A624" t="str">
            <v>12</v>
          </cell>
          <cell r="E624" t="str">
            <v>元贝</v>
          </cell>
          <cell r="F624" t="str">
            <v>本年累计</v>
          </cell>
          <cell r="G624">
            <v>0</v>
          </cell>
          <cell r="H624">
            <v>19490</v>
          </cell>
          <cell r="I624">
            <v>410351.23</v>
          </cell>
          <cell r="J624">
            <v>19190</v>
          </cell>
          <cell r="K624">
            <v>309970.49</v>
          </cell>
          <cell r="L624" t="str">
            <v>借</v>
          </cell>
          <cell r="M624">
            <v>300</v>
          </cell>
          <cell r="N624">
            <v>334.60246999999998</v>
          </cell>
          <cell r="O624">
            <v>100380.74</v>
          </cell>
        </row>
        <row r="625">
          <cell r="A625" t="str">
            <v>01</v>
          </cell>
          <cell r="B625" t="str">
            <v>31</v>
          </cell>
          <cell r="C625" t="str">
            <v>记-0029</v>
          </cell>
          <cell r="D625" t="str">
            <v>057</v>
          </cell>
          <cell r="E625" t="str">
            <v>泡参</v>
          </cell>
          <cell r="F625" t="str">
            <v>收购产品</v>
          </cell>
          <cell r="G625">
            <v>14.09385</v>
          </cell>
          <cell r="H625">
            <v>200</v>
          </cell>
          <cell r="I625">
            <v>2818.77</v>
          </cell>
          <cell r="J625">
            <v>0</v>
          </cell>
          <cell r="K625">
            <v>0</v>
          </cell>
          <cell r="L625" t="str">
            <v>借</v>
          </cell>
          <cell r="M625">
            <v>200</v>
          </cell>
          <cell r="N625">
            <v>0</v>
          </cell>
          <cell r="O625">
            <v>2818.77</v>
          </cell>
        </row>
        <row r="626">
          <cell r="A626" t="str">
            <v>01</v>
          </cell>
          <cell r="B626" t="str">
            <v>31</v>
          </cell>
          <cell r="C626" t="str">
            <v>记-0029</v>
          </cell>
          <cell r="D626" t="str">
            <v>057</v>
          </cell>
          <cell r="E626" t="str">
            <v>泡参</v>
          </cell>
          <cell r="F626" t="str">
            <v>收购产品</v>
          </cell>
          <cell r="G626">
            <v>21.293199999999999</v>
          </cell>
          <cell r="H626">
            <v>200</v>
          </cell>
          <cell r="I626">
            <v>4258.6400000000003</v>
          </cell>
          <cell r="J626">
            <v>0</v>
          </cell>
          <cell r="K626">
            <v>0</v>
          </cell>
          <cell r="L626" t="str">
            <v>借</v>
          </cell>
          <cell r="M626">
            <v>400</v>
          </cell>
          <cell r="N626">
            <v>0</v>
          </cell>
          <cell r="O626">
            <v>7077.41</v>
          </cell>
        </row>
        <row r="627">
          <cell r="A627" t="str">
            <v>01</v>
          </cell>
          <cell r="B627" t="str">
            <v>31</v>
          </cell>
          <cell r="C627" t="str">
            <v>记-0029</v>
          </cell>
          <cell r="D627" t="str">
            <v>057</v>
          </cell>
          <cell r="E627" t="str">
            <v>泡参</v>
          </cell>
          <cell r="F627" t="str">
            <v>收购产品</v>
          </cell>
          <cell r="G627">
            <v>10.73094</v>
          </cell>
          <cell r="H627">
            <v>800</v>
          </cell>
          <cell r="I627">
            <v>8584.75</v>
          </cell>
          <cell r="J627">
            <v>0</v>
          </cell>
          <cell r="K627">
            <v>0</v>
          </cell>
          <cell r="L627" t="str">
            <v>借</v>
          </cell>
          <cell r="M627">
            <v>1200</v>
          </cell>
          <cell r="N627">
            <v>0</v>
          </cell>
          <cell r="O627">
            <v>15662.16</v>
          </cell>
        </row>
        <row r="628">
          <cell r="A628" t="str">
            <v>01</v>
          </cell>
          <cell r="B628" t="str">
            <v>31</v>
          </cell>
          <cell r="C628" t="str">
            <v>记-0036</v>
          </cell>
          <cell r="D628" t="str">
            <v>057</v>
          </cell>
          <cell r="E628" t="str">
            <v>泡参</v>
          </cell>
          <cell r="F628" t="str">
            <v>收购产品</v>
          </cell>
          <cell r="G628">
            <v>11046.385560000001</v>
          </cell>
          <cell r="H628">
            <v>9</v>
          </cell>
          <cell r="I628">
            <v>99417.47</v>
          </cell>
          <cell r="J628">
            <v>0</v>
          </cell>
          <cell r="K628">
            <v>0</v>
          </cell>
          <cell r="L628" t="str">
            <v>借</v>
          </cell>
          <cell r="M628">
            <v>1209</v>
          </cell>
          <cell r="N628">
            <v>0</v>
          </cell>
          <cell r="O628">
            <v>115079.63</v>
          </cell>
        </row>
        <row r="629">
          <cell r="A629" t="str">
            <v>01</v>
          </cell>
          <cell r="B629" t="str">
            <v>31</v>
          </cell>
          <cell r="C629" t="str">
            <v>记-0036</v>
          </cell>
          <cell r="D629" t="str">
            <v>057</v>
          </cell>
          <cell r="E629" t="str">
            <v>泡参</v>
          </cell>
          <cell r="F629" t="str">
            <v>收购产品</v>
          </cell>
          <cell r="G629">
            <v>1449.5975800000001</v>
          </cell>
          <cell r="H629">
            <v>33</v>
          </cell>
          <cell r="I629">
            <v>47836.72</v>
          </cell>
          <cell r="J629">
            <v>0</v>
          </cell>
          <cell r="K629">
            <v>0</v>
          </cell>
          <cell r="L629" t="str">
            <v>借</v>
          </cell>
          <cell r="M629">
            <v>1242</v>
          </cell>
          <cell r="N629">
            <v>0</v>
          </cell>
          <cell r="O629">
            <v>162916.35</v>
          </cell>
        </row>
        <row r="630">
          <cell r="A630" t="str">
            <v>01</v>
          </cell>
          <cell r="B630" t="str">
            <v>31</v>
          </cell>
          <cell r="C630" t="str">
            <v>记-0043</v>
          </cell>
          <cell r="D630" t="str">
            <v>057</v>
          </cell>
          <cell r="E630" t="str">
            <v>泡参</v>
          </cell>
          <cell r="F630" t="str">
            <v>结转销售成本</v>
          </cell>
          <cell r="G630">
            <v>14.09385</v>
          </cell>
          <cell r="H630">
            <v>0</v>
          </cell>
          <cell r="I630">
            <v>0</v>
          </cell>
          <cell r="J630">
            <v>200</v>
          </cell>
          <cell r="K630">
            <v>2818.77</v>
          </cell>
          <cell r="L630" t="str">
            <v>借</v>
          </cell>
          <cell r="M630">
            <v>1042</v>
          </cell>
          <cell r="N630">
            <v>0</v>
          </cell>
          <cell r="O630">
            <v>160097.57999999999</v>
          </cell>
        </row>
        <row r="631">
          <cell r="A631" t="str">
            <v>01</v>
          </cell>
          <cell r="B631" t="str">
            <v>31</v>
          </cell>
          <cell r="C631" t="str">
            <v>记-0043</v>
          </cell>
          <cell r="D631" t="str">
            <v>057</v>
          </cell>
          <cell r="E631" t="str">
            <v>泡参</v>
          </cell>
          <cell r="F631" t="str">
            <v>结转销售成本</v>
          </cell>
          <cell r="G631">
            <v>21.293199999999999</v>
          </cell>
          <cell r="H631">
            <v>0</v>
          </cell>
          <cell r="I631">
            <v>0</v>
          </cell>
          <cell r="J631">
            <v>200</v>
          </cell>
          <cell r="K631">
            <v>4258.6400000000003</v>
          </cell>
          <cell r="L631" t="str">
            <v>借</v>
          </cell>
          <cell r="M631">
            <v>842</v>
          </cell>
          <cell r="N631">
            <v>0</v>
          </cell>
          <cell r="O631">
            <v>155838.94</v>
          </cell>
        </row>
        <row r="632">
          <cell r="A632" t="str">
            <v>01</v>
          </cell>
          <cell r="B632" t="str">
            <v>31</v>
          </cell>
          <cell r="C632" t="str">
            <v>记-0043</v>
          </cell>
          <cell r="D632" t="str">
            <v>057</v>
          </cell>
          <cell r="E632" t="str">
            <v>泡参</v>
          </cell>
          <cell r="F632" t="str">
            <v>结转销售成本</v>
          </cell>
          <cell r="G632">
            <v>10.73094</v>
          </cell>
          <cell r="H632">
            <v>0</v>
          </cell>
          <cell r="I632">
            <v>0</v>
          </cell>
          <cell r="J632">
            <v>800</v>
          </cell>
          <cell r="K632">
            <v>8584.75</v>
          </cell>
          <cell r="L632" t="str">
            <v>借</v>
          </cell>
          <cell r="M632">
            <v>42</v>
          </cell>
          <cell r="N632">
            <v>0</v>
          </cell>
          <cell r="O632">
            <v>147254.19</v>
          </cell>
        </row>
        <row r="633">
          <cell r="A633" t="str">
            <v>01</v>
          </cell>
          <cell r="B633" t="str">
            <v>31</v>
          </cell>
          <cell r="C633" t="str">
            <v>记-0050</v>
          </cell>
          <cell r="D633" t="str">
            <v>057</v>
          </cell>
          <cell r="E633" t="str">
            <v>泡参</v>
          </cell>
          <cell r="F633" t="str">
            <v>结转销售成本</v>
          </cell>
          <cell r="G633">
            <v>11046.385560000001</v>
          </cell>
          <cell r="H633">
            <v>0</v>
          </cell>
          <cell r="I633">
            <v>0</v>
          </cell>
          <cell r="J633">
            <v>9</v>
          </cell>
          <cell r="K633">
            <v>99417.47</v>
          </cell>
          <cell r="L633" t="str">
            <v>借</v>
          </cell>
          <cell r="M633">
            <v>33</v>
          </cell>
          <cell r="N633">
            <v>0</v>
          </cell>
          <cell r="O633">
            <v>47836.72</v>
          </cell>
        </row>
        <row r="634">
          <cell r="A634" t="str">
            <v>01</v>
          </cell>
          <cell r="B634" t="str">
            <v>31</v>
          </cell>
          <cell r="C634" t="str">
            <v>记-0050</v>
          </cell>
          <cell r="D634" t="str">
            <v>057</v>
          </cell>
          <cell r="E634" t="str">
            <v>泡参</v>
          </cell>
          <cell r="F634" t="str">
            <v>结转销售成本</v>
          </cell>
          <cell r="G634">
            <v>1449.5975800000001</v>
          </cell>
          <cell r="H634">
            <v>0</v>
          </cell>
          <cell r="I634">
            <v>0</v>
          </cell>
          <cell r="J634">
            <v>33</v>
          </cell>
          <cell r="K634">
            <v>47836.72</v>
          </cell>
          <cell r="L634" t="str">
            <v>平</v>
          </cell>
          <cell r="M634">
            <v>0</v>
          </cell>
          <cell r="N634">
            <v>0</v>
          </cell>
          <cell r="O634">
            <v>0</v>
          </cell>
        </row>
        <row r="635">
          <cell r="A635" t="str">
            <v>01</v>
          </cell>
          <cell r="F635" t="str">
            <v>本月合计</v>
          </cell>
          <cell r="G635">
            <v>0</v>
          </cell>
          <cell r="H635">
            <v>1242</v>
          </cell>
          <cell r="I635">
            <v>162916.35</v>
          </cell>
          <cell r="J635">
            <v>1242</v>
          </cell>
          <cell r="K635">
            <v>162916.35</v>
          </cell>
          <cell r="L635" t="str">
            <v>平</v>
          </cell>
          <cell r="M635">
            <v>0</v>
          </cell>
          <cell r="N635">
            <v>0</v>
          </cell>
          <cell r="O635">
            <v>0</v>
          </cell>
        </row>
        <row r="636">
          <cell r="A636" t="str">
            <v>01</v>
          </cell>
          <cell r="F636" t="str">
            <v>累    计</v>
          </cell>
          <cell r="G636">
            <v>0</v>
          </cell>
          <cell r="H636">
            <v>1242</v>
          </cell>
          <cell r="I636">
            <v>162916.35</v>
          </cell>
          <cell r="J636">
            <v>1242</v>
          </cell>
          <cell r="K636">
            <v>162916.35</v>
          </cell>
          <cell r="L636" t="str">
            <v>平</v>
          </cell>
          <cell r="M636">
            <v>0</v>
          </cell>
          <cell r="N636">
            <v>0</v>
          </cell>
          <cell r="O636">
            <v>0</v>
          </cell>
        </row>
        <row r="637">
          <cell r="A637" t="str">
            <v>02</v>
          </cell>
          <cell r="B637" t="str">
            <v>28</v>
          </cell>
          <cell r="C637" t="str">
            <v>记-0060</v>
          </cell>
          <cell r="D637" t="str">
            <v>057</v>
          </cell>
          <cell r="E637" t="str">
            <v>泡参</v>
          </cell>
          <cell r="F637" t="str">
            <v>销售商品</v>
          </cell>
          <cell r="G637">
            <v>38.023000000000003</v>
          </cell>
          <cell r="H637">
            <v>0</v>
          </cell>
          <cell r="I637">
            <v>0</v>
          </cell>
          <cell r="J637">
            <v>300</v>
          </cell>
          <cell r="K637">
            <v>11406.9</v>
          </cell>
          <cell r="L637" t="str">
            <v>贷</v>
          </cell>
          <cell r="M637">
            <v>300</v>
          </cell>
          <cell r="N637">
            <v>0</v>
          </cell>
          <cell r="O637">
            <v>11406.9</v>
          </cell>
        </row>
        <row r="638">
          <cell r="A638" t="str">
            <v>02</v>
          </cell>
          <cell r="B638" t="str">
            <v>28</v>
          </cell>
          <cell r="C638" t="str">
            <v>记-0060</v>
          </cell>
          <cell r="D638" t="str">
            <v>057</v>
          </cell>
          <cell r="E638" t="str">
            <v>泡参</v>
          </cell>
          <cell r="F638" t="str">
            <v>销售商品</v>
          </cell>
          <cell r="G638">
            <v>25.348669999999998</v>
          </cell>
          <cell r="H638">
            <v>0</v>
          </cell>
          <cell r="I638">
            <v>0</v>
          </cell>
          <cell r="J638">
            <v>300</v>
          </cell>
          <cell r="K638">
            <v>7604.6</v>
          </cell>
          <cell r="L638" t="str">
            <v>贷</v>
          </cell>
          <cell r="M638">
            <v>600</v>
          </cell>
          <cell r="N638">
            <v>0</v>
          </cell>
          <cell r="O638">
            <v>19011.5</v>
          </cell>
        </row>
        <row r="639">
          <cell r="A639" t="str">
            <v>02</v>
          </cell>
          <cell r="B639" t="str">
            <v>28</v>
          </cell>
          <cell r="C639" t="str">
            <v>记-0063</v>
          </cell>
          <cell r="D639" t="str">
            <v>057</v>
          </cell>
          <cell r="E639" t="str">
            <v>泡参</v>
          </cell>
          <cell r="F639" t="str">
            <v>结转成本</v>
          </cell>
          <cell r="G639">
            <v>25.348680000000002</v>
          </cell>
          <cell r="H639">
            <v>0</v>
          </cell>
          <cell r="I639">
            <v>0</v>
          </cell>
          <cell r="J639">
            <v>2000</v>
          </cell>
          <cell r="K639">
            <v>50697.35</v>
          </cell>
          <cell r="L639" t="str">
            <v>贷</v>
          </cell>
          <cell r="M639">
            <v>2600</v>
          </cell>
          <cell r="N639">
            <v>0</v>
          </cell>
          <cell r="O639">
            <v>69708.850000000006</v>
          </cell>
        </row>
        <row r="640">
          <cell r="A640" t="str">
            <v>02</v>
          </cell>
          <cell r="B640" t="str">
            <v>28</v>
          </cell>
          <cell r="C640" t="str">
            <v>记-0063</v>
          </cell>
          <cell r="D640" t="str">
            <v>057</v>
          </cell>
          <cell r="E640" t="str">
            <v>泡参</v>
          </cell>
          <cell r="F640" t="str">
            <v>结转成本</v>
          </cell>
          <cell r="G640">
            <v>6.5906599999999997</v>
          </cell>
          <cell r="H640">
            <v>0</v>
          </cell>
          <cell r="I640">
            <v>0</v>
          </cell>
          <cell r="J640">
            <v>1700</v>
          </cell>
          <cell r="K640">
            <v>11204.12</v>
          </cell>
          <cell r="L640" t="str">
            <v>贷</v>
          </cell>
          <cell r="M640">
            <v>4300</v>
          </cell>
          <cell r="N640">
            <v>0</v>
          </cell>
          <cell r="O640">
            <v>80912.97</v>
          </cell>
        </row>
        <row r="641">
          <cell r="A641" t="str">
            <v>02</v>
          </cell>
          <cell r="B641" t="str">
            <v>28</v>
          </cell>
          <cell r="C641" t="str">
            <v>记-0067</v>
          </cell>
          <cell r="D641" t="str">
            <v>057</v>
          </cell>
          <cell r="E641" t="str">
            <v>泡参</v>
          </cell>
          <cell r="F641" t="str">
            <v>收购产品</v>
          </cell>
          <cell r="G641">
            <v>38.023000000000003</v>
          </cell>
          <cell r="H641">
            <v>300</v>
          </cell>
          <cell r="I641">
            <v>11406.9</v>
          </cell>
          <cell r="J641">
            <v>0</v>
          </cell>
          <cell r="K641">
            <v>0</v>
          </cell>
          <cell r="L641" t="str">
            <v>贷</v>
          </cell>
          <cell r="M641">
            <v>4000</v>
          </cell>
          <cell r="N641">
            <v>0</v>
          </cell>
          <cell r="O641">
            <v>69506.070000000007</v>
          </cell>
        </row>
        <row r="642">
          <cell r="A642" t="str">
            <v>02</v>
          </cell>
          <cell r="B642" t="str">
            <v>28</v>
          </cell>
          <cell r="C642" t="str">
            <v>记-0067</v>
          </cell>
          <cell r="D642" t="str">
            <v>057</v>
          </cell>
          <cell r="E642" t="str">
            <v>泡参</v>
          </cell>
          <cell r="F642" t="str">
            <v>收购产品</v>
          </cell>
          <cell r="G642">
            <v>25.348669999999998</v>
          </cell>
          <cell r="H642">
            <v>300</v>
          </cell>
          <cell r="I642">
            <v>7604.6</v>
          </cell>
          <cell r="J642">
            <v>0</v>
          </cell>
          <cell r="K642">
            <v>0</v>
          </cell>
          <cell r="L642" t="str">
            <v>贷</v>
          </cell>
          <cell r="M642">
            <v>3700</v>
          </cell>
          <cell r="N642">
            <v>0</v>
          </cell>
          <cell r="O642">
            <v>61901.47</v>
          </cell>
        </row>
        <row r="643">
          <cell r="A643" t="str">
            <v>02</v>
          </cell>
          <cell r="B643" t="str">
            <v>28</v>
          </cell>
          <cell r="C643" t="str">
            <v>记-0069</v>
          </cell>
          <cell r="D643" t="str">
            <v>057</v>
          </cell>
          <cell r="E643" t="str">
            <v>泡参</v>
          </cell>
          <cell r="F643" t="str">
            <v>收购产品</v>
          </cell>
          <cell r="G643">
            <v>28.165189999999999</v>
          </cell>
          <cell r="H643">
            <v>1800</v>
          </cell>
          <cell r="I643">
            <v>50697.35</v>
          </cell>
          <cell r="J643">
            <v>0</v>
          </cell>
          <cell r="K643">
            <v>0</v>
          </cell>
          <cell r="L643" t="str">
            <v>贷</v>
          </cell>
          <cell r="M643">
            <v>1900</v>
          </cell>
          <cell r="N643">
            <v>0</v>
          </cell>
          <cell r="O643">
            <v>11204.12</v>
          </cell>
        </row>
        <row r="644">
          <cell r="A644" t="str">
            <v>02</v>
          </cell>
          <cell r="B644" t="str">
            <v>28</v>
          </cell>
          <cell r="C644" t="str">
            <v>记-0069</v>
          </cell>
          <cell r="D644" t="str">
            <v>057</v>
          </cell>
          <cell r="E644" t="str">
            <v>泡参</v>
          </cell>
          <cell r="F644" t="str">
            <v>收购产品</v>
          </cell>
          <cell r="G644">
            <v>6.5906599999999997</v>
          </cell>
          <cell r="H644">
            <v>1700</v>
          </cell>
          <cell r="I644">
            <v>11204.12</v>
          </cell>
          <cell r="J644">
            <v>0</v>
          </cell>
          <cell r="K644">
            <v>0</v>
          </cell>
          <cell r="L644" t="str">
            <v>平</v>
          </cell>
          <cell r="M644">
            <v>-200</v>
          </cell>
          <cell r="N644">
            <v>0</v>
          </cell>
          <cell r="O644">
            <v>0</v>
          </cell>
        </row>
        <row r="645">
          <cell r="A645" t="str">
            <v>02</v>
          </cell>
          <cell r="F645" t="str">
            <v>本月合计</v>
          </cell>
          <cell r="G645">
            <v>0</v>
          </cell>
          <cell r="H645">
            <v>4100</v>
          </cell>
          <cell r="I645">
            <v>80912.97</v>
          </cell>
          <cell r="J645">
            <v>4300</v>
          </cell>
          <cell r="K645">
            <v>80912.97</v>
          </cell>
          <cell r="L645" t="str">
            <v>平</v>
          </cell>
          <cell r="M645">
            <v>-200</v>
          </cell>
          <cell r="N645">
            <v>0</v>
          </cell>
          <cell r="O645">
            <v>0</v>
          </cell>
        </row>
        <row r="646">
          <cell r="A646" t="str">
            <v>02</v>
          </cell>
          <cell r="F646" t="str">
            <v>累    计</v>
          </cell>
          <cell r="G646">
            <v>0</v>
          </cell>
          <cell r="H646">
            <v>5342</v>
          </cell>
          <cell r="I646">
            <v>243829.32</v>
          </cell>
          <cell r="J646">
            <v>5542</v>
          </cell>
          <cell r="K646">
            <v>243829.32</v>
          </cell>
          <cell r="L646" t="str">
            <v>平</v>
          </cell>
          <cell r="M646">
            <v>-200</v>
          </cell>
          <cell r="N646">
            <v>0</v>
          </cell>
          <cell r="O646">
            <v>0</v>
          </cell>
        </row>
        <row r="647">
          <cell r="A647" t="str">
            <v>07</v>
          </cell>
          <cell r="B647" t="str">
            <v>22</v>
          </cell>
          <cell r="C647" t="str">
            <v>记-0051</v>
          </cell>
          <cell r="D647" t="str">
            <v>057</v>
          </cell>
          <cell r="E647" t="str">
            <v>泡参</v>
          </cell>
          <cell r="F647" t="str">
            <v>结转成本</v>
          </cell>
          <cell r="G647">
            <v>4.1402700000000001</v>
          </cell>
          <cell r="H647">
            <v>0</v>
          </cell>
          <cell r="I647">
            <v>0</v>
          </cell>
          <cell r="J647">
            <v>700.2</v>
          </cell>
          <cell r="K647">
            <v>2899.02</v>
          </cell>
          <cell r="L647" t="str">
            <v>贷</v>
          </cell>
          <cell r="M647">
            <v>900.2</v>
          </cell>
          <cell r="N647">
            <v>0</v>
          </cell>
          <cell r="O647">
            <v>2899.02</v>
          </cell>
        </row>
        <row r="648">
          <cell r="A648" t="str">
            <v>07</v>
          </cell>
          <cell r="B648" t="str">
            <v>22</v>
          </cell>
          <cell r="C648" t="str">
            <v>记-0053</v>
          </cell>
          <cell r="D648" t="str">
            <v>057</v>
          </cell>
          <cell r="E648" t="str">
            <v>泡参</v>
          </cell>
          <cell r="F648" t="str">
            <v>收购产品</v>
          </cell>
          <cell r="G648">
            <v>4.1402700000000001</v>
          </cell>
          <cell r="H648">
            <v>700.2</v>
          </cell>
          <cell r="I648">
            <v>2899.02</v>
          </cell>
          <cell r="J648">
            <v>0</v>
          </cell>
          <cell r="K648">
            <v>0</v>
          </cell>
          <cell r="L648" t="str">
            <v>平</v>
          </cell>
          <cell r="M648">
            <v>-200</v>
          </cell>
          <cell r="N648">
            <v>0</v>
          </cell>
          <cell r="O648">
            <v>0</v>
          </cell>
        </row>
        <row r="649">
          <cell r="A649" t="str">
            <v>07</v>
          </cell>
          <cell r="F649" t="str">
            <v>本月合计</v>
          </cell>
          <cell r="G649">
            <v>0</v>
          </cell>
          <cell r="H649">
            <v>700.2</v>
          </cell>
          <cell r="I649">
            <v>2899.02</v>
          </cell>
          <cell r="J649">
            <v>700.2</v>
          </cell>
          <cell r="K649">
            <v>2899.02</v>
          </cell>
          <cell r="L649" t="str">
            <v>平</v>
          </cell>
          <cell r="M649">
            <v>-200</v>
          </cell>
          <cell r="N649">
            <v>0</v>
          </cell>
          <cell r="O649">
            <v>0</v>
          </cell>
        </row>
        <row r="650">
          <cell r="A650" t="str">
            <v>07</v>
          </cell>
          <cell r="F650" t="str">
            <v>累    计</v>
          </cell>
          <cell r="G650">
            <v>0</v>
          </cell>
          <cell r="H650">
            <v>6042.2</v>
          </cell>
          <cell r="I650">
            <v>246728.34</v>
          </cell>
          <cell r="J650">
            <v>6242.2</v>
          </cell>
          <cell r="K650">
            <v>246728.34</v>
          </cell>
          <cell r="L650" t="str">
            <v>平</v>
          </cell>
          <cell r="M650">
            <v>-200</v>
          </cell>
          <cell r="N650">
            <v>0</v>
          </cell>
          <cell r="O650">
            <v>0</v>
          </cell>
        </row>
        <row r="651">
          <cell r="A651" t="str">
            <v>09</v>
          </cell>
          <cell r="B651" t="str">
            <v>22</v>
          </cell>
          <cell r="C651" t="str">
            <v>记-0034</v>
          </cell>
          <cell r="D651" t="str">
            <v>057</v>
          </cell>
          <cell r="E651" t="str">
            <v>泡参</v>
          </cell>
          <cell r="F651" t="str">
            <v>结转成本</v>
          </cell>
          <cell r="G651">
            <v>4.22478</v>
          </cell>
          <cell r="H651">
            <v>0</v>
          </cell>
          <cell r="I651">
            <v>0</v>
          </cell>
          <cell r="J651">
            <v>3000</v>
          </cell>
          <cell r="K651">
            <v>12674.34</v>
          </cell>
          <cell r="L651" t="str">
            <v>贷</v>
          </cell>
          <cell r="M651">
            <v>3200</v>
          </cell>
          <cell r="N651">
            <v>0</v>
          </cell>
          <cell r="O651">
            <v>12674.34</v>
          </cell>
        </row>
        <row r="652">
          <cell r="A652" t="str">
            <v>09</v>
          </cell>
          <cell r="B652" t="str">
            <v>22</v>
          </cell>
          <cell r="C652" t="str">
            <v>记-0034</v>
          </cell>
          <cell r="D652" t="str">
            <v>057</v>
          </cell>
          <cell r="E652" t="str">
            <v>泡参</v>
          </cell>
          <cell r="F652" t="str">
            <v>结转成本</v>
          </cell>
          <cell r="G652">
            <v>25.348680000000002</v>
          </cell>
          <cell r="H652">
            <v>0</v>
          </cell>
          <cell r="I652">
            <v>0</v>
          </cell>
          <cell r="J652">
            <v>800</v>
          </cell>
          <cell r="K652">
            <v>20278.939999999999</v>
          </cell>
          <cell r="L652" t="str">
            <v>贷</v>
          </cell>
          <cell r="M652">
            <v>4000</v>
          </cell>
          <cell r="N652">
            <v>0</v>
          </cell>
          <cell r="O652">
            <v>32953.279999999999</v>
          </cell>
        </row>
        <row r="653">
          <cell r="A653" t="str">
            <v>09</v>
          </cell>
          <cell r="B653" t="str">
            <v>22</v>
          </cell>
          <cell r="C653" t="str">
            <v>记-0034</v>
          </cell>
          <cell r="D653" t="str">
            <v>057</v>
          </cell>
          <cell r="E653" t="str">
            <v>泡参</v>
          </cell>
          <cell r="F653" t="str">
            <v>结转成本</v>
          </cell>
          <cell r="G653">
            <v>43.092759999999998</v>
          </cell>
          <cell r="H653">
            <v>0</v>
          </cell>
          <cell r="I653">
            <v>0</v>
          </cell>
          <cell r="J653">
            <v>475</v>
          </cell>
          <cell r="K653">
            <v>20469.060000000001</v>
          </cell>
          <cell r="L653" t="str">
            <v>贷</v>
          </cell>
          <cell r="M653">
            <v>4475</v>
          </cell>
          <cell r="N653">
            <v>0</v>
          </cell>
          <cell r="O653">
            <v>53422.34</v>
          </cell>
        </row>
        <row r="654">
          <cell r="A654" t="str">
            <v>09</v>
          </cell>
          <cell r="B654" t="str">
            <v>22</v>
          </cell>
          <cell r="C654" t="str">
            <v>记-0038</v>
          </cell>
          <cell r="D654" t="str">
            <v>057</v>
          </cell>
          <cell r="E654" t="str">
            <v>泡参</v>
          </cell>
          <cell r="F654" t="str">
            <v>收购产品</v>
          </cell>
          <cell r="G654">
            <v>4.22478</v>
          </cell>
          <cell r="H654">
            <v>3000</v>
          </cell>
          <cell r="I654">
            <v>12674.34</v>
          </cell>
          <cell r="J654">
            <v>0</v>
          </cell>
          <cell r="K654">
            <v>0</v>
          </cell>
          <cell r="L654" t="str">
            <v>贷</v>
          </cell>
          <cell r="M654">
            <v>1475</v>
          </cell>
          <cell r="N654">
            <v>0</v>
          </cell>
          <cell r="O654">
            <v>40748</v>
          </cell>
        </row>
        <row r="655">
          <cell r="A655" t="str">
            <v>09</v>
          </cell>
          <cell r="B655" t="str">
            <v>22</v>
          </cell>
          <cell r="C655" t="str">
            <v>记-0038</v>
          </cell>
          <cell r="D655" t="str">
            <v>057</v>
          </cell>
          <cell r="E655" t="str">
            <v>泡参</v>
          </cell>
          <cell r="F655" t="str">
            <v>收购产品</v>
          </cell>
          <cell r="G655">
            <v>43.092759999999998</v>
          </cell>
          <cell r="H655">
            <v>475</v>
          </cell>
          <cell r="I655">
            <v>20469.060000000001</v>
          </cell>
          <cell r="J655">
            <v>0</v>
          </cell>
          <cell r="K655">
            <v>0</v>
          </cell>
          <cell r="L655" t="str">
            <v>贷</v>
          </cell>
          <cell r="M655">
            <v>1000</v>
          </cell>
          <cell r="N655">
            <v>0</v>
          </cell>
          <cell r="O655">
            <v>20278.939999999999</v>
          </cell>
        </row>
        <row r="656">
          <cell r="A656" t="str">
            <v>09</v>
          </cell>
          <cell r="F656" t="str">
            <v>本月合计</v>
          </cell>
          <cell r="G656">
            <v>0</v>
          </cell>
          <cell r="H656">
            <v>3475</v>
          </cell>
          <cell r="I656">
            <v>33143.4</v>
          </cell>
          <cell r="J656">
            <v>4275</v>
          </cell>
          <cell r="K656">
            <v>53422.34</v>
          </cell>
          <cell r="L656" t="str">
            <v>贷</v>
          </cell>
          <cell r="M656">
            <v>1000</v>
          </cell>
          <cell r="N656">
            <v>20.278939999999999</v>
          </cell>
          <cell r="O656">
            <v>20278.939999999999</v>
          </cell>
        </row>
        <row r="657">
          <cell r="A657" t="str">
            <v>09</v>
          </cell>
          <cell r="F657" t="str">
            <v>累    计</v>
          </cell>
          <cell r="G657">
            <v>0</v>
          </cell>
          <cell r="H657">
            <v>9517.2000000000007</v>
          </cell>
          <cell r="I657">
            <v>279871.74</v>
          </cell>
          <cell r="J657">
            <v>10517.2</v>
          </cell>
          <cell r="K657">
            <v>300150.68</v>
          </cell>
          <cell r="L657" t="str">
            <v>贷</v>
          </cell>
          <cell r="M657">
            <v>1000</v>
          </cell>
          <cell r="N657">
            <v>20.278939999999999</v>
          </cell>
          <cell r="O657">
            <v>20278.939999999999</v>
          </cell>
        </row>
        <row r="658">
          <cell r="A658" t="str">
            <v>11</v>
          </cell>
          <cell r="B658" t="str">
            <v>30</v>
          </cell>
          <cell r="C658" t="str">
            <v>记-0137</v>
          </cell>
          <cell r="D658" t="str">
            <v>057</v>
          </cell>
          <cell r="E658" t="str">
            <v>泡参</v>
          </cell>
          <cell r="F658" t="str">
            <v>调整9月34号凭</v>
          </cell>
          <cell r="G658">
            <v>25.348680000000002</v>
          </cell>
          <cell r="H658">
            <v>0</v>
          </cell>
          <cell r="I658">
            <v>0</v>
          </cell>
          <cell r="J658">
            <v>-800</v>
          </cell>
          <cell r="K658">
            <v>-20278.939999999999</v>
          </cell>
          <cell r="L658" t="str">
            <v>平</v>
          </cell>
          <cell r="M658">
            <v>-200</v>
          </cell>
          <cell r="N658">
            <v>0</v>
          </cell>
          <cell r="O658">
            <v>0</v>
          </cell>
        </row>
        <row r="659">
          <cell r="A659" t="str">
            <v>11</v>
          </cell>
          <cell r="F659" t="str">
            <v>本月合计</v>
          </cell>
          <cell r="G659">
            <v>0</v>
          </cell>
          <cell r="H659">
            <v>0</v>
          </cell>
          <cell r="I659">
            <v>0</v>
          </cell>
          <cell r="J659">
            <v>-800</v>
          </cell>
          <cell r="K659">
            <v>-20278.939999999999</v>
          </cell>
          <cell r="L659" t="str">
            <v>平</v>
          </cell>
          <cell r="M659">
            <v>-200</v>
          </cell>
          <cell r="N659">
            <v>0</v>
          </cell>
          <cell r="O659">
            <v>0</v>
          </cell>
        </row>
        <row r="660">
          <cell r="A660" t="str">
            <v>11</v>
          </cell>
          <cell r="F660" t="str">
            <v>累    计</v>
          </cell>
          <cell r="G660">
            <v>0</v>
          </cell>
          <cell r="H660">
            <v>9517.2000000000007</v>
          </cell>
          <cell r="I660">
            <v>279871.74</v>
          </cell>
          <cell r="J660">
            <v>9717.2000000000007</v>
          </cell>
          <cell r="K660">
            <v>279871.74</v>
          </cell>
          <cell r="L660" t="str">
            <v>平</v>
          </cell>
          <cell r="M660">
            <v>-200</v>
          </cell>
          <cell r="N660">
            <v>0</v>
          </cell>
          <cell r="O660">
            <v>0</v>
          </cell>
        </row>
        <row r="661">
          <cell r="A661" t="str">
            <v>12</v>
          </cell>
          <cell r="B661" t="str">
            <v>11</v>
          </cell>
          <cell r="C661" t="str">
            <v>记-0018</v>
          </cell>
          <cell r="D661" t="str">
            <v>057</v>
          </cell>
          <cell r="E661" t="str">
            <v>泡参</v>
          </cell>
          <cell r="F661" t="str">
            <v>收购产品</v>
          </cell>
          <cell r="G661">
            <v>6.5906599999999997</v>
          </cell>
          <cell r="H661">
            <v>2000</v>
          </cell>
          <cell r="I661">
            <v>13181.31</v>
          </cell>
          <cell r="J661">
            <v>0</v>
          </cell>
          <cell r="K661">
            <v>0</v>
          </cell>
          <cell r="L661" t="str">
            <v>借</v>
          </cell>
          <cell r="M661">
            <v>1800</v>
          </cell>
          <cell r="N661">
            <v>0</v>
          </cell>
          <cell r="O661">
            <v>13181.31</v>
          </cell>
        </row>
        <row r="662">
          <cell r="A662" t="str">
            <v>12</v>
          </cell>
          <cell r="B662" t="str">
            <v>11</v>
          </cell>
          <cell r="C662" t="str">
            <v>记-0030</v>
          </cell>
          <cell r="D662" t="str">
            <v>057</v>
          </cell>
          <cell r="E662" t="str">
            <v>泡参</v>
          </cell>
          <cell r="F662" t="str">
            <v>结转成本</v>
          </cell>
          <cell r="G662">
            <v>6.5906599999999997</v>
          </cell>
          <cell r="H662">
            <v>0</v>
          </cell>
          <cell r="I662">
            <v>0</v>
          </cell>
          <cell r="J662">
            <v>2000</v>
          </cell>
          <cell r="K662">
            <v>13181.31</v>
          </cell>
          <cell r="L662" t="str">
            <v>平</v>
          </cell>
          <cell r="M662">
            <v>-200</v>
          </cell>
          <cell r="N662">
            <v>0</v>
          </cell>
          <cell r="O662">
            <v>0</v>
          </cell>
        </row>
        <row r="663">
          <cell r="A663" t="str">
            <v>12</v>
          </cell>
          <cell r="B663" t="str">
            <v>31</v>
          </cell>
          <cell r="C663" t="str">
            <v>记-0163</v>
          </cell>
          <cell r="D663" t="str">
            <v>057</v>
          </cell>
          <cell r="E663" t="str">
            <v>泡参</v>
          </cell>
          <cell r="F663" t="str">
            <v>调整2月69号凭</v>
          </cell>
          <cell r="G663">
            <v>28.165189999999999</v>
          </cell>
          <cell r="H663">
            <v>-1800</v>
          </cell>
          <cell r="I663">
            <v>-50697.35</v>
          </cell>
          <cell r="J663">
            <v>0</v>
          </cell>
          <cell r="K663">
            <v>0</v>
          </cell>
          <cell r="L663" t="str">
            <v>贷</v>
          </cell>
          <cell r="M663">
            <v>2000</v>
          </cell>
          <cell r="N663">
            <v>0</v>
          </cell>
          <cell r="O663">
            <v>50697.35</v>
          </cell>
        </row>
        <row r="664">
          <cell r="A664" t="str">
            <v>12</v>
          </cell>
          <cell r="B664" t="str">
            <v>31</v>
          </cell>
          <cell r="C664" t="str">
            <v>记-0163</v>
          </cell>
          <cell r="D664" t="str">
            <v>057</v>
          </cell>
          <cell r="E664" t="str">
            <v>泡参</v>
          </cell>
          <cell r="F664" t="str">
            <v>调整2月69号凭</v>
          </cell>
          <cell r="G664">
            <v>0</v>
          </cell>
          <cell r="H664">
            <v>0</v>
          </cell>
          <cell r="I664">
            <v>50697.35</v>
          </cell>
          <cell r="J664">
            <v>0</v>
          </cell>
          <cell r="K664">
            <v>0</v>
          </cell>
          <cell r="L664" t="str">
            <v>平</v>
          </cell>
          <cell r="M664">
            <v>-2000</v>
          </cell>
          <cell r="N664">
            <v>0</v>
          </cell>
          <cell r="O664">
            <v>0</v>
          </cell>
        </row>
        <row r="665">
          <cell r="A665" t="str">
            <v>12</v>
          </cell>
          <cell r="F665" t="str">
            <v>本月合计</v>
          </cell>
          <cell r="G665">
            <v>0</v>
          </cell>
          <cell r="H665">
            <v>200</v>
          </cell>
          <cell r="I665">
            <v>13181.31</v>
          </cell>
          <cell r="J665">
            <v>2000</v>
          </cell>
          <cell r="K665">
            <v>13181.31</v>
          </cell>
          <cell r="L665" t="str">
            <v>平</v>
          </cell>
          <cell r="M665">
            <v>-2000</v>
          </cell>
          <cell r="N665">
            <v>0</v>
          </cell>
          <cell r="O665">
            <v>0</v>
          </cell>
        </row>
        <row r="666">
          <cell r="A666" t="str">
            <v>12</v>
          </cell>
          <cell r="E666" t="str">
            <v>泡参</v>
          </cell>
          <cell r="F666" t="str">
            <v>本年累计</v>
          </cell>
          <cell r="G666">
            <v>0</v>
          </cell>
          <cell r="H666">
            <v>9717.2000000000007</v>
          </cell>
          <cell r="I666">
            <v>293053.05</v>
          </cell>
          <cell r="J666">
            <v>11717.2</v>
          </cell>
          <cell r="K666">
            <v>293053.05</v>
          </cell>
          <cell r="L666" t="str">
            <v>平</v>
          </cell>
          <cell r="M666">
            <v>-2000</v>
          </cell>
          <cell r="N666">
            <v>0</v>
          </cell>
          <cell r="O666">
            <v>0</v>
          </cell>
        </row>
        <row r="667">
          <cell r="A667" t="str">
            <v>01</v>
          </cell>
          <cell r="B667" t="str">
            <v>31</v>
          </cell>
          <cell r="C667" t="str">
            <v>记-0029</v>
          </cell>
          <cell r="D667" t="str">
            <v>058</v>
          </cell>
          <cell r="E667" t="str">
            <v>冬虫草</v>
          </cell>
          <cell r="F667" t="str">
            <v>收购产品</v>
          </cell>
          <cell r="G667">
            <v>513.73310000000004</v>
          </cell>
          <cell r="H667">
            <v>100</v>
          </cell>
          <cell r="I667">
            <v>51373.31</v>
          </cell>
          <cell r="J667">
            <v>0</v>
          </cell>
          <cell r="K667">
            <v>0</v>
          </cell>
          <cell r="L667" t="str">
            <v>借</v>
          </cell>
          <cell r="M667">
            <v>100</v>
          </cell>
          <cell r="N667">
            <v>0</v>
          </cell>
          <cell r="O667">
            <v>51373.31</v>
          </cell>
        </row>
        <row r="668">
          <cell r="A668" t="str">
            <v>01</v>
          </cell>
          <cell r="B668" t="str">
            <v>31</v>
          </cell>
          <cell r="C668" t="str">
            <v>记-0029</v>
          </cell>
          <cell r="D668" t="str">
            <v>058</v>
          </cell>
          <cell r="E668" t="str">
            <v>冬虫草</v>
          </cell>
          <cell r="F668" t="str">
            <v>收购产品</v>
          </cell>
          <cell r="G668">
            <v>32.108319999999999</v>
          </cell>
          <cell r="H668">
            <v>6000</v>
          </cell>
          <cell r="I668">
            <v>192649.91</v>
          </cell>
          <cell r="J668">
            <v>0</v>
          </cell>
          <cell r="K668">
            <v>0</v>
          </cell>
          <cell r="L668" t="str">
            <v>借</v>
          </cell>
          <cell r="M668">
            <v>6100</v>
          </cell>
          <cell r="N668">
            <v>0</v>
          </cell>
          <cell r="O668">
            <v>244023.22</v>
          </cell>
        </row>
        <row r="669">
          <cell r="A669" t="str">
            <v>01</v>
          </cell>
          <cell r="B669" t="str">
            <v>31</v>
          </cell>
          <cell r="C669" t="str">
            <v>记-0029</v>
          </cell>
          <cell r="D669" t="str">
            <v>058</v>
          </cell>
          <cell r="E669" t="str">
            <v>冬虫草</v>
          </cell>
          <cell r="F669" t="str">
            <v>收购产品</v>
          </cell>
          <cell r="G669">
            <v>40.557879999999997</v>
          </cell>
          <cell r="H669">
            <v>1500</v>
          </cell>
          <cell r="I669">
            <v>60836.82</v>
          </cell>
          <cell r="J669">
            <v>0</v>
          </cell>
          <cell r="K669">
            <v>0</v>
          </cell>
          <cell r="L669" t="str">
            <v>借</v>
          </cell>
          <cell r="M669">
            <v>7600</v>
          </cell>
          <cell r="N669">
            <v>0</v>
          </cell>
          <cell r="O669">
            <v>304860.03999999998</v>
          </cell>
        </row>
        <row r="670">
          <cell r="A670" t="str">
            <v>01</v>
          </cell>
          <cell r="B670" t="str">
            <v>31</v>
          </cell>
          <cell r="C670" t="str">
            <v>记-0033</v>
          </cell>
          <cell r="D670" t="str">
            <v>058</v>
          </cell>
          <cell r="E670" t="str">
            <v>冬虫草</v>
          </cell>
          <cell r="F670" t="str">
            <v>收购产品</v>
          </cell>
          <cell r="G670">
            <v>21799.858400000001</v>
          </cell>
          <cell r="H670">
            <v>25</v>
          </cell>
          <cell r="I670">
            <v>544996.46</v>
          </cell>
          <cell r="J670">
            <v>0</v>
          </cell>
          <cell r="K670">
            <v>0</v>
          </cell>
          <cell r="L670" t="str">
            <v>借</v>
          </cell>
          <cell r="M670">
            <v>7625</v>
          </cell>
          <cell r="N670">
            <v>0</v>
          </cell>
          <cell r="O670">
            <v>849856.5</v>
          </cell>
        </row>
        <row r="671">
          <cell r="A671" t="str">
            <v>01</v>
          </cell>
          <cell r="B671" t="str">
            <v>31</v>
          </cell>
          <cell r="C671" t="str">
            <v>记-0033</v>
          </cell>
          <cell r="D671" t="str">
            <v>058</v>
          </cell>
          <cell r="E671" t="str">
            <v>冬虫草</v>
          </cell>
          <cell r="F671" t="str">
            <v>收购产品</v>
          </cell>
          <cell r="G671">
            <v>22729.309499999999</v>
          </cell>
          <cell r="H671">
            <v>8.9499999999999993</v>
          </cell>
          <cell r="I671">
            <v>203427.32</v>
          </cell>
          <cell r="J671">
            <v>0</v>
          </cell>
          <cell r="K671">
            <v>0</v>
          </cell>
          <cell r="L671" t="str">
            <v>借</v>
          </cell>
          <cell r="M671">
            <v>7633.95</v>
          </cell>
          <cell r="N671">
            <v>0</v>
          </cell>
          <cell r="O671">
            <v>1053283.82</v>
          </cell>
        </row>
        <row r="672">
          <cell r="A672" t="str">
            <v>01</v>
          </cell>
          <cell r="B672" t="str">
            <v>31</v>
          </cell>
          <cell r="C672" t="str">
            <v>记-0034</v>
          </cell>
          <cell r="D672" t="str">
            <v>058</v>
          </cell>
          <cell r="E672" t="str">
            <v>冬虫草</v>
          </cell>
          <cell r="F672" t="str">
            <v>收购产品</v>
          </cell>
          <cell r="G672">
            <v>14195.25657</v>
          </cell>
          <cell r="H672">
            <v>22.06</v>
          </cell>
          <cell r="I672">
            <v>313147.36</v>
          </cell>
          <cell r="J672">
            <v>0</v>
          </cell>
          <cell r="K672">
            <v>0</v>
          </cell>
          <cell r="L672" t="str">
            <v>借</v>
          </cell>
          <cell r="M672">
            <v>7656.01</v>
          </cell>
          <cell r="N672">
            <v>0</v>
          </cell>
          <cell r="O672">
            <v>1366431.18</v>
          </cell>
        </row>
        <row r="673">
          <cell r="A673" t="str">
            <v>01</v>
          </cell>
          <cell r="B673" t="str">
            <v>31</v>
          </cell>
          <cell r="C673" t="str">
            <v>记-0034</v>
          </cell>
          <cell r="D673" t="str">
            <v>058</v>
          </cell>
          <cell r="E673" t="str">
            <v>冬虫草</v>
          </cell>
          <cell r="F673" t="str">
            <v>收购产品</v>
          </cell>
          <cell r="G673">
            <v>21799.85857</v>
          </cell>
          <cell r="H673">
            <v>14</v>
          </cell>
          <cell r="I673">
            <v>305198.02</v>
          </cell>
          <cell r="J673">
            <v>0</v>
          </cell>
          <cell r="K673">
            <v>0</v>
          </cell>
          <cell r="L673" t="str">
            <v>借</v>
          </cell>
          <cell r="M673">
            <v>7670.01</v>
          </cell>
          <cell r="N673">
            <v>0</v>
          </cell>
          <cell r="O673">
            <v>1671629.2</v>
          </cell>
        </row>
        <row r="674">
          <cell r="A674" t="str">
            <v>01</v>
          </cell>
          <cell r="B674" t="str">
            <v>31</v>
          </cell>
          <cell r="C674" t="str">
            <v>记-0035</v>
          </cell>
          <cell r="D674" t="str">
            <v>058</v>
          </cell>
          <cell r="E674" t="str">
            <v>冬虫草</v>
          </cell>
          <cell r="F674" t="str">
            <v>收购产品</v>
          </cell>
          <cell r="G674">
            <v>19011.504400000002</v>
          </cell>
          <cell r="H674">
            <v>25</v>
          </cell>
          <cell r="I674">
            <v>475287.61</v>
          </cell>
          <cell r="J674">
            <v>0</v>
          </cell>
          <cell r="K674">
            <v>0</v>
          </cell>
          <cell r="L674" t="str">
            <v>借</v>
          </cell>
          <cell r="M674">
            <v>7695.01</v>
          </cell>
          <cell r="N674">
            <v>0</v>
          </cell>
          <cell r="O674">
            <v>2146916.81</v>
          </cell>
        </row>
        <row r="675">
          <cell r="A675" t="str">
            <v>01</v>
          </cell>
          <cell r="B675" t="str">
            <v>31</v>
          </cell>
          <cell r="C675" t="str">
            <v>记-0043</v>
          </cell>
          <cell r="D675" t="str">
            <v>058</v>
          </cell>
          <cell r="E675" t="str">
            <v>冬虫草</v>
          </cell>
          <cell r="F675" t="str">
            <v>结转销售成本</v>
          </cell>
          <cell r="G675">
            <v>32.108319999999999</v>
          </cell>
          <cell r="H675">
            <v>0</v>
          </cell>
          <cell r="I675">
            <v>0</v>
          </cell>
          <cell r="J675">
            <v>6000</v>
          </cell>
          <cell r="K675">
            <v>192649.91</v>
          </cell>
          <cell r="L675" t="str">
            <v>借</v>
          </cell>
          <cell r="M675">
            <v>1695.01</v>
          </cell>
          <cell r="N675">
            <v>0</v>
          </cell>
          <cell r="O675">
            <v>1954266.9</v>
          </cell>
        </row>
        <row r="676">
          <cell r="A676" t="str">
            <v>01</v>
          </cell>
          <cell r="B676" t="str">
            <v>31</v>
          </cell>
          <cell r="C676" t="str">
            <v>记-0043</v>
          </cell>
          <cell r="D676" t="str">
            <v>058</v>
          </cell>
          <cell r="E676" t="str">
            <v>冬虫草</v>
          </cell>
          <cell r="F676" t="str">
            <v>结转销售成本</v>
          </cell>
          <cell r="G676">
            <v>40.557870000000001</v>
          </cell>
          <cell r="H676">
            <v>0</v>
          </cell>
          <cell r="I676">
            <v>0</v>
          </cell>
          <cell r="J676">
            <v>1500</v>
          </cell>
          <cell r="K676">
            <v>60836.81</v>
          </cell>
          <cell r="L676" t="str">
            <v>借</v>
          </cell>
          <cell r="M676">
            <v>195.01</v>
          </cell>
          <cell r="N676">
            <v>0</v>
          </cell>
          <cell r="O676">
            <v>1893430.09</v>
          </cell>
        </row>
        <row r="677">
          <cell r="A677" t="str">
            <v>01</v>
          </cell>
          <cell r="B677" t="str">
            <v>31</v>
          </cell>
          <cell r="C677" t="str">
            <v>记-0043</v>
          </cell>
          <cell r="D677" t="str">
            <v>058</v>
          </cell>
          <cell r="E677" t="str">
            <v>冬虫草</v>
          </cell>
          <cell r="F677" t="str">
            <v>结转销售成本</v>
          </cell>
          <cell r="G677">
            <v>513.73310000000004</v>
          </cell>
          <cell r="H677">
            <v>0</v>
          </cell>
          <cell r="I677">
            <v>0</v>
          </cell>
          <cell r="J677">
            <v>100</v>
          </cell>
          <cell r="K677">
            <v>51373.31</v>
          </cell>
          <cell r="L677" t="str">
            <v>借</v>
          </cell>
          <cell r="M677">
            <v>95.01</v>
          </cell>
          <cell r="N677">
            <v>0</v>
          </cell>
          <cell r="O677">
            <v>1842056.78</v>
          </cell>
        </row>
        <row r="678">
          <cell r="A678" t="str">
            <v>01</v>
          </cell>
          <cell r="B678" t="str">
            <v>31</v>
          </cell>
          <cell r="C678" t="str">
            <v>记-0047</v>
          </cell>
          <cell r="D678" t="str">
            <v>058</v>
          </cell>
          <cell r="E678" t="str">
            <v>冬虫草</v>
          </cell>
          <cell r="F678" t="str">
            <v>结转销售成本</v>
          </cell>
          <cell r="G678">
            <v>22729.309499999999</v>
          </cell>
          <cell r="H678">
            <v>0</v>
          </cell>
          <cell r="I678">
            <v>0</v>
          </cell>
          <cell r="J678">
            <v>8.9499999999999993</v>
          </cell>
          <cell r="K678">
            <v>203427.32</v>
          </cell>
          <cell r="L678" t="str">
            <v>借</v>
          </cell>
          <cell r="M678">
            <v>86.06</v>
          </cell>
          <cell r="N678">
            <v>0</v>
          </cell>
          <cell r="O678">
            <v>1638629.46</v>
          </cell>
        </row>
        <row r="679">
          <cell r="A679" t="str">
            <v>01</v>
          </cell>
          <cell r="B679" t="str">
            <v>31</v>
          </cell>
          <cell r="C679" t="str">
            <v>记-0047</v>
          </cell>
          <cell r="D679" t="str">
            <v>058</v>
          </cell>
          <cell r="E679" t="str">
            <v>冬虫草</v>
          </cell>
          <cell r="F679" t="str">
            <v>结转销售成本</v>
          </cell>
          <cell r="G679">
            <v>21799.858400000001</v>
          </cell>
          <cell r="H679">
            <v>0</v>
          </cell>
          <cell r="I679">
            <v>0</v>
          </cell>
          <cell r="J679">
            <v>25</v>
          </cell>
          <cell r="K679">
            <v>544996.46</v>
          </cell>
          <cell r="L679" t="str">
            <v>借</v>
          </cell>
          <cell r="M679">
            <v>61.06</v>
          </cell>
          <cell r="N679">
            <v>0</v>
          </cell>
          <cell r="O679">
            <v>1093633</v>
          </cell>
        </row>
        <row r="680">
          <cell r="A680" t="str">
            <v>01</v>
          </cell>
          <cell r="B680" t="str">
            <v>31</v>
          </cell>
          <cell r="C680" t="str">
            <v>记-0048</v>
          </cell>
          <cell r="D680" t="str">
            <v>058</v>
          </cell>
          <cell r="E680" t="str">
            <v>冬虫草</v>
          </cell>
          <cell r="F680" t="str">
            <v>结转销售成本</v>
          </cell>
          <cell r="G680">
            <v>14195.25657</v>
          </cell>
          <cell r="H680">
            <v>0</v>
          </cell>
          <cell r="I680">
            <v>0</v>
          </cell>
          <cell r="J680">
            <v>22.06</v>
          </cell>
          <cell r="K680">
            <v>313147.36</v>
          </cell>
          <cell r="L680" t="str">
            <v>借</v>
          </cell>
          <cell r="M680">
            <v>39</v>
          </cell>
          <cell r="N680">
            <v>0</v>
          </cell>
          <cell r="O680">
            <v>780485.64</v>
          </cell>
        </row>
        <row r="681">
          <cell r="A681" t="str">
            <v>01</v>
          </cell>
          <cell r="B681" t="str">
            <v>31</v>
          </cell>
          <cell r="C681" t="str">
            <v>记-0048</v>
          </cell>
          <cell r="D681" t="str">
            <v>058</v>
          </cell>
          <cell r="E681" t="str">
            <v>冬虫草</v>
          </cell>
          <cell r="F681" t="str">
            <v>结转销售成本</v>
          </cell>
          <cell r="G681">
            <v>21799.85857</v>
          </cell>
          <cell r="H681">
            <v>0</v>
          </cell>
          <cell r="I681">
            <v>0</v>
          </cell>
          <cell r="J681">
            <v>14</v>
          </cell>
          <cell r="K681">
            <v>305198.02</v>
          </cell>
          <cell r="L681" t="str">
            <v>借</v>
          </cell>
          <cell r="M681">
            <v>25</v>
          </cell>
          <cell r="N681">
            <v>0</v>
          </cell>
          <cell r="O681">
            <v>475287.62</v>
          </cell>
        </row>
        <row r="682">
          <cell r="A682" t="str">
            <v>01</v>
          </cell>
          <cell r="B682" t="str">
            <v>31</v>
          </cell>
          <cell r="C682" t="str">
            <v>记-0049</v>
          </cell>
          <cell r="D682" t="str">
            <v>058</v>
          </cell>
          <cell r="E682" t="str">
            <v>冬虫草</v>
          </cell>
          <cell r="F682" t="str">
            <v>结转销售成本</v>
          </cell>
          <cell r="G682">
            <v>19011.504400000002</v>
          </cell>
          <cell r="H682">
            <v>0</v>
          </cell>
          <cell r="I682">
            <v>0</v>
          </cell>
          <cell r="J682">
            <v>25</v>
          </cell>
          <cell r="K682">
            <v>475287.61</v>
          </cell>
          <cell r="L682" t="str">
            <v>借</v>
          </cell>
          <cell r="M682">
            <v>0</v>
          </cell>
          <cell r="N682">
            <v>0</v>
          </cell>
          <cell r="O682">
            <v>0.01</v>
          </cell>
        </row>
        <row r="683">
          <cell r="A683" t="str">
            <v>01</v>
          </cell>
          <cell r="F683" t="str">
            <v>本月合计</v>
          </cell>
          <cell r="G683">
            <v>0</v>
          </cell>
          <cell r="H683">
            <v>7695.01</v>
          </cell>
          <cell r="I683">
            <v>2146916.81</v>
          </cell>
          <cell r="J683">
            <v>7695.01</v>
          </cell>
          <cell r="K683">
            <v>2146916.7999999998</v>
          </cell>
          <cell r="L683" t="str">
            <v>借</v>
          </cell>
          <cell r="M683">
            <v>0</v>
          </cell>
          <cell r="N683">
            <v>46912496118.442703</v>
          </cell>
          <cell r="O683">
            <v>0.01</v>
          </cell>
        </row>
        <row r="684">
          <cell r="A684" t="str">
            <v>01</v>
          </cell>
          <cell r="F684" t="str">
            <v>累    计</v>
          </cell>
          <cell r="G684">
            <v>0</v>
          </cell>
          <cell r="H684">
            <v>7695.01</v>
          </cell>
          <cell r="I684">
            <v>2146916.81</v>
          </cell>
          <cell r="J684">
            <v>7695.01</v>
          </cell>
          <cell r="K684">
            <v>2146916.7999999998</v>
          </cell>
          <cell r="L684" t="str">
            <v>借</v>
          </cell>
          <cell r="M684">
            <v>0</v>
          </cell>
          <cell r="N684">
            <v>46912496118.442703</v>
          </cell>
          <cell r="O684">
            <v>0.01</v>
          </cell>
        </row>
        <row r="685">
          <cell r="A685" t="str">
            <v>02</v>
          </cell>
          <cell r="B685" t="str">
            <v>28</v>
          </cell>
          <cell r="C685" t="str">
            <v>记-0042</v>
          </cell>
          <cell r="D685" t="str">
            <v>058</v>
          </cell>
          <cell r="E685" t="str">
            <v>冬虫草</v>
          </cell>
          <cell r="F685" t="str">
            <v>收货款</v>
          </cell>
          <cell r="G685">
            <v>13991.31704</v>
          </cell>
          <cell r="H685">
            <v>0</v>
          </cell>
          <cell r="I685">
            <v>0</v>
          </cell>
          <cell r="J685">
            <v>52.747</v>
          </cell>
          <cell r="K685">
            <v>738000</v>
          </cell>
          <cell r="L685" t="str">
            <v>贷</v>
          </cell>
          <cell r="M685">
            <v>52.747</v>
          </cell>
          <cell r="N685">
            <v>0</v>
          </cell>
          <cell r="O685">
            <v>737999.99</v>
          </cell>
        </row>
        <row r="686">
          <cell r="A686" t="str">
            <v>02</v>
          </cell>
          <cell r="B686" t="str">
            <v>28</v>
          </cell>
          <cell r="C686" t="str">
            <v>记-0056</v>
          </cell>
          <cell r="D686" t="str">
            <v>058</v>
          </cell>
          <cell r="E686" t="str">
            <v>冬虫草</v>
          </cell>
          <cell r="F686" t="str">
            <v>购入虫草</v>
          </cell>
          <cell r="G686">
            <v>14844.44613</v>
          </cell>
          <cell r="H686">
            <v>52.747</v>
          </cell>
          <cell r="I686">
            <v>783000</v>
          </cell>
          <cell r="J686">
            <v>0</v>
          </cell>
          <cell r="K686">
            <v>0</v>
          </cell>
          <cell r="L686" t="str">
            <v>借</v>
          </cell>
          <cell r="M686">
            <v>0</v>
          </cell>
          <cell r="N686">
            <v>0</v>
          </cell>
          <cell r="O686">
            <v>45000.01</v>
          </cell>
        </row>
        <row r="687">
          <cell r="A687" t="str">
            <v>02</v>
          </cell>
          <cell r="B687" t="str">
            <v>28</v>
          </cell>
          <cell r="C687" t="str">
            <v>记-0062</v>
          </cell>
          <cell r="D687" t="str">
            <v>058</v>
          </cell>
          <cell r="E687" t="str">
            <v>冬虫草</v>
          </cell>
          <cell r="F687" t="str">
            <v>结转成本</v>
          </cell>
          <cell r="G687">
            <v>15209.203530000001</v>
          </cell>
          <cell r="H687">
            <v>0</v>
          </cell>
          <cell r="I687">
            <v>0</v>
          </cell>
          <cell r="J687">
            <v>35.72</v>
          </cell>
          <cell r="K687">
            <v>543272.75</v>
          </cell>
          <cell r="L687" t="str">
            <v>贷</v>
          </cell>
          <cell r="M687">
            <v>35.72</v>
          </cell>
          <cell r="N687">
            <v>0</v>
          </cell>
          <cell r="O687">
            <v>498272.74</v>
          </cell>
        </row>
        <row r="688">
          <cell r="A688" t="str">
            <v>02</v>
          </cell>
          <cell r="B688" t="str">
            <v>28</v>
          </cell>
          <cell r="C688" t="str">
            <v>记-0062</v>
          </cell>
          <cell r="D688" t="str">
            <v>058</v>
          </cell>
          <cell r="E688" t="str">
            <v>冬虫草</v>
          </cell>
          <cell r="F688" t="str">
            <v>结转成本</v>
          </cell>
          <cell r="G688">
            <v>23489.769670000001</v>
          </cell>
          <cell r="H688">
            <v>0</v>
          </cell>
          <cell r="I688">
            <v>0</v>
          </cell>
          <cell r="J688">
            <v>17.54</v>
          </cell>
          <cell r="K688">
            <v>412010.56</v>
          </cell>
          <cell r="L688" t="str">
            <v>贷</v>
          </cell>
          <cell r="M688">
            <v>53.26</v>
          </cell>
          <cell r="N688">
            <v>0</v>
          </cell>
          <cell r="O688">
            <v>910283.3</v>
          </cell>
        </row>
        <row r="689">
          <cell r="A689" t="str">
            <v>02</v>
          </cell>
          <cell r="B689" t="str">
            <v>28</v>
          </cell>
          <cell r="C689" t="str">
            <v>记-0062</v>
          </cell>
          <cell r="D689" t="str">
            <v>058</v>
          </cell>
          <cell r="E689" t="str">
            <v>冬虫草</v>
          </cell>
          <cell r="F689" t="str">
            <v>结转成本</v>
          </cell>
          <cell r="G689">
            <v>23658.761030000001</v>
          </cell>
          <cell r="H689">
            <v>0</v>
          </cell>
          <cell r="I689">
            <v>0</v>
          </cell>
          <cell r="J689">
            <v>16.32</v>
          </cell>
          <cell r="K689">
            <v>386110.98</v>
          </cell>
          <cell r="L689" t="str">
            <v>贷</v>
          </cell>
          <cell r="M689">
            <v>69.58</v>
          </cell>
          <cell r="N689">
            <v>0</v>
          </cell>
          <cell r="O689">
            <v>1296394.28</v>
          </cell>
        </row>
        <row r="690">
          <cell r="A690" t="str">
            <v>02</v>
          </cell>
          <cell r="B690" t="str">
            <v>28</v>
          </cell>
          <cell r="C690" t="str">
            <v>记-0066</v>
          </cell>
          <cell r="D690" t="str">
            <v>058</v>
          </cell>
          <cell r="E690" t="str">
            <v>冬虫草</v>
          </cell>
          <cell r="F690" t="str">
            <v>收购产品</v>
          </cell>
          <cell r="G690">
            <v>15209.203530000001</v>
          </cell>
          <cell r="H690">
            <v>35.72</v>
          </cell>
          <cell r="I690">
            <v>543272.75</v>
          </cell>
          <cell r="J690">
            <v>0</v>
          </cell>
          <cell r="K690">
            <v>0</v>
          </cell>
          <cell r="L690" t="str">
            <v>贷</v>
          </cell>
          <cell r="M690">
            <v>33.86</v>
          </cell>
          <cell r="N690">
            <v>0</v>
          </cell>
          <cell r="O690">
            <v>753121.53</v>
          </cell>
        </row>
        <row r="691">
          <cell r="A691" t="str">
            <v>02</v>
          </cell>
          <cell r="B691" t="str">
            <v>28</v>
          </cell>
          <cell r="C691" t="str">
            <v>记-0066</v>
          </cell>
          <cell r="D691" t="str">
            <v>058</v>
          </cell>
          <cell r="E691" t="str">
            <v>冬虫草</v>
          </cell>
          <cell r="F691" t="str">
            <v>收购产品</v>
          </cell>
          <cell r="G691">
            <v>23489.769670000001</v>
          </cell>
          <cell r="H691">
            <v>17.54</v>
          </cell>
          <cell r="I691">
            <v>412010.56</v>
          </cell>
          <cell r="J691">
            <v>0</v>
          </cell>
          <cell r="K691">
            <v>0</v>
          </cell>
          <cell r="L691" t="str">
            <v>贷</v>
          </cell>
          <cell r="M691">
            <v>16.32</v>
          </cell>
          <cell r="N691">
            <v>0</v>
          </cell>
          <cell r="O691">
            <v>341110.97</v>
          </cell>
        </row>
        <row r="692">
          <cell r="A692" t="str">
            <v>02</v>
          </cell>
          <cell r="B692" t="str">
            <v>28</v>
          </cell>
          <cell r="C692" t="str">
            <v>记-0066</v>
          </cell>
          <cell r="D692" t="str">
            <v>058</v>
          </cell>
          <cell r="E692" t="str">
            <v>冬虫草</v>
          </cell>
          <cell r="F692" t="str">
            <v>收购产品</v>
          </cell>
          <cell r="G692">
            <v>23658.761030000001</v>
          </cell>
          <cell r="H692">
            <v>16.32</v>
          </cell>
          <cell r="I692">
            <v>386110.98</v>
          </cell>
          <cell r="J692">
            <v>0</v>
          </cell>
          <cell r="K692">
            <v>0</v>
          </cell>
          <cell r="L692" t="str">
            <v>借</v>
          </cell>
          <cell r="M692">
            <v>0</v>
          </cell>
          <cell r="N692">
            <v>0</v>
          </cell>
          <cell r="O692">
            <v>45000.01</v>
          </cell>
        </row>
        <row r="693">
          <cell r="A693" t="str">
            <v>02</v>
          </cell>
          <cell r="F693" t="str">
            <v>本月合计</v>
          </cell>
          <cell r="G693">
            <v>0</v>
          </cell>
          <cell r="H693">
            <v>122.327</v>
          </cell>
          <cell r="I693">
            <v>2124394.29</v>
          </cell>
          <cell r="J693">
            <v>122.327</v>
          </cell>
          <cell r="K693">
            <v>2079394.29</v>
          </cell>
          <cell r="L693" t="str">
            <v>借</v>
          </cell>
          <cell r="M693">
            <v>0</v>
          </cell>
          <cell r="N693">
            <v>2.11106279445488E+17</v>
          </cell>
          <cell r="O693">
            <v>45000.01</v>
          </cell>
        </row>
        <row r="694">
          <cell r="A694" t="str">
            <v>02</v>
          </cell>
          <cell r="F694" t="str">
            <v>累    计</v>
          </cell>
          <cell r="G694">
            <v>0</v>
          </cell>
          <cell r="H694">
            <v>7817.3370000000004</v>
          </cell>
          <cell r="I694">
            <v>4271311.0999999996</v>
          </cell>
          <cell r="J694">
            <v>7817.3370000000004</v>
          </cell>
          <cell r="K694">
            <v>4226311.09</v>
          </cell>
          <cell r="L694" t="str">
            <v>借</v>
          </cell>
          <cell r="M694">
            <v>0</v>
          </cell>
          <cell r="N694">
            <v>2.11106279445488E+17</v>
          </cell>
          <cell r="O694">
            <v>45000.01</v>
          </cell>
        </row>
        <row r="695">
          <cell r="A695" t="str">
            <v>06</v>
          </cell>
          <cell r="B695" t="str">
            <v>24</v>
          </cell>
          <cell r="C695" t="str">
            <v>记-0023</v>
          </cell>
          <cell r="D695" t="str">
            <v>058</v>
          </cell>
          <cell r="E695" t="str">
            <v>冬虫草</v>
          </cell>
          <cell r="F695" t="str">
            <v>收购产品</v>
          </cell>
          <cell r="G695">
            <v>23658.76154</v>
          </cell>
          <cell r="H695">
            <v>9.1</v>
          </cell>
          <cell r="I695">
            <v>215294.73</v>
          </cell>
          <cell r="J695">
            <v>0</v>
          </cell>
          <cell r="K695">
            <v>0</v>
          </cell>
          <cell r="L695" t="str">
            <v>借</v>
          </cell>
          <cell r="M695">
            <v>9.1</v>
          </cell>
          <cell r="N695">
            <v>0</v>
          </cell>
          <cell r="O695">
            <v>260294.74</v>
          </cell>
        </row>
        <row r="696">
          <cell r="A696" t="str">
            <v>06</v>
          </cell>
          <cell r="B696" t="str">
            <v>24</v>
          </cell>
          <cell r="C696" t="str">
            <v>记-0023</v>
          </cell>
          <cell r="D696" t="str">
            <v>058</v>
          </cell>
          <cell r="E696" t="str">
            <v>冬虫草</v>
          </cell>
          <cell r="F696" t="str">
            <v>收购产品</v>
          </cell>
          <cell r="G696">
            <v>20954.902699999999</v>
          </cell>
          <cell r="H696">
            <v>12.95</v>
          </cell>
          <cell r="I696">
            <v>271365.99</v>
          </cell>
          <cell r="J696">
            <v>0</v>
          </cell>
          <cell r="K696">
            <v>0</v>
          </cell>
          <cell r="L696" t="str">
            <v>借</v>
          </cell>
          <cell r="M696">
            <v>22.05</v>
          </cell>
          <cell r="N696">
            <v>0</v>
          </cell>
          <cell r="O696">
            <v>531660.73</v>
          </cell>
        </row>
        <row r="697">
          <cell r="A697" t="str">
            <v>06</v>
          </cell>
          <cell r="B697" t="str">
            <v>24</v>
          </cell>
          <cell r="C697" t="str">
            <v>记-0024</v>
          </cell>
          <cell r="D697" t="str">
            <v>058</v>
          </cell>
          <cell r="E697" t="str">
            <v>冬虫草</v>
          </cell>
          <cell r="F697" t="str">
            <v>收购产品</v>
          </cell>
          <cell r="G697">
            <v>20587.349999999999</v>
          </cell>
          <cell r="H697">
            <v>1</v>
          </cell>
          <cell r="I697">
            <v>20587.349999999999</v>
          </cell>
          <cell r="J697">
            <v>0</v>
          </cell>
          <cell r="K697">
            <v>0</v>
          </cell>
          <cell r="L697" t="str">
            <v>借</v>
          </cell>
          <cell r="M697">
            <v>23.05</v>
          </cell>
          <cell r="N697">
            <v>0</v>
          </cell>
          <cell r="O697">
            <v>552248.07999999996</v>
          </cell>
        </row>
        <row r="698">
          <cell r="A698" t="str">
            <v>06</v>
          </cell>
          <cell r="B698" t="str">
            <v>24</v>
          </cell>
          <cell r="C698" t="str">
            <v>记-0027</v>
          </cell>
          <cell r="D698" t="str">
            <v>058</v>
          </cell>
          <cell r="E698" t="str">
            <v>冬虫草</v>
          </cell>
          <cell r="F698" t="str">
            <v>转成本</v>
          </cell>
          <cell r="G698">
            <v>20587.349999999999</v>
          </cell>
          <cell r="H698">
            <v>0</v>
          </cell>
          <cell r="I698">
            <v>0</v>
          </cell>
          <cell r="J698">
            <v>1</v>
          </cell>
          <cell r="K698">
            <v>20587.349999999999</v>
          </cell>
          <cell r="L698" t="str">
            <v>借</v>
          </cell>
          <cell r="M698">
            <v>22.05</v>
          </cell>
          <cell r="N698">
            <v>0</v>
          </cell>
          <cell r="O698">
            <v>531660.73</v>
          </cell>
        </row>
        <row r="699">
          <cell r="A699" t="str">
            <v>06</v>
          </cell>
          <cell r="B699" t="str">
            <v>24</v>
          </cell>
          <cell r="C699" t="str">
            <v>记-0028</v>
          </cell>
          <cell r="D699" t="str">
            <v>058</v>
          </cell>
          <cell r="E699" t="str">
            <v>冬虫草</v>
          </cell>
          <cell r="F699" t="str">
            <v>转成本</v>
          </cell>
          <cell r="G699">
            <v>23658.76154</v>
          </cell>
          <cell r="H699">
            <v>0</v>
          </cell>
          <cell r="I699">
            <v>0</v>
          </cell>
          <cell r="J699">
            <v>9.1</v>
          </cell>
          <cell r="K699">
            <v>215294.73</v>
          </cell>
          <cell r="L699" t="str">
            <v>借</v>
          </cell>
          <cell r="M699">
            <v>12.95</v>
          </cell>
          <cell r="N699">
            <v>0</v>
          </cell>
          <cell r="O699">
            <v>316366</v>
          </cell>
        </row>
        <row r="700">
          <cell r="A700" t="str">
            <v>06</v>
          </cell>
          <cell r="B700" t="str">
            <v>24</v>
          </cell>
          <cell r="C700" t="str">
            <v>记-0028</v>
          </cell>
          <cell r="D700" t="str">
            <v>058</v>
          </cell>
          <cell r="E700" t="str">
            <v>冬虫草</v>
          </cell>
          <cell r="F700" t="str">
            <v>转成本</v>
          </cell>
          <cell r="G700">
            <v>20954.902699999999</v>
          </cell>
          <cell r="H700">
            <v>0</v>
          </cell>
          <cell r="I700">
            <v>0</v>
          </cell>
          <cell r="J700">
            <v>12.95</v>
          </cell>
          <cell r="K700">
            <v>271365.99</v>
          </cell>
          <cell r="L700" t="str">
            <v>借</v>
          </cell>
          <cell r="M700">
            <v>0</v>
          </cell>
          <cell r="N700">
            <v>0</v>
          </cell>
          <cell r="O700">
            <v>45000.01</v>
          </cell>
        </row>
        <row r="701">
          <cell r="A701" t="str">
            <v>06</v>
          </cell>
          <cell r="F701" t="str">
            <v>本月合计</v>
          </cell>
          <cell r="G701">
            <v>0</v>
          </cell>
          <cell r="H701">
            <v>23.05</v>
          </cell>
          <cell r="I701">
            <v>507248.07</v>
          </cell>
          <cell r="J701">
            <v>23.05</v>
          </cell>
          <cell r="K701">
            <v>507248.07</v>
          </cell>
          <cell r="L701" t="str">
            <v>借</v>
          </cell>
          <cell r="M701">
            <v>0</v>
          </cell>
          <cell r="N701">
            <v>2.1288028179376998E+17</v>
          </cell>
          <cell r="O701">
            <v>45000.01</v>
          </cell>
        </row>
        <row r="702">
          <cell r="A702" t="str">
            <v>06</v>
          </cell>
          <cell r="F702" t="str">
            <v>累    计</v>
          </cell>
          <cell r="G702">
            <v>0</v>
          </cell>
          <cell r="H702">
            <v>7840.3869999999997</v>
          </cell>
          <cell r="I702">
            <v>4778559.17</v>
          </cell>
          <cell r="J702">
            <v>7840.3869999999997</v>
          </cell>
          <cell r="K702">
            <v>4733559.16</v>
          </cell>
          <cell r="L702" t="str">
            <v>借</v>
          </cell>
          <cell r="M702">
            <v>0</v>
          </cell>
          <cell r="N702">
            <v>2.1288028179376998E+17</v>
          </cell>
          <cell r="O702">
            <v>45000.01</v>
          </cell>
        </row>
        <row r="703">
          <cell r="A703" t="str">
            <v>08</v>
          </cell>
          <cell r="B703" t="str">
            <v>25</v>
          </cell>
          <cell r="C703" t="str">
            <v>记-0053</v>
          </cell>
          <cell r="D703" t="str">
            <v>058</v>
          </cell>
          <cell r="E703" t="str">
            <v>冬虫草</v>
          </cell>
          <cell r="F703" t="str">
            <v>结转成本</v>
          </cell>
          <cell r="G703">
            <v>20050.8</v>
          </cell>
          <cell r="H703">
            <v>0</v>
          </cell>
          <cell r="I703">
            <v>0</v>
          </cell>
          <cell r="J703">
            <v>2</v>
          </cell>
          <cell r="K703">
            <v>40101.599999999999</v>
          </cell>
          <cell r="L703" t="str">
            <v>借</v>
          </cell>
          <cell r="M703">
            <v>-2</v>
          </cell>
          <cell r="N703">
            <v>0</v>
          </cell>
          <cell r="O703">
            <v>4898.41</v>
          </cell>
        </row>
        <row r="704">
          <cell r="A704" t="str">
            <v>08</v>
          </cell>
          <cell r="B704" t="str">
            <v>25</v>
          </cell>
          <cell r="C704" t="str">
            <v>记-0054</v>
          </cell>
          <cell r="D704" t="str">
            <v>058</v>
          </cell>
          <cell r="E704" t="str">
            <v>冬虫草</v>
          </cell>
          <cell r="F704" t="str">
            <v>结转成本</v>
          </cell>
          <cell r="G704">
            <v>16476.637129999999</v>
          </cell>
          <cell r="H704">
            <v>0</v>
          </cell>
          <cell r="I704">
            <v>0</v>
          </cell>
          <cell r="J704">
            <v>10.381</v>
          </cell>
          <cell r="K704">
            <v>171043.97</v>
          </cell>
          <cell r="L704" t="str">
            <v>贷</v>
          </cell>
          <cell r="M704">
            <v>12.381</v>
          </cell>
          <cell r="N704">
            <v>0</v>
          </cell>
          <cell r="O704">
            <v>166145.56</v>
          </cell>
        </row>
        <row r="705">
          <cell r="A705" t="str">
            <v>08</v>
          </cell>
          <cell r="B705" t="str">
            <v>25</v>
          </cell>
          <cell r="C705" t="str">
            <v>记-0059</v>
          </cell>
          <cell r="D705" t="str">
            <v>058</v>
          </cell>
          <cell r="E705" t="str">
            <v>冬虫草</v>
          </cell>
          <cell r="F705" t="str">
            <v>结转成本</v>
          </cell>
          <cell r="G705">
            <v>22982.796470000001</v>
          </cell>
          <cell r="H705">
            <v>0</v>
          </cell>
          <cell r="I705">
            <v>0</v>
          </cell>
          <cell r="J705">
            <v>61.12</v>
          </cell>
          <cell r="K705">
            <v>1404708.52</v>
          </cell>
          <cell r="L705" t="str">
            <v>贷</v>
          </cell>
          <cell r="M705">
            <v>73.501000000000005</v>
          </cell>
          <cell r="N705">
            <v>0</v>
          </cell>
          <cell r="O705">
            <v>1570854.08</v>
          </cell>
        </row>
        <row r="706">
          <cell r="A706" t="str">
            <v>08</v>
          </cell>
          <cell r="B706" t="str">
            <v>25</v>
          </cell>
          <cell r="C706" t="str">
            <v>记-0059</v>
          </cell>
          <cell r="D706" t="str">
            <v>058</v>
          </cell>
          <cell r="E706" t="str">
            <v>冬虫草</v>
          </cell>
          <cell r="F706" t="str">
            <v>结转成本</v>
          </cell>
          <cell r="G706">
            <v>20008.552250000001</v>
          </cell>
          <cell r="H706">
            <v>0</v>
          </cell>
          <cell r="I706">
            <v>0</v>
          </cell>
          <cell r="J706">
            <v>32.92</v>
          </cell>
          <cell r="K706">
            <v>658681.54</v>
          </cell>
          <cell r="L706" t="str">
            <v>贷</v>
          </cell>
          <cell r="M706">
            <v>106.42100000000001</v>
          </cell>
          <cell r="N706">
            <v>0</v>
          </cell>
          <cell r="O706">
            <v>2229535.62</v>
          </cell>
        </row>
        <row r="707">
          <cell r="A707" t="str">
            <v>08</v>
          </cell>
          <cell r="B707" t="str">
            <v>25</v>
          </cell>
          <cell r="C707" t="str">
            <v>记-0060</v>
          </cell>
          <cell r="D707" t="str">
            <v>058</v>
          </cell>
          <cell r="E707" t="str">
            <v>冬虫草</v>
          </cell>
          <cell r="F707" t="str">
            <v>收购产品</v>
          </cell>
          <cell r="G707">
            <v>20050.8</v>
          </cell>
          <cell r="H707">
            <v>2</v>
          </cell>
          <cell r="I707">
            <v>40101.599999999999</v>
          </cell>
          <cell r="J707">
            <v>0</v>
          </cell>
          <cell r="K707">
            <v>0</v>
          </cell>
          <cell r="L707" t="str">
            <v>贷</v>
          </cell>
          <cell r="M707">
            <v>104.42100000000001</v>
          </cell>
          <cell r="N707">
            <v>0</v>
          </cell>
          <cell r="O707">
            <v>2189434.02</v>
          </cell>
        </row>
        <row r="708">
          <cell r="A708" t="str">
            <v>08</v>
          </cell>
          <cell r="B708" t="str">
            <v>25</v>
          </cell>
          <cell r="C708" t="str">
            <v>记-0061</v>
          </cell>
          <cell r="D708" t="str">
            <v>058</v>
          </cell>
          <cell r="E708" t="str">
            <v>冬虫草</v>
          </cell>
          <cell r="F708" t="str">
            <v>收购产品</v>
          </cell>
          <cell r="G708">
            <v>16476.637129999999</v>
          </cell>
          <cell r="H708">
            <v>10.381</v>
          </cell>
          <cell r="I708">
            <v>171043.97</v>
          </cell>
          <cell r="J708">
            <v>0</v>
          </cell>
          <cell r="K708">
            <v>0</v>
          </cell>
          <cell r="L708" t="str">
            <v>贷</v>
          </cell>
          <cell r="M708">
            <v>94.04</v>
          </cell>
          <cell r="N708">
            <v>0</v>
          </cell>
          <cell r="O708">
            <v>2018390.05</v>
          </cell>
        </row>
        <row r="709">
          <cell r="A709" t="str">
            <v>08</v>
          </cell>
          <cell r="B709" t="str">
            <v>25</v>
          </cell>
          <cell r="C709" t="str">
            <v>记-0066</v>
          </cell>
          <cell r="D709" t="str">
            <v>058</v>
          </cell>
          <cell r="E709" t="str">
            <v>冬虫草</v>
          </cell>
          <cell r="F709" t="str">
            <v>收购产品</v>
          </cell>
          <cell r="G709">
            <v>22982.796470000001</v>
          </cell>
          <cell r="H709">
            <v>61.12</v>
          </cell>
          <cell r="I709">
            <v>1404708.52</v>
          </cell>
          <cell r="J709">
            <v>0</v>
          </cell>
          <cell r="K709">
            <v>0</v>
          </cell>
          <cell r="L709" t="str">
            <v>贷</v>
          </cell>
          <cell r="M709">
            <v>32.92</v>
          </cell>
          <cell r="N709">
            <v>0</v>
          </cell>
          <cell r="O709">
            <v>613681.53</v>
          </cell>
        </row>
        <row r="710">
          <cell r="A710" t="str">
            <v>08</v>
          </cell>
          <cell r="B710" t="str">
            <v>25</v>
          </cell>
          <cell r="C710" t="str">
            <v>记-0066</v>
          </cell>
          <cell r="D710" t="str">
            <v>058</v>
          </cell>
          <cell r="E710" t="str">
            <v>冬虫草</v>
          </cell>
          <cell r="F710" t="str">
            <v>收购产品</v>
          </cell>
          <cell r="G710">
            <v>20008.552250000001</v>
          </cell>
          <cell r="H710">
            <v>32.92</v>
          </cell>
          <cell r="I710">
            <v>658681.54</v>
          </cell>
          <cell r="J710">
            <v>0</v>
          </cell>
          <cell r="K710">
            <v>0</v>
          </cell>
          <cell r="L710" t="str">
            <v>借</v>
          </cell>
          <cell r="M710">
            <v>0</v>
          </cell>
          <cell r="N710">
            <v>0</v>
          </cell>
          <cell r="O710">
            <v>45000.01</v>
          </cell>
        </row>
        <row r="711">
          <cell r="A711" t="str">
            <v>08</v>
          </cell>
          <cell r="F711" t="str">
            <v>本月合计</v>
          </cell>
          <cell r="G711">
            <v>0</v>
          </cell>
          <cell r="H711">
            <v>106.42100000000001</v>
          </cell>
          <cell r="I711">
            <v>2274535.63</v>
          </cell>
          <cell r="J711">
            <v>106.42100000000001</v>
          </cell>
          <cell r="K711">
            <v>2274535.63</v>
          </cell>
          <cell r="L711" t="str">
            <v>借</v>
          </cell>
          <cell r="M711">
            <v>0</v>
          </cell>
          <cell r="N711">
            <v>2.1838580632291901E+17</v>
          </cell>
          <cell r="O711">
            <v>45000.01</v>
          </cell>
        </row>
        <row r="712">
          <cell r="A712" t="str">
            <v>08</v>
          </cell>
          <cell r="F712" t="str">
            <v>累    计</v>
          </cell>
          <cell r="G712">
            <v>0</v>
          </cell>
          <cell r="H712">
            <v>7946.808</v>
          </cell>
          <cell r="I712">
            <v>7053094.7999999998</v>
          </cell>
          <cell r="J712">
            <v>7946.808</v>
          </cell>
          <cell r="K712">
            <v>7008094.79</v>
          </cell>
          <cell r="L712" t="str">
            <v>借</v>
          </cell>
          <cell r="M712">
            <v>0</v>
          </cell>
          <cell r="N712">
            <v>2.1838580632291901E+17</v>
          </cell>
          <cell r="O712">
            <v>45000.01</v>
          </cell>
        </row>
        <row r="713">
          <cell r="A713" t="str">
            <v>09</v>
          </cell>
          <cell r="B713" t="str">
            <v>22</v>
          </cell>
          <cell r="C713" t="str">
            <v>记-0033</v>
          </cell>
          <cell r="D713" t="str">
            <v>058</v>
          </cell>
          <cell r="E713" t="str">
            <v>冬虫草</v>
          </cell>
          <cell r="F713" t="str">
            <v>结转成本</v>
          </cell>
          <cell r="G713">
            <v>26193.62845</v>
          </cell>
          <cell r="H713">
            <v>0</v>
          </cell>
          <cell r="I713">
            <v>0</v>
          </cell>
          <cell r="J713">
            <v>18.489999999999998</v>
          </cell>
          <cell r="K713">
            <v>484320.19</v>
          </cell>
          <cell r="L713" t="str">
            <v>贷</v>
          </cell>
          <cell r="M713">
            <v>18.489999999999998</v>
          </cell>
          <cell r="N713">
            <v>0</v>
          </cell>
          <cell r="O713">
            <v>439320.18</v>
          </cell>
        </row>
        <row r="714">
          <cell r="A714" t="str">
            <v>09</v>
          </cell>
          <cell r="B714" t="str">
            <v>22</v>
          </cell>
          <cell r="C714" t="str">
            <v>记-0033</v>
          </cell>
          <cell r="D714" t="str">
            <v>058</v>
          </cell>
          <cell r="E714" t="str">
            <v>冬虫草</v>
          </cell>
          <cell r="F714" t="str">
            <v>结转成本</v>
          </cell>
          <cell r="G714">
            <v>20278.937999999998</v>
          </cell>
          <cell r="H714">
            <v>0</v>
          </cell>
          <cell r="I714">
            <v>0</v>
          </cell>
          <cell r="J714">
            <v>15</v>
          </cell>
          <cell r="K714">
            <v>304184.07</v>
          </cell>
          <cell r="L714" t="str">
            <v>贷</v>
          </cell>
          <cell r="M714">
            <v>33.49</v>
          </cell>
          <cell r="N714">
            <v>0</v>
          </cell>
          <cell r="O714">
            <v>743504.25</v>
          </cell>
        </row>
        <row r="715">
          <cell r="A715" t="str">
            <v>09</v>
          </cell>
          <cell r="B715" t="str">
            <v>22</v>
          </cell>
          <cell r="C715" t="str">
            <v>记-0037</v>
          </cell>
          <cell r="D715" t="str">
            <v>058</v>
          </cell>
          <cell r="E715" t="str">
            <v>冬虫草</v>
          </cell>
          <cell r="F715" t="str">
            <v>收购产品</v>
          </cell>
          <cell r="G715">
            <v>26193.62845</v>
          </cell>
          <cell r="H715">
            <v>18.489999999999998</v>
          </cell>
          <cell r="I715">
            <v>484320.19</v>
          </cell>
          <cell r="J715">
            <v>0</v>
          </cell>
          <cell r="K715">
            <v>0</v>
          </cell>
          <cell r="L715" t="str">
            <v>贷</v>
          </cell>
          <cell r="M715">
            <v>15</v>
          </cell>
          <cell r="N715">
            <v>0</v>
          </cell>
          <cell r="O715">
            <v>259184.06</v>
          </cell>
        </row>
        <row r="716">
          <cell r="A716" t="str">
            <v>09</v>
          </cell>
          <cell r="B716" t="str">
            <v>22</v>
          </cell>
          <cell r="C716" t="str">
            <v>记-0037</v>
          </cell>
          <cell r="D716" t="str">
            <v>058</v>
          </cell>
          <cell r="E716" t="str">
            <v>冬虫草</v>
          </cell>
          <cell r="F716" t="str">
            <v>收购产品</v>
          </cell>
          <cell r="G716">
            <v>20278.937999999998</v>
          </cell>
          <cell r="H716">
            <v>15</v>
          </cell>
          <cell r="I716">
            <v>304184.07</v>
          </cell>
          <cell r="J716">
            <v>0</v>
          </cell>
          <cell r="K716">
            <v>0</v>
          </cell>
          <cell r="L716" t="str">
            <v>借</v>
          </cell>
          <cell r="M716">
            <v>0</v>
          </cell>
          <cell r="N716">
            <v>0</v>
          </cell>
          <cell r="O716">
            <v>45000.01</v>
          </cell>
        </row>
        <row r="717">
          <cell r="A717" t="str">
            <v>09</v>
          </cell>
          <cell r="B717" t="str">
            <v>22</v>
          </cell>
          <cell r="C717" t="str">
            <v>记-0041</v>
          </cell>
          <cell r="D717" t="str">
            <v>058</v>
          </cell>
          <cell r="E717" t="str">
            <v>冬虫草</v>
          </cell>
          <cell r="F717" t="str">
            <v>结转成本</v>
          </cell>
          <cell r="G717">
            <v>29580</v>
          </cell>
          <cell r="H717">
            <v>0</v>
          </cell>
          <cell r="I717">
            <v>0</v>
          </cell>
          <cell r="J717">
            <v>12.79</v>
          </cell>
          <cell r="K717">
            <v>378328.2</v>
          </cell>
          <cell r="L717" t="str">
            <v>贷</v>
          </cell>
          <cell r="M717">
            <v>12.79</v>
          </cell>
          <cell r="N717">
            <v>0</v>
          </cell>
          <cell r="O717">
            <v>333328.19</v>
          </cell>
        </row>
        <row r="718">
          <cell r="A718" t="str">
            <v>09</v>
          </cell>
          <cell r="B718" t="str">
            <v>22</v>
          </cell>
          <cell r="C718" t="str">
            <v>记-0041</v>
          </cell>
          <cell r="D718" t="str">
            <v>058</v>
          </cell>
          <cell r="E718" t="str">
            <v>冬虫草</v>
          </cell>
          <cell r="F718" t="str">
            <v>结转成本</v>
          </cell>
          <cell r="G718">
            <v>20880</v>
          </cell>
          <cell r="H718">
            <v>0</v>
          </cell>
          <cell r="I718">
            <v>0</v>
          </cell>
          <cell r="J718">
            <v>8.6850000000000005</v>
          </cell>
          <cell r="K718">
            <v>181342.8</v>
          </cell>
          <cell r="L718" t="str">
            <v>贷</v>
          </cell>
          <cell r="M718">
            <v>21.475000000000001</v>
          </cell>
          <cell r="N718">
            <v>0</v>
          </cell>
          <cell r="O718">
            <v>514670.99</v>
          </cell>
        </row>
        <row r="719">
          <cell r="A719" t="str">
            <v>09</v>
          </cell>
          <cell r="B719" t="str">
            <v>22</v>
          </cell>
          <cell r="C719" t="str">
            <v>记-0042</v>
          </cell>
          <cell r="D719" t="str">
            <v>058</v>
          </cell>
          <cell r="E719" t="str">
            <v>冬虫草</v>
          </cell>
          <cell r="F719" t="str">
            <v>结转成本</v>
          </cell>
          <cell r="G719">
            <v>28275</v>
          </cell>
          <cell r="H719">
            <v>0</v>
          </cell>
          <cell r="I719">
            <v>0</v>
          </cell>
          <cell r="J719">
            <v>16.608000000000001</v>
          </cell>
          <cell r="K719">
            <v>469591.2</v>
          </cell>
          <cell r="L719" t="str">
            <v>贷</v>
          </cell>
          <cell r="M719">
            <v>38.082999999999998</v>
          </cell>
          <cell r="N719">
            <v>0</v>
          </cell>
          <cell r="O719">
            <v>984262.19</v>
          </cell>
        </row>
        <row r="720">
          <cell r="A720" t="str">
            <v>09</v>
          </cell>
          <cell r="B720" t="str">
            <v>22</v>
          </cell>
          <cell r="C720" t="str">
            <v>记-0043</v>
          </cell>
          <cell r="D720" t="str">
            <v>058</v>
          </cell>
          <cell r="E720" t="str">
            <v>冬虫草</v>
          </cell>
          <cell r="F720" t="str">
            <v>收购产品</v>
          </cell>
          <cell r="G720">
            <v>28275</v>
          </cell>
          <cell r="H720">
            <v>16.608000000000001</v>
          </cell>
          <cell r="I720">
            <v>469591.2</v>
          </cell>
          <cell r="J720">
            <v>0</v>
          </cell>
          <cell r="K720">
            <v>0</v>
          </cell>
          <cell r="L720" t="str">
            <v>贷</v>
          </cell>
          <cell r="M720">
            <v>21.475000000000001</v>
          </cell>
          <cell r="N720">
            <v>0</v>
          </cell>
          <cell r="O720">
            <v>514670.99</v>
          </cell>
        </row>
        <row r="721">
          <cell r="A721" t="str">
            <v>09</v>
          </cell>
          <cell r="B721" t="str">
            <v>22</v>
          </cell>
          <cell r="C721" t="str">
            <v>记-0044</v>
          </cell>
          <cell r="D721" t="str">
            <v>058</v>
          </cell>
          <cell r="E721" t="str">
            <v>冬虫草</v>
          </cell>
          <cell r="F721" t="str">
            <v>收购产品</v>
          </cell>
          <cell r="G721">
            <v>29580</v>
          </cell>
          <cell r="H721">
            <v>12.79</v>
          </cell>
          <cell r="I721">
            <v>378328.2</v>
          </cell>
          <cell r="J721">
            <v>0</v>
          </cell>
          <cell r="K721">
            <v>0</v>
          </cell>
          <cell r="L721" t="str">
            <v>贷</v>
          </cell>
          <cell r="M721">
            <v>8.6850000000000005</v>
          </cell>
          <cell r="N721">
            <v>0</v>
          </cell>
          <cell r="O721">
            <v>136342.79</v>
          </cell>
        </row>
        <row r="722">
          <cell r="A722" t="str">
            <v>09</v>
          </cell>
          <cell r="B722" t="str">
            <v>22</v>
          </cell>
          <cell r="C722" t="str">
            <v>记-0044</v>
          </cell>
          <cell r="D722" t="str">
            <v>058</v>
          </cell>
          <cell r="E722" t="str">
            <v>冬虫草</v>
          </cell>
          <cell r="F722" t="str">
            <v>收购产品</v>
          </cell>
          <cell r="G722">
            <v>20880</v>
          </cell>
          <cell r="H722">
            <v>8.6850000000000005</v>
          </cell>
          <cell r="I722">
            <v>181342.8</v>
          </cell>
          <cell r="J722">
            <v>0</v>
          </cell>
          <cell r="K722">
            <v>0</v>
          </cell>
          <cell r="L722" t="str">
            <v>借</v>
          </cell>
          <cell r="M722">
            <v>0</v>
          </cell>
          <cell r="N722">
            <v>0</v>
          </cell>
          <cell r="O722">
            <v>45000.01</v>
          </cell>
        </row>
        <row r="723">
          <cell r="A723" t="str">
            <v>09</v>
          </cell>
          <cell r="F723" t="str">
            <v>本月合计</v>
          </cell>
          <cell r="G723">
            <v>0</v>
          </cell>
          <cell r="H723">
            <v>71.572999999999993</v>
          </cell>
          <cell r="I723">
            <v>1817766.46</v>
          </cell>
          <cell r="J723">
            <v>71.572999999999993</v>
          </cell>
          <cell r="K723">
            <v>1817766.46</v>
          </cell>
          <cell r="L723" t="str">
            <v>借</v>
          </cell>
          <cell r="M723">
            <v>0</v>
          </cell>
          <cell r="N723">
            <v>2.2418365958812899E+17</v>
          </cell>
          <cell r="O723">
            <v>45000.01</v>
          </cell>
        </row>
        <row r="724">
          <cell r="A724" t="str">
            <v>09</v>
          </cell>
          <cell r="F724" t="str">
            <v>累    计</v>
          </cell>
          <cell r="G724">
            <v>0</v>
          </cell>
          <cell r="H724">
            <v>8018.3810000000003</v>
          </cell>
          <cell r="I724">
            <v>8870861.2599999998</v>
          </cell>
          <cell r="J724">
            <v>8018.3810000000003</v>
          </cell>
          <cell r="K724">
            <v>8825861.25</v>
          </cell>
          <cell r="L724" t="str">
            <v>借</v>
          </cell>
          <cell r="M724">
            <v>0</v>
          </cell>
          <cell r="N724">
            <v>2.2418365958812899E+17</v>
          </cell>
          <cell r="O724">
            <v>45000.01</v>
          </cell>
        </row>
        <row r="725">
          <cell r="A725" t="str">
            <v>10</v>
          </cell>
          <cell r="B725" t="str">
            <v>22</v>
          </cell>
          <cell r="C725" t="str">
            <v>记-0025</v>
          </cell>
          <cell r="D725" t="str">
            <v>058</v>
          </cell>
          <cell r="E725" t="str">
            <v>冬虫草</v>
          </cell>
          <cell r="F725" t="str">
            <v>结转成本</v>
          </cell>
          <cell r="G725">
            <v>25771.15007</v>
          </cell>
          <cell r="H725">
            <v>0</v>
          </cell>
          <cell r="I725">
            <v>0</v>
          </cell>
          <cell r="J725">
            <v>13.46</v>
          </cell>
          <cell r="K725">
            <v>346879.68</v>
          </cell>
          <cell r="L725" t="str">
            <v>贷</v>
          </cell>
          <cell r="M725">
            <v>13.46</v>
          </cell>
          <cell r="N725">
            <v>0</v>
          </cell>
          <cell r="O725">
            <v>301879.67</v>
          </cell>
        </row>
        <row r="726">
          <cell r="A726" t="str">
            <v>10</v>
          </cell>
          <cell r="B726" t="str">
            <v>22</v>
          </cell>
          <cell r="C726" t="str">
            <v>记-0025</v>
          </cell>
          <cell r="D726" t="str">
            <v>058</v>
          </cell>
          <cell r="E726" t="str">
            <v>冬虫草</v>
          </cell>
          <cell r="F726" t="str">
            <v>结转成本</v>
          </cell>
          <cell r="G726">
            <v>29573.45161</v>
          </cell>
          <cell r="H726">
            <v>0</v>
          </cell>
          <cell r="I726">
            <v>0</v>
          </cell>
          <cell r="J726">
            <v>6.2</v>
          </cell>
          <cell r="K726">
            <v>183355.4</v>
          </cell>
          <cell r="L726" t="str">
            <v>贷</v>
          </cell>
          <cell r="M726">
            <v>19.66</v>
          </cell>
          <cell r="N726">
            <v>0</v>
          </cell>
          <cell r="O726">
            <v>485235.07</v>
          </cell>
        </row>
        <row r="727">
          <cell r="A727" t="str">
            <v>10</v>
          </cell>
          <cell r="B727" t="str">
            <v>22</v>
          </cell>
          <cell r="C727" t="str">
            <v>记-0025</v>
          </cell>
          <cell r="D727" t="str">
            <v>058</v>
          </cell>
          <cell r="E727" t="str">
            <v>冬虫草</v>
          </cell>
          <cell r="F727" t="str">
            <v>结转成本</v>
          </cell>
          <cell r="G727">
            <v>24926.194920000002</v>
          </cell>
          <cell r="H727">
            <v>0</v>
          </cell>
          <cell r="I727">
            <v>0</v>
          </cell>
          <cell r="J727">
            <v>39.4</v>
          </cell>
          <cell r="K727">
            <v>982092.08</v>
          </cell>
          <cell r="L727" t="str">
            <v>贷</v>
          </cell>
          <cell r="M727">
            <v>59.06</v>
          </cell>
          <cell r="N727">
            <v>0</v>
          </cell>
          <cell r="O727">
            <v>1467327.15</v>
          </cell>
        </row>
        <row r="728">
          <cell r="A728" t="str">
            <v>10</v>
          </cell>
          <cell r="B728" t="str">
            <v>22</v>
          </cell>
          <cell r="C728" t="str">
            <v>记-0029</v>
          </cell>
          <cell r="D728" t="str">
            <v>058</v>
          </cell>
          <cell r="E728" t="str">
            <v>冬虫草</v>
          </cell>
          <cell r="F728" t="str">
            <v>收购产品</v>
          </cell>
          <cell r="G728">
            <v>25771.15007</v>
          </cell>
          <cell r="H728">
            <v>13.46</v>
          </cell>
          <cell r="I728">
            <v>346879.68</v>
          </cell>
          <cell r="J728">
            <v>0</v>
          </cell>
          <cell r="K728">
            <v>0</v>
          </cell>
          <cell r="L728" t="str">
            <v>贷</v>
          </cell>
          <cell r="M728">
            <v>45.6</v>
          </cell>
          <cell r="N728">
            <v>0</v>
          </cell>
          <cell r="O728">
            <v>1120447.47</v>
          </cell>
        </row>
        <row r="729">
          <cell r="A729" t="str">
            <v>10</v>
          </cell>
          <cell r="B729" t="str">
            <v>22</v>
          </cell>
          <cell r="C729" t="str">
            <v>记-0029</v>
          </cell>
          <cell r="D729" t="str">
            <v>058</v>
          </cell>
          <cell r="E729" t="str">
            <v>冬虫草</v>
          </cell>
          <cell r="F729" t="str">
            <v>收购产品</v>
          </cell>
          <cell r="G729">
            <v>29573.45161</v>
          </cell>
          <cell r="H729">
            <v>6.2</v>
          </cell>
          <cell r="I729">
            <v>183355.4</v>
          </cell>
          <cell r="J729">
            <v>0</v>
          </cell>
          <cell r="K729">
            <v>0</v>
          </cell>
          <cell r="L729" t="str">
            <v>贷</v>
          </cell>
          <cell r="M729">
            <v>39.4</v>
          </cell>
          <cell r="N729">
            <v>0</v>
          </cell>
          <cell r="O729">
            <v>937092.07</v>
          </cell>
        </row>
        <row r="730">
          <cell r="A730" t="str">
            <v>10</v>
          </cell>
          <cell r="B730" t="str">
            <v>22</v>
          </cell>
          <cell r="C730" t="str">
            <v>记-0029</v>
          </cell>
          <cell r="D730" t="str">
            <v>058</v>
          </cell>
          <cell r="E730" t="str">
            <v>冬虫草</v>
          </cell>
          <cell r="F730" t="str">
            <v>收购产品</v>
          </cell>
          <cell r="G730">
            <v>24926.194920000002</v>
          </cell>
          <cell r="H730">
            <v>39.4</v>
          </cell>
          <cell r="I730">
            <v>982092.08</v>
          </cell>
          <cell r="J730">
            <v>0</v>
          </cell>
          <cell r="K730">
            <v>0</v>
          </cell>
          <cell r="L730" t="str">
            <v>借</v>
          </cell>
          <cell r="M730">
            <v>0</v>
          </cell>
          <cell r="N730">
            <v>0</v>
          </cell>
          <cell r="O730">
            <v>45000.01</v>
          </cell>
        </row>
        <row r="731">
          <cell r="A731" t="str">
            <v>10</v>
          </cell>
          <cell r="B731" t="str">
            <v>22</v>
          </cell>
          <cell r="C731" t="str">
            <v>记-0030</v>
          </cell>
          <cell r="D731" t="str">
            <v>058</v>
          </cell>
          <cell r="E731" t="str">
            <v>冬虫草</v>
          </cell>
          <cell r="F731" t="str">
            <v>收购产品</v>
          </cell>
          <cell r="G731">
            <v>3084.0884599999999</v>
          </cell>
          <cell r="H731">
            <v>189.36</v>
          </cell>
          <cell r="I731">
            <v>584002.99</v>
          </cell>
          <cell r="J731">
            <v>0</v>
          </cell>
          <cell r="K731">
            <v>0</v>
          </cell>
          <cell r="L731" t="str">
            <v>借</v>
          </cell>
          <cell r="M731">
            <v>189.36</v>
          </cell>
          <cell r="N731">
            <v>0</v>
          </cell>
          <cell r="O731">
            <v>629003</v>
          </cell>
        </row>
        <row r="732">
          <cell r="A732" t="str">
            <v>10</v>
          </cell>
          <cell r="F732" t="str">
            <v>本月合计</v>
          </cell>
          <cell r="G732">
            <v>0</v>
          </cell>
          <cell r="H732">
            <v>248.42</v>
          </cell>
          <cell r="I732">
            <v>2096330.15</v>
          </cell>
          <cell r="J732">
            <v>59.06</v>
          </cell>
          <cell r="K732">
            <v>1512327.16</v>
          </cell>
          <cell r="L732" t="str">
            <v>借</v>
          </cell>
          <cell r="M732">
            <v>189.36</v>
          </cell>
          <cell r="N732">
            <v>3321.7310900000002</v>
          </cell>
          <cell r="O732">
            <v>629003</v>
          </cell>
        </row>
        <row r="733">
          <cell r="A733" t="str">
            <v>10</v>
          </cell>
          <cell r="F733" t="str">
            <v>累    计</v>
          </cell>
          <cell r="G733">
            <v>0</v>
          </cell>
          <cell r="H733">
            <v>8266.8009999999995</v>
          </cell>
          <cell r="I733">
            <v>10967191.41</v>
          </cell>
          <cell r="J733">
            <v>8077.4409999999998</v>
          </cell>
          <cell r="K733">
            <v>10338188.41</v>
          </cell>
          <cell r="L733" t="str">
            <v>借</v>
          </cell>
          <cell r="M733">
            <v>189.36</v>
          </cell>
          <cell r="N733">
            <v>3321.7310900000002</v>
          </cell>
          <cell r="O733">
            <v>629003</v>
          </cell>
        </row>
        <row r="734">
          <cell r="A734" t="str">
            <v>11</v>
          </cell>
          <cell r="B734" t="str">
            <v>18</v>
          </cell>
          <cell r="C734" t="str">
            <v>记-0001</v>
          </cell>
          <cell r="D734" t="str">
            <v>058</v>
          </cell>
          <cell r="E734" t="str">
            <v>冬虫草</v>
          </cell>
          <cell r="F734" t="str">
            <v>收购产品</v>
          </cell>
          <cell r="G734">
            <v>28137.02649</v>
          </cell>
          <cell r="H734">
            <v>22.65</v>
          </cell>
          <cell r="I734">
            <v>637303.65</v>
          </cell>
          <cell r="J734">
            <v>0</v>
          </cell>
          <cell r="K734">
            <v>0</v>
          </cell>
          <cell r="L734" t="str">
            <v>借</v>
          </cell>
          <cell r="M734">
            <v>212.01</v>
          </cell>
          <cell r="N734">
            <v>0</v>
          </cell>
          <cell r="O734">
            <v>1266306.6499999999</v>
          </cell>
        </row>
        <row r="735">
          <cell r="A735" t="str">
            <v>11</v>
          </cell>
          <cell r="B735" t="str">
            <v>18</v>
          </cell>
          <cell r="C735" t="str">
            <v>记-0002</v>
          </cell>
          <cell r="D735" t="str">
            <v>058</v>
          </cell>
          <cell r="E735" t="str">
            <v>冬虫草</v>
          </cell>
          <cell r="F735" t="str">
            <v>收购产品</v>
          </cell>
          <cell r="G735">
            <v>23236.28313</v>
          </cell>
          <cell r="H735">
            <v>20.414999999999999</v>
          </cell>
          <cell r="I735">
            <v>474368.72</v>
          </cell>
          <cell r="J735">
            <v>0</v>
          </cell>
          <cell r="K735">
            <v>0</v>
          </cell>
          <cell r="L735" t="str">
            <v>借</v>
          </cell>
          <cell r="M735">
            <v>232.42500000000001</v>
          </cell>
          <cell r="N735">
            <v>0</v>
          </cell>
          <cell r="O735">
            <v>1740675.37</v>
          </cell>
        </row>
        <row r="736">
          <cell r="A736" t="str">
            <v>11</v>
          </cell>
          <cell r="B736" t="str">
            <v>18</v>
          </cell>
          <cell r="C736" t="str">
            <v>记-0002</v>
          </cell>
          <cell r="D736" t="str">
            <v>058</v>
          </cell>
          <cell r="E736" t="str">
            <v>冬虫草</v>
          </cell>
          <cell r="F736" t="str">
            <v>收购产品</v>
          </cell>
          <cell r="G736">
            <v>30418.406950000001</v>
          </cell>
          <cell r="H736">
            <v>29.452999999999999</v>
          </cell>
          <cell r="I736">
            <v>895913.34</v>
          </cell>
          <cell r="J736">
            <v>0</v>
          </cell>
          <cell r="K736">
            <v>0</v>
          </cell>
          <cell r="L736" t="str">
            <v>借</v>
          </cell>
          <cell r="M736">
            <v>261.87799999999999</v>
          </cell>
          <cell r="N736">
            <v>0</v>
          </cell>
          <cell r="O736">
            <v>2636588.71</v>
          </cell>
        </row>
        <row r="737">
          <cell r="A737" t="str">
            <v>11</v>
          </cell>
          <cell r="B737" t="str">
            <v>18</v>
          </cell>
          <cell r="C737" t="str">
            <v>记-0004</v>
          </cell>
          <cell r="D737" t="str">
            <v>058</v>
          </cell>
          <cell r="E737" t="str">
            <v>冬虫草</v>
          </cell>
          <cell r="F737" t="str">
            <v>结转成本</v>
          </cell>
          <cell r="G737">
            <v>28137.02649</v>
          </cell>
          <cell r="H737">
            <v>0</v>
          </cell>
          <cell r="I737">
            <v>0</v>
          </cell>
          <cell r="J737">
            <v>22.65</v>
          </cell>
          <cell r="K737">
            <v>637303.65</v>
          </cell>
          <cell r="L737" t="str">
            <v>借</v>
          </cell>
          <cell r="M737">
            <v>239.22800000000001</v>
          </cell>
          <cell r="N737">
            <v>0</v>
          </cell>
          <cell r="O737">
            <v>1999285.06</v>
          </cell>
        </row>
        <row r="738">
          <cell r="A738" t="str">
            <v>11</v>
          </cell>
          <cell r="B738" t="str">
            <v>18</v>
          </cell>
          <cell r="C738" t="str">
            <v>记-0005</v>
          </cell>
          <cell r="D738" t="str">
            <v>058</v>
          </cell>
          <cell r="E738" t="str">
            <v>冬虫草</v>
          </cell>
          <cell r="F738" t="str">
            <v>结转成本</v>
          </cell>
          <cell r="G738">
            <v>23236.28313</v>
          </cell>
          <cell r="H738">
            <v>0</v>
          </cell>
          <cell r="I738">
            <v>0</v>
          </cell>
          <cell r="J738">
            <v>20.414999999999999</v>
          </cell>
          <cell r="K738">
            <v>474368.72</v>
          </cell>
          <cell r="L738" t="str">
            <v>借</v>
          </cell>
          <cell r="M738">
            <v>218.81299999999999</v>
          </cell>
          <cell r="N738">
            <v>0</v>
          </cell>
          <cell r="O738">
            <v>1524916.34</v>
          </cell>
        </row>
        <row r="739">
          <cell r="A739" t="str">
            <v>11</v>
          </cell>
          <cell r="B739" t="str">
            <v>18</v>
          </cell>
          <cell r="C739" t="str">
            <v>记-0005</v>
          </cell>
          <cell r="D739" t="str">
            <v>058</v>
          </cell>
          <cell r="E739" t="str">
            <v>冬虫草</v>
          </cell>
          <cell r="F739" t="str">
            <v>结转成本</v>
          </cell>
          <cell r="G739">
            <v>30418.406950000001</v>
          </cell>
          <cell r="H739">
            <v>0</v>
          </cell>
          <cell r="I739">
            <v>0</v>
          </cell>
          <cell r="J739">
            <v>29.452999999999999</v>
          </cell>
          <cell r="K739">
            <v>895913.34</v>
          </cell>
          <cell r="L739" t="str">
            <v>借</v>
          </cell>
          <cell r="M739">
            <v>189.36</v>
          </cell>
          <cell r="N739">
            <v>0</v>
          </cell>
          <cell r="O739">
            <v>629003</v>
          </cell>
        </row>
        <row r="740">
          <cell r="A740" t="str">
            <v>11</v>
          </cell>
          <cell r="B740" t="str">
            <v>30</v>
          </cell>
          <cell r="C740" t="str">
            <v>记-0138</v>
          </cell>
          <cell r="D740" t="str">
            <v>058</v>
          </cell>
          <cell r="E740" t="str">
            <v>冬虫草</v>
          </cell>
          <cell r="F740" t="str">
            <v>调整10月30号</v>
          </cell>
          <cell r="G740">
            <v>3084.0884599999999</v>
          </cell>
          <cell r="H740">
            <v>-189.36</v>
          </cell>
          <cell r="I740">
            <v>-584002.99</v>
          </cell>
          <cell r="J740">
            <v>0</v>
          </cell>
          <cell r="K740">
            <v>0</v>
          </cell>
          <cell r="L740" t="str">
            <v>借</v>
          </cell>
          <cell r="M740">
            <v>0</v>
          </cell>
          <cell r="N740">
            <v>0</v>
          </cell>
          <cell r="O740">
            <v>45000.01</v>
          </cell>
        </row>
        <row r="741">
          <cell r="A741" t="str">
            <v>11</v>
          </cell>
          <cell r="B741" t="str">
            <v>30</v>
          </cell>
          <cell r="C741" t="str">
            <v>记-0142</v>
          </cell>
          <cell r="D741" t="str">
            <v>058</v>
          </cell>
          <cell r="E741" t="str">
            <v>冬虫草</v>
          </cell>
          <cell r="F741" t="str">
            <v>调整8月79号凭</v>
          </cell>
          <cell r="G741">
            <v>0</v>
          </cell>
          <cell r="H741">
            <v>0</v>
          </cell>
          <cell r="I741">
            <v>300000</v>
          </cell>
          <cell r="J741">
            <v>0</v>
          </cell>
          <cell r="K741">
            <v>0</v>
          </cell>
          <cell r="L741" t="str">
            <v>借</v>
          </cell>
          <cell r="M741">
            <v>0</v>
          </cell>
          <cell r="N741">
            <v>0</v>
          </cell>
          <cell r="O741">
            <v>345000.01</v>
          </cell>
        </row>
        <row r="742">
          <cell r="A742" t="str">
            <v>11</v>
          </cell>
          <cell r="F742" t="str">
            <v>本月合计</v>
          </cell>
          <cell r="G742">
            <v>0</v>
          </cell>
          <cell r="H742">
            <v>-116.842</v>
          </cell>
          <cell r="I742">
            <v>1723582.72</v>
          </cell>
          <cell r="J742">
            <v>72.518000000000001</v>
          </cell>
          <cell r="K742">
            <v>2007585.71</v>
          </cell>
          <cell r="L742" t="str">
            <v>借</v>
          </cell>
          <cell r="M742">
            <v>0</v>
          </cell>
          <cell r="N742">
            <v>1.73408696035582E+18</v>
          </cell>
          <cell r="O742">
            <v>345000.01</v>
          </cell>
        </row>
        <row r="743">
          <cell r="A743" t="str">
            <v>11</v>
          </cell>
          <cell r="F743" t="str">
            <v>累    计</v>
          </cell>
          <cell r="G743">
            <v>0</v>
          </cell>
          <cell r="H743">
            <v>8149.9589999999998</v>
          </cell>
          <cell r="I743">
            <v>12690774.130000001</v>
          </cell>
          <cell r="J743">
            <v>8149.9589999999998</v>
          </cell>
          <cell r="K743">
            <v>12345774.119999999</v>
          </cell>
          <cell r="L743" t="str">
            <v>借</v>
          </cell>
          <cell r="M743">
            <v>0</v>
          </cell>
          <cell r="N743">
            <v>1.73408696035582E+18</v>
          </cell>
          <cell r="O743">
            <v>345000.01</v>
          </cell>
        </row>
        <row r="744">
          <cell r="A744" t="str">
            <v>12</v>
          </cell>
          <cell r="B744" t="str">
            <v>11</v>
          </cell>
          <cell r="C744" t="str">
            <v>记-0026</v>
          </cell>
          <cell r="D744" t="str">
            <v>058</v>
          </cell>
          <cell r="E744" t="str">
            <v>冬虫草</v>
          </cell>
          <cell r="F744" t="str">
            <v>收购产品</v>
          </cell>
          <cell r="G744">
            <v>33798.230239999997</v>
          </cell>
          <cell r="H744">
            <v>14.55</v>
          </cell>
          <cell r="I744">
            <v>491764.25</v>
          </cell>
          <cell r="J744">
            <v>0</v>
          </cell>
          <cell r="K744">
            <v>0</v>
          </cell>
          <cell r="L744" t="str">
            <v>借</v>
          </cell>
          <cell r="M744">
            <v>14.55</v>
          </cell>
          <cell r="N744">
            <v>0</v>
          </cell>
          <cell r="O744">
            <v>836764.26</v>
          </cell>
        </row>
        <row r="745">
          <cell r="A745" t="str">
            <v>12</v>
          </cell>
          <cell r="B745" t="str">
            <v>11</v>
          </cell>
          <cell r="C745" t="str">
            <v>记-0026</v>
          </cell>
          <cell r="D745" t="str">
            <v>058</v>
          </cell>
          <cell r="E745" t="str">
            <v>冬虫草</v>
          </cell>
          <cell r="F745" t="str">
            <v>收购产品</v>
          </cell>
          <cell r="G745">
            <v>25348.67265</v>
          </cell>
          <cell r="H745">
            <v>41.76</v>
          </cell>
          <cell r="I745">
            <v>1058560.57</v>
          </cell>
          <cell r="J745">
            <v>0</v>
          </cell>
          <cell r="K745">
            <v>0</v>
          </cell>
          <cell r="L745" t="str">
            <v>借</v>
          </cell>
          <cell r="M745">
            <v>56.31</v>
          </cell>
          <cell r="N745">
            <v>0</v>
          </cell>
          <cell r="O745">
            <v>1895324.83</v>
          </cell>
        </row>
        <row r="746">
          <cell r="A746" t="str">
            <v>12</v>
          </cell>
          <cell r="B746" t="str">
            <v>11</v>
          </cell>
          <cell r="C746" t="str">
            <v>记-0026</v>
          </cell>
          <cell r="D746" t="str">
            <v>058</v>
          </cell>
          <cell r="E746" t="str">
            <v>冬虫草</v>
          </cell>
          <cell r="F746" t="str">
            <v>收购产品</v>
          </cell>
          <cell r="G746">
            <v>35910.599710000002</v>
          </cell>
          <cell r="H746">
            <v>34.5</v>
          </cell>
          <cell r="I746">
            <v>1238915.69</v>
          </cell>
          <cell r="J746">
            <v>0</v>
          </cell>
          <cell r="K746">
            <v>0</v>
          </cell>
          <cell r="L746" t="str">
            <v>借</v>
          </cell>
          <cell r="M746">
            <v>90.81</v>
          </cell>
          <cell r="N746">
            <v>0</v>
          </cell>
          <cell r="O746">
            <v>3134240.52</v>
          </cell>
        </row>
        <row r="747">
          <cell r="A747" t="str">
            <v>12</v>
          </cell>
          <cell r="B747" t="str">
            <v>11</v>
          </cell>
          <cell r="C747" t="str">
            <v>记-0026</v>
          </cell>
          <cell r="D747" t="str">
            <v>058</v>
          </cell>
          <cell r="E747" t="str">
            <v>冬虫草</v>
          </cell>
          <cell r="F747" t="str">
            <v>收购产品</v>
          </cell>
          <cell r="G747">
            <v>36333.097260000002</v>
          </cell>
          <cell r="H747">
            <v>24.47</v>
          </cell>
          <cell r="I747">
            <v>889070.89</v>
          </cell>
          <cell r="J747">
            <v>0</v>
          </cell>
          <cell r="K747">
            <v>0</v>
          </cell>
          <cell r="L747" t="str">
            <v>借</v>
          </cell>
          <cell r="M747">
            <v>115.28</v>
          </cell>
          <cell r="N747">
            <v>0</v>
          </cell>
          <cell r="O747">
            <v>4023311.41</v>
          </cell>
        </row>
        <row r="748">
          <cell r="A748" t="str">
            <v>12</v>
          </cell>
          <cell r="B748" t="str">
            <v>11</v>
          </cell>
          <cell r="C748" t="str">
            <v>记-0035</v>
          </cell>
          <cell r="D748" t="str">
            <v>058</v>
          </cell>
          <cell r="E748" t="str">
            <v>冬虫草</v>
          </cell>
          <cell r="F748" t="str">
            <v>结转成本</v>
          </cell>
          <cell r="G748">
            <v>35910.599710000002</v>
          </cell>
          <cell r="H748">
            <v>0</v>
          </cell>
          <cell r="I748">
            <v>0</v>
          </cell>
          <cell r="J748">
            <v>34.5</v>
          </cell>
          <cell r="K748">
            <v>1238915.69</v>
          </cell>
          <cell r="L748" t="str">
            <v>借</v>
          </cell>
          <cell r="M748">
            <v>80.78</v>
          </cell>
          <cell r="N748">
            <v>0</v>
          </cell>
          <cell r="O748">
            <v>2784395.72</v>
          </cell>
        </row>
        <row r="749">
          <cell r="A749" t="str">
            <v>12</v>
          </cell>
          <cell r="B749" t="str">
            <v>11</v>
          </cell>
          <cell r="C749" t="str">
            <v>记-0035</v>
          </cell>
          <cell r="D749" t="str">
            <v>058</v>
          </cell>
          <cell r="E749" t="str">
            <v>冬虫草</v>
          </cell>
          <cell r="F749" t="str">
            <v>结转成本</v>
          </cell>
          <cell r="G749">
            <v>36333.097260000002</v>
          </cell>
          <cell r="H749">
            <v>0</v>
          </cell>
          <cell r="I749">
            <v>0</v>
          </cell>
          <cell r="J749">
            <v>24.47</v>
          </cell>
          <cell r="K749">
            <v>889070.89</v>
          </cell>
          <cell r="L749" t="str">
            <v>借</v>
          </cell>
          <cell r="M749">
            <v>56.31</v>
          </cell>
          <cell r="N749">
            <v>0</v>
          </cell>
          <cell r="O749">
            <v>1895324.83</v>
          </cell>
        </row>
        <row r="750">
          <cell r="A750" t="str">
            <v>12</v>
          </cell>
          <cell r="B750" t="str">
            <v>11</v>
          </cell>
          <cell r="C750" t="str">
            <v>记-0035</v>
          </cell>
          <cell r="D750" t="str">
            <v>058</v>
          </cell>
          <cell r="E750" t="str">
            <v>冬虫草</v>
          </cell>
          <cell r="F750" t="str">
            <v>结转成本</v>
          </cell>
          <cell r="G750">
            <v>33798.230239999997</v>
          </cell>
          <cell r="H750">
            <v>0</v>
          </cell>
          <cell r="I750">
            <v>0</v>
          </cell>
          <cell r="J750">
            <v>14.55</v>
          </cell>
          <cell r="K750">
            <v>491764.25</v>
          </cell>
          <cell r="L750" t="str">
            <v>借</v>
          </cell>
          <cell r="M750">
            <v>41.76</v>
          </cell>
          <cell r="N750">
            <v>0</v>
          </cell>
          <cell r="O750">
            <v>1403560.58</v>
          </cell>
        </row>
        <row r="751">
          <cell r="A751" t="str">
            <v>12</v>
          </cell>
          <cell r="B751" t="str">
            <v>11</v>
          </cell>
          <cell r="C751" t="str">
            <v>记-0035</v>
          </cell>
          <cell r="D751" t="str">
            <v>058</v>
          </cell>
          <cell r="E751" t="str">
            <v>冬虫草</v>
          </cell>
          <cell r="F751" t="str">
            <v>结转成本</v>
          </cell>
          <cell r="G751">
            <v>25348.67265</v>
          </cell>
          <cell r="H751">
            <v>0</v>
          </cell>
          <cell r="I751">
            <v>0</v>
          </cell>
          <cell r="J751">
            <v>41.76</v>
          </cell>
          <cell r="K751">
            <v>1058560.57</v>
          </cell>
          <cell r="L751" t="str">
            <v>借</v>
          </cell>
          <cell r="M751">
            <v>0</v>
          </cell>
          <cell r="N751">
            <v>0</v>
          </cell>
          <cell r="O751">
            <v>345000.01</v>
          </cell>
        </row>
        <row r="752">
          <cell r="A752" t="str">
            <v>12</v>
          </cell>
          <cell r="B752" t="str">
            <v>11</v>
          </cell>
          <cell r="C752" t="str">
            <v>记-0121</v>
          </cell>
          <cell r="D752" t="str">
            <v>058</v>
          </cell>
          <cell r="E752" t="str">
            <v>冬虫草</v>
          </cell>
          <cell r="F752" t="str">
            <v>合并名称</v>
          </cell>
          <cell r="G752">
            <v>0</v>
          </cell>
          <cell r="H752">
            <v>0</v>
          </cell>
          <cell r="I752">
            <v>-345000.01</v>
          </cell>
          <cell r="J752">
            <v>0</v>
          </cell>
          <cell r="K752">
            <v>0</v>
          </cell>
          <cell r="L752" t="str">
            <v>平</v>
          </cell>
          <cell r="M752">
            <v>0</v>
          </cell>
          <cell r="N752">
            <v>0</v>
          </cell>
          <cell r="O752">
            <v>0</v>
          </cell>
        </row>
        <row r="753">
          <cell r="A753" t="str">
            <v>12</v>
          </cell>
          <cell r="F753" t="str">
            <v>本月合计</v>
          </cell>
          <cell r="G753">
            <v>0</v>
          </cell>
          <cell r="H753">
            <v>115.28</v>
          </cell>
          <cell r="I753">
            <v>3333311.39</v>
          </cell>
          <cell r="J753">
            <v>115.28</v>
          </cell>
          <cell r="K753">
            <v>3678311.4</v>
          </cell>
          <cell r="L753" t="str">
            <v>平</v>
          </cell>
          <cell r="M753">
            <v>0</v>
          </cell>
          <cell r="N753">
            <v>0</v>
          </cell>
          <cell r="O753">
            <v>0</v>
          </cell>
        </row>
        <row r="754">
          <cell r="A754" t="str">
            <v>12</v>
          </cell>
          <cell r="E754" t="str">
            <v>冬虫草</v>
          </cell>
          <cell r="F754" t="str">
            <v>本年累计</v>
          </cell>
          <cell r="G754">
            <v>0</v>
          </cell>
          <cell r="H754">
            <v>8265.2389999999996</v>
          </cell>
          <cell r="I754">
            <v>16024085.52</v>
          </cell>
          <cell r="J754">
            <v>8265.2389999999996</v>
          </cell>
          <cell r="K754">
            <v>16024085.52</v>
          </cell>
          <cell r="L754" t="str">
            <v>平</v>
          </cell>
          <cell r="M754">
            <v>0</v>
          </cell>
          <cell r="N754">
            <v>0</v>
          </cell>
          <cell r="O754">
            <v>0</v>
          </cell>
        </row>
        <row r="755">
          <cell r="A755" t="str">
            <v>01</v>
          </cell>
          <cell r="B755" t="str">
            <v>31</v>
          </cell>
          <cell r="C755" t="str">
            <v>记-0030</v>
          </cell>
          <cell r="D755" t="str">
            <v>059</v>
          </cell>
          <cell r="E755" t="str">
            <v>血燕盏</v>
          </cell>
          <cell r="F755" t="str">
            <v>收购产品</v>
          </cell>
          <cell r="G755">
            <v>52.387230000000002</v>
          </cell>
          <cell r="H755">
            <v>130</v>
          </cell>
          <cell r="I755">
            <v>6810.34</v>
          </cell>
          <cell r="J755">
            <v>0</v>
          </cell>
          <cell r="K755">
            <v>0</v>
          </cell>
          <cell r="L755" t="str">
            <v>借</v>
          </cell>
          <cell r="M755">
            <v>130</v>
          </cell>
          <cell r="N755">
            <v>0</v>
          </cell>
          <cell r="O755">
            <v>6810.34</v>
          </cell>
        </row>
        <row r="756">
          <cell r="A756" t="str">
            <v>01</v>
          </cell>
          <cell r="B756" t="str">
            <v>31</v>
          </cell>
          <cell r="C756" t="str">
            <v>记-0030</v>
          </cell>
          <cell r="D756" t="str">
            <v>059</v>
          </cell>
          <cell r="E756" t="str">
            <v>血燕盏</v>
          </cell>
          <cell r="F756" t="str">
            <v>收购产品</v>
          </cell>
          <cell r="G756">
            <v>55.217860000000002</v>
          </cell>
          <cell r="H756">
            <v>1200</v>
          </cell>
          <cell r="I756">
            <v>66261.429999999993</v>
          </cell>
          <cell r="J756">
            <v>0</v>
          </cell>
          <cell r="K756">
            <v>0</v>
          </cell>
          <cell r="L756" t="str">
            <v>借</v>
          </cell>
          <cell r="M756">
            <v>1330</v>
          </cell>
          <cell r="N756">
            <v>0</v>
          </cell>
          <cell r="O756">
            <v>73071.77</v>
          </cell>
        </row>
        <row r="757">
          <cell r="A757" t="str">
            <v>01</v>
          </cell>
          <cell r="B757" t="str">
            <v>31</v>
          </cell>
          <cell r="C757" t="str">
            <v>记-0030</v>
          </cell>
          <cell r="D757" t="str">
            <v>059</v>
          </cell>
          <cell r="E757" t="str">
            <v>血燕盏</v>
          </cell>
          <cell r="F757" t="str">
            <v>收购产品</v>
          </cell>
          <cell r="G757">
            <v>66.540220000000005</v>
          </cell>
          <cell r="H757">
            <v>416</v>
          </cell>
          <cell r="I757">
            <v>27680.73</v>
          </cell>
          <cell r="J757">
            <v>0</v>
          </cell>
          <cell r="K757">
            <v>0</v>
          </cell>
          <cell r="L757" t="str">
            <v>借</v>
          </cell>
          <cell r="M757">
            <v>1746</v>
          </cell>
          <cell r="N757">
            <v>0</v>
          </cell>
          <cell r="O757">
            <v>100752.5</v>
          </cell>
        </row>
        <row r="758">
          <cell r="A758" t="str">
            <v>01</v>
          </cell>
          <cell r="B758" t="str">
            <v>31</v>
          </cell>
          <cell r="C758" t="str">
            <v>记-0035</v>
          </cell>
          <cell r="D758" t="str">
            <v>059</v>
          </cell>
          <cell r="E758" t="str">
            <v>血燕盏</v>
          </cell>
          <cell r="F758" t="str">
            <v>收购产品</v>
          </cell>
          <cell r="G758">
            <v>20419.766670000001</v>
          </cell>
          <cell r="H758">
            <v>12</v>
          </cell>
          <cell r="I758">
            <v>245037.2</v>
          </cell>
          <cell r="J758">
            <v>0</v>
          </cell>
          <cell r="K758">
            <v>0</v>
          </cell>
          <cell r="L758" t="str">
            <v>借</v>
          </cell>
          <cell r="M758">
            <v>1758</v>
          </cell>
          <cell r="N758">
            <v>0</v>
          </cell>
          <cell r="O758">
            <v>345789.7</v>
          </cell>
        </row>
        <row r="759">
          <cell r="A759" t="str">
            <v>01</v>
          </cell>
          <cell r="B759" t="str">
            <v>31</v>
          </cell>
          <cell r="C759" t="str">
            <v>记-0036</v>
          </cell>
          <cell r="D759" t="str">
            <v>059</v>
          </cell>
          <cell r="E759" t="str">
            <v>血燕盏</v>
          </cell>
          <cell r="F759" t="str">
            <v>收购产品</v>
          </cell>
          <cell r="G759">
            <v>17321.592919999999</v>
          </cell>
          <cell r="H759">
            <v>24</v>
          </cell>
          <cell r="I759">
            <v>415718.23</v>
          </cell>
          <cell r="J759">
            <v>0</v>
          </cell>
          <cell r="K759">
            <v>0</v>
          </cell>
          <cell r="L759" t="str">
            <v>借</v>
          </cell>
          <cell r="M759">
            <v>1782</v>
          </cell>
          <cell r="N759">
            <v>0</v>
          </cell>
          <cell r="O759">
            <v>761507.93</v>
          </cell>
        </row>
        <row r="760">
          <cell r="A760" t="str">
            <v>01</v>
          </cell>
          <cell r="B760" t="str">
            <v>31</v>
          </cell>
          <cell r="C760" t="str">
            <v>记-0037</v>
          </cell>
          <cell r="D760" t="str">
            <v>059</v>
          </cell>
          <cell r="E760" t="str">
            <v>血燕盏</v>
          </cell>
          <cell r="F760" t="str">
            <v>收购产品</v>
          </cell>
          <cell r="G760">
            <v>14645.89697</v>
          </cell>
          <cell r="H760">
            <v>13.2</v>
          </cell>
          <cell r="I760">
            <v>193325.84</v>
          </cell>
          <cell r="J760">
            <v>0</v>
          </cell>
          <cell r="K760">
            <v>0</v>
          </cell>
          <cell r="L760" t="str">
            <v>借</v>
          </cell>
          <cell r="M760">
            <v>1795.2</v>
          </cell>
          <cell r="N760">
            <v>0</v>
          </cell>
          <cell r="O760">
            <v>954833.77</v>
          </cell>
        </row>
        <row r="761">
          <cell r="A761" t="str">
            <v>01</v>
          </cell>
          <cell r="B761" t="str">
            <v>31</v>
          </cell>
          <cell r="C761" t="str">
            <v>记-0044</v>
          </cell>
          <cell r="D761" t="str">
            <v>059</v>
          </cell>
          <cell r="E761" t="str">
            <v>血燕盏</v>
          </cell>
          <cell r="F761" t="str">
            <v>结转销售成本</v>
          </cell>
          <cell r="G761">
            <v>55.217860000000002</v>
          </cell>
          <cell r="H761">
            <v>0</v>
          </cell>
          <cell r="I761">
            <v>0</v>
          </cell>
          <cell r="J761">
            <v>1200</v>
          </cell>
          <cell r="K761">
            <v>66261.429999999993</v>
          </cell>
          <cell r="L761" t="str">
            <v>借</v>
          </cell>
          <cell r="M761">
            <v>595.20000000000005</v>
          </cell>
          <cell r="N761">
            <v>0</v>
          </cell>
          <cell r="O761">
            <v>888572.34</v>
          </cell>
        </row>
        <row r="762">
          <cell r="A762" t="str">
            <v>01</v>
          </cell>
          <cell r="B762" t="str">
            <v>31</v>
          </cell>
          <cell r="C762" t="str">
            <v>记-0044</v>
          </cell>
          <cell r="D762" t="str">
            <v>059</v>
          </cell>
          <cell r="E762" t="str">
            <v>血燕盏</v>
          </cell>
          <cell r="F762" t="str">
            <v>结转销售成本</v>
          </cell>
          <cell r="G762">
            <v>66.540260000000004</v>
          </cell>
          <cell r="H762">
            <v>0</v>
          </cell>
          <cell r="I762">
            <v>0</v>
          </cell>
          <cell r="J762">
            <v>416</v>
          </cell>
          <cell r="K762">
            <v>27680.75</v>
          </cell>
          <cell r="L762" t="str">
            <v>借</v>
          </cell>
          <cell r="M762">
            <v>179.2</v>
          </cell>
          <cell r="N762">
            <v>0</v>
          </cell>
          <cell r="O762">
            <v>860891.59</v>
          </cell>
        </row>
        <row r="763">
          <cell r="A763" t="str">
            <v>01</v>
          </cell>
          <cell r="B763" t="str">
            <v>31</v>
          </cell>
          <cell r="C763" t="str">
            <v>记-0044</v>
          </cell>
          <cell r="D763" t="str">
            <v>059</v>
          </cell>
          <cell r="E763" t="str">
            <v>血燕盏</v>
          </cell>
          <cell r="F763" t="str">
            <v>结转销售成本</v>
          </cell>
          <cell r="G763">
            <v>52.387230000000002</v>
          </cell>
          <cell r="H763">
            <v>0</v>
          </cell>
          <cell r="I763">
            <v>0</v>
          </cell>
          <cell r="J763">
            <v>130</v>
          </cell>
          <cell r="K763">
            <v>6810.34</v>
          </cell>
          <cell r="L763" t="str">
            <v>借</v>
          </cell>
          <cell r="M763">
            <v>49.2</v>
          </cell>
          <cell r="N763">
            <v>0</v>
          </cell>
          <cell r="O763">
            <v>854081.25</v>
          </cell>
        </row>
        <row r="764">
          <cell r="A764" t="str">
            <v>01</v>
          </cell>
          <cell r="B764" t="str">
            <v>31</v>
          </cell>
          <cell r="C764" t="str">
            <v>记-0049</v>
          </cell>
          <cell r="D764" t="str">
            <v>059</v>
          </cell>
          <cell r="E764" t="str">
            <v>血燕盏</v>
          </cell>
          <cell r="F764" t="str">
            <v>结转销售成本</v>
          </cell>
          <cell r="G764">
            <v>20419.766670000001</v>
          </cell>
          <cell r="H764">
            <v>0</v>
          </cell>
          <cell r="I764">
            <v>0</v>
          </cell>
          <cell r="J764">
            <v>12</v>
          </cell>
          <cell r="K764">
            <v>245037.2</v>
          </cell>
          <cell r="L764" t="str">
            <v>借</v>
          </cell>
          <cell r="M764">
            <v>37.200000000000003</v>
          </cell>
          <cell r="N764">
            <v>0</v>
          </cell>
          <cell r="O764">
            <v>609044.05000000005</v>
          </cell>
        </row>
        <row r="765">
          <cell r="A765" t="str">
            <v>01</v>
          </cell>
          <cell r="B765" t="str">
            <v>31</v>
          </cell>
          <cell r="C765" t="str">
            <v>记-0050</v>
          </cell>
          <cell r="D765" t="str">
            <v>059</v>
          </cell>
          <cell r="E765" t="str">
            <v>血燕盏</v>
          </cell>
          <cell r="F765" t="str">
            <v>结转销售成本</v>
          </cell>
          <cell r="G765">
            <v>17321.592919999999</v>
          </cell>
          <cell r="H765">
            <v>0</v>
          </cell>
          <cell r="I765">
            <v>0</v>
          </cell>
          <cell r="J765">
            <v>24</v>
          </cell>
          <cell r="K765">
            <v>415718.23</v>
          </cell>
          <cell r="L765" t="str">
            <v>借</v>
          </cell>
          <cell r="M765">
            <v>13.2</v>
          </cell>
          <cell r="N765">
            <v>0</v>
          </cell>
          <cell r="O765">
            <v>193325.82</v>
          </cell>
        </row>
        <row r="766">
          <cell r="A766" t="str">
            <v>01</v>
          </cell>
          <cell r="B766" t="str">
            <v>31</v>
          </cell>
          <cell r="C766" t="str">
            <v>记-0051</v>
          </cell>
          <cell r="D766" t="str">
            <v>059</v>
          </cell>
          <cell r="E766" t="str">
            <v>血燕盏</v>
          </cell>
          <cell r="F766" t="str">
            <v>结转销售成本</v>
          </cell>
          <cell r="G766">
            <v>14645.89697</v>
          </cell>
          <cell r="H766">
            <v>0</v>
          </cell>
          <cell r="I766">
            <v>0</v>
          </cell>
          <cell r="J766">
            <v>13.2</v>
          </cell>
          <cell r="K766">
            <v>193325.84</v>
          </cell>
          <cell r="L766" t="str">
            <v>贷</v>
          </cell>
          <cell r="M766">
            <v>0</v>
          </cell>
          <cell r="N766">
            <v>0</v>
          </cell>
          <cell r="O766">
            <v>0.02</v>
          </cell>
        </row>
        <row r="767">
          <cell r="A767" t="str">
            <v>01</v>
          </cell>
          <cell r="F767" t="str">
            <v>本月合计</v>
          </cell>
          <cell r="G767">
            <v>0</v>
          </cell>
          <cell r="H767">
            <v>1795.2</v>
          </cell>
          <cell r="I767">
            <v>954833.77</v>
          </cell>
          <cell r="J767">
            <v>1795.2</v>
          </cell>
          <cell r="K767">
            <v>954833.79</v>
          </cell>
          <cell r="L767" t="str">
            <v>贷</v>
          </cell>
          <cell r="M767">
            <v>0</v>
          </cell>
          <cell r="N767">
            <v>433038425708.70203</v>
          </cell>
          <cell r="O767">
            <v>0.02</v>
          </cell>
        </row>
        <row r="768">
          <cell r="A768" t="str">
            <v>01</v>
          </cell>
          <cell r="F768" t="str">
            <v>累    计</v>
          </cell>
          <cell r="G768">
            <v>0</v>
          </cell>
          <cell r="H768">
            <v>1795.2</v>
          </cell>
          <cell r="I768">
            <v>954833.77</v>
          </cell>
          <cell r="J768">
            <v>1795.2</v>
          </cell>
          <cell r="K768">
            <v>954833.79</v>
          </cell>
          <cell r="L768" t="str">
            <v>贷</v>
          </cell>
          <cell r="M768">
            <v>0</v>
          </cell>
          <cell r="N768">
            <v>433038425708.70203</v>
          </cell>
          <cell r="O768">
            <v>0.02</v>
          </cell>
        </row>
        <row r="769">
          <cell r="A769" t="str">
            <v>02</v>
          </cell>
          <cell r="B769" t="str">
            <v>28</v>
          </cell>
          <cell r="C769" t="str">
            <v>记-0060</v>
          </cell>
          <cell r="D769" t="str">
            <v>059</v>
          </cell>
          <cell r="E769" t="str">
            <v>血燕盏</v>
          </cell>
          <cell r="F769" t="str">
            <v>结转成本</v>
          </cell>
          <cell r="G769">
            <v>52.387270000000001</v>
          </cell>
          <cell r="H769">
            <v>0</v>
          </cell>
          <cell r="I769">
            <v>0</v>
          </cell>
          <cell r="J769">
            <v>300</v>
          </cell>
          <cell r="K769">
            <v>15716.18</v>
          </cell>
          <cell r="L769" t="str">
            <v>贷</v>
          </cell>
          <cell r="M769">
            <v>300</v>
          </cell>
          <cell r="N769">
            <v>0</v>
          </cell>
          <cell r="O769">
            <v>15716.2</v>
          </cell>
        </row>
        <row r="770">
          <cell r="A770" t="str">
            <v>02</v>
          </cell>
          <cell r="B770" t="str">
            <v>28</v>
          </cell>
          <cell r="C770" t="str">
            <v>记-0061</v>
          </cell>
          <cell r="D770" t="str">
            <v>059</v>
          </cell>
          <cell r="E770" t="str">
            <v>血燕盏</v>
          </cell>
          <cell r="F770" t="str">
            <v>结转成本</v>
          </cell>
          <cell r="G770">
            <v>51.964779999999998</v>
          </cell>
          <cell r="H770">
            <v>0</v>
          </cell>
          <cell r="I770">
            <v>0</v>
          </cell>
          <cell r="J770">
            <v>1200</v>
          </cell>
          <cell r="K770">
            <v>62357.73</v>
          </cell>
          <cell r="L770" t="str">
            <v>贷</v>
          </cell>
          <cell r="M770">
            <v>1500</v>
          </cell>
          <cell r="N770">
            <v>0</v>
          </cell>
          <cell r="O770">
            <v>78073.929999999993</v>
          </cell>
        </row>
        <row r="771">
          <cell r="A771" t="str">
            <v>02</v>
          </cell>
          <cell r="B771" t="str">
            <v>28</v>
          </cell>
          <cell r="C771" t="str">
            <v>记-0062</v>
          </cell>
          <cell r="D771" t="str">
            <v>059</v>
          </cell>
          <cell r="E771" t="str">
            <v>血燕盏</v>
          </cell>
          <cell r="F771" t="str">
            <v>结转成本</v>
          </cell>
          <cell r="G771">
            <v>17321.593079999999</v>
          </cell>
          <cell r="H771">
            <v>0</v>
          </cell>
          <cell r="I771">
            <v>0</v>
          </cell>
          <cell r="J771">
            <v>15.9</v>
          </cell>
          <cell r="K771">
            <v>275413.33</v>
          </cell>
          <cell r="L771" t="str">
            <v>贷</v>
          </cell>
          <cell r="M771">
            <v>1515.9</v>
          </cell>
          <cell r="N771">
            <v>0</v>
          </cell>
          <cell r="O771">
            <v>353487.26</v>
          </cell>
        </row>
        <row r="772">
          <cell r="A772" t="str">
            <v>02</v>
          </cell>
          <cell r="B772" t="str">
            <v>28</v>
          </cell>
          <cell r="C772" t="str">
            <v>记-0062</v>
          </cell>
          <cell r="D772" t="str">
            <v>059</v>
          </cell>
          <cell r="E772" t="str">
            <v>血燕盏</v>
          </cell>
          <cell r="F772" t="str">
            <v>结转成本</v>
          </cell>
          <cell r="G772">
            <v>20419.766670000001</v>
          </cell>
          <cell r="H772">
            <v>0</v>
          </cell>
          <cell r="I772">
            <v>0</v>
          </cell>
          <cell r="J772">
            <v>9</v>
          </cell>
          <cell r="K772">
            <v>183777.9</v>
          </cell>
          <cell r="L772" t="str">
            <v>贷</v>
          </cell>
          <cell r="M772">
            <v>1524.9</v>
          </cell>
          <cell r="N772">
            <v>0</v>
          </cell>
          <cell r="O772">
            <v>537265.16</v>
          </cell>
        </row>
        <row r="773">
          <cell r="A773" t="str">
            <v>02</v>
          </cell>
          <cell r="B773" t="str">
            <v>28</v>
          </cell>
          <cell r="C773" t="str">
            <v>记-0063</v>
          </cell>
          <cell r="D773" t="str">
            <v>059</v>
          </cell>
          <cell r="E773" t="str">
            <v>血燕盏</v>
          </cell>
          <cell r="F773" t="str">
            <v>结转成本</v>
          </cell>
          <cell r="G773">
            <v>59.146900000000002</v>
          </cell>
          <cell r="H773">
            <v>0</v>
          </cell>
          <cell r="I773">
            <v>0</v>
          </cell>
          <cell r="J773">
            <v>1500</v>
          </cell>
          <cell r="K773">
            <v>88720.35</v>
          </cell>
          <cell r="L773" t="str">
            <v>贷</v>
          </cell>
          <cell r="M773">
            <v>3024.9</v>
          </cell>
          <cell r="N773">
            <v>0</v>
          </cell>
          <cell r="O773">
            <v>625985.51</v>
          </cell>
        </row>
        <row r="774">
          <cell r="A774" t="str">
            <v>02</v>
          </cell>
          <cell r="B774" t="str">
            <v>28</v>
          </cell>
          <cell r="C774" t="str">
            <v>记-0063</v>
          </cell>
          <cell r="D774" t="str">
            <v>059</v>
          </cell>
          <cell r="E774" t="str">
            <v>血燕盏</v>
          </cell>
          <cell r="F774" t="str">
            <v>结转成本</v>
          </cell>
          <cell r="G774">
            <v>56.61204</v>
          </cell>
          <cell r="H774">
            <v>0</v>
          </cell>
          <cell r="I774">
            <v>0</v>
          </cell>
          <cell r="J774">
            <v>1000</v>
          </cell>
          <cell r="K774">
            <v>56612.04</v>
          </cell>
          <cell r="L774" t="str">
            <v>贷</v>
          </cell>
          <cell r="M774">
            <v>4024.9</v>
          </cell>
          <cell r="N774">
            <v>0</v>
          </cell>
          <cell r="O774">
            <v>682597.55</v>
          </cell>
        </row>
        <row r="775">
          <cell r="A775" t="str">
            <v>02</v>
          </cell>
          <cell r="B775" t="str">
            <v>28</v>
          </cell>
          <cell r="C775" t="str">
            <v>记-0065</v>
          </cell>
          <cell r="D775" t="str">
            <v>059</v>
          </cell>
          <cell r="E775" t="str">
            <v>血燕盏</v>
          </cell>
          <cell r="F775" t="str">
            <v>收购产品</v>
          </cell>
          <cell r="G775">
            <v>51.964779999999998</v>
          </cell>
          <cell r="H775">
            <v>1200</v>
          </cell>
          <cell r="I775">
            <v>62357.73</v>
          </cell>
          <cell r="J775">
            <v>0</v>
          </cell>
          <cell r="K775">
            <v>0</v>
          </cell>
          <cell r="L775" t="str">
            <v>贷</v>
          </cell>
          <cell r="M775">
            <v>2824.9</v>
          </cell>
          <cell r="N775">
            <v>0</v>
          </cell>
          <cell r="O775">
            <v>620239.81999999995</v>
          </cell>
        </row>
        <row r="776">
          <cell r="A776" t="str">
            <v>02</v>
          </cell>
          <cell r="B776" t="str">
            <v>28</v>
          </cell>
          <cell r="C776" t="str">
            <v>记-0066</v>
          </cell>
          <cell r="D776" t="str">
            <v>059</v>
          </cell>
          <cell r="E776" t="str">
            <v>血燕盏</v>
          </cell>
          <cell r="F776" t="str">
            <v>收购产品</v>
          </cell>
          <cell r="G776">
            <v>17321.593079999999</v>
          </cell>
          <cell r="H776">
            <v>15.9</v>
          </cell>
          <cell r="I776">
            <v>275413.33</v>
          </cell>
          <cell r="J776">
            <v>0</v>
          </cell>
          <cell r="K776">
            <v>0</v>
          </cell>
          <cell r="L776" t="str">
            <v>贷</v>
          </cell>
          <cell r="M776">
            <v>2809</v>
          </cell>
          <cell r="N776">
            <v>0</v>
          </cell>
          <cell r="O776">
            <v>344826.49</v>
          </cell>
        </row>
        <row r="777">
          <cell r="A777" t="str">
            <v>02</v>
          </cell>
          <cell r="B777" t="str">
            <v>28</v>
          </cell>
          <cell r="C777" t="str">
            <v>记-0066</v>
          </cell>
          <cell r="D777" t="str">
            <v>059</v>
          </cell>
          <cell r="E777" t="str">
            <v>血燕盏</v>
          </cell>
          <cell r="F777" t="str">
            <v>收购产品</v>
          </cell>
          <cell r="G777">
            <v>20419.766670000001</v>
          </cell>
          <cell r="H777">
            <v>9</v>
          </cell>
          <cell r="I777">
            <v>183777.9</v>
          </cell>
          <cell r="J777">
            <v>0</v>
          </cell>
          <cell r="K777">
            <v>0</v>
          </cell>
          <cell r="L777" t="str">
            <v>贷</v>
          </cell>
          <cell r="M777">
            <v>2800</v>
          </cell>
          <cell r="N777">
            <v>0</v>
          </cell>
          <cell r="O777">
            <v>161048.59</v>
          </cell>
        </row>
        <row r="778">
          <cell r="A778" t="str">
            <v>02</v>
          </cell>
          <cell r="B778" t="str">
            <v>28</v>
          </cell>
          <cell r="C778" t="str">
            <v>记-0067</v>
          </cell>
          <cell r="D778" t="str">
            <v>059</v>
          </cell>
          <cell r="E778" t="str">
            <v>血燕盏</v>
          </cell>
          <cell r="F778" t="str">
            <v>收购产品</v>
          </cell>
          <cell r="G778">
            <v>52.387270000000001</v>
          </cell>
          <cell r="H778">
            <v>300</v>
          </cell>
          <cell r="I778">
            <v>15716.18</v>
          </cell>
          <cell r="J778">
            <v>0</v>
          </cell>
          <cell r="K778">
            <v>0</v>
          </cell>
          <cell r="L778" t="str">
            <v>贷</v>
          </cell>
          <cell r="M778">
            <v>2500</v>
          </cell>
          <cell r="N778">
            <v>0</v>
          </cell>
          <cell r="O778">
            <v>145332.41</v>
          </cell>
        </row>
        <row r="779">
          <cell r="A779" t="str">
            <v>02</v>
          </cell>
          <cell r="B779" t="str">
            <v>28</v>
          </cell>
          <cell r="C779" t="str">
            <v>记-0069</v>
          </cell>
          <cell r="D779" t="str">
            <v>059</v>
          </cell>
          <cell r="E779" t="str">
            <v>血燕盏</v>
          </cell>
          <cell r="F779" t="str">
            <v>收购产品</v>
          </cell>
          <cell r="G779">
            <v>59.146900000000002</v>
          </cell>
          <cell r="H779">
            <v>1500</v>
          </cell>
          <cell r="I779">
            <v>88720.35</v>
          </cell>
          <cell r="J779">
            <v>0</v>
          </cell>
          <cell r="K779">
            <v>0</v>
          </cell>
          <cell r="L779" t="str">
            <v>贷</v>
          </cell>
          <cell r="M779">
            <v>1000</v>
          </cell>
          <cell r="N779">
            <v>0</v>
          </cell>
          <cell r="O779">
            <v>56612.06</v>
          </cell>
        </row>
        <row r="780">
          <cell r="A780" t="str">
            <v>02</v>
          </cell>
          <cell r="B780" t="str">
            <v>28</v>
          </cell>
          <cell r="C780" t="str">
            <v>记-0069</v>
          </cell>
          <cell r="D780" t="str">
            <v>059</v>
          </cell>
          <cell r="E780" t="str">
            <v>血燕盏</v>
          </cell>
          <cell r="F780" t="str">
            <v>收购产品</v>
          </cell>
          <cell r="G780">
            <v>56.61204</v>
          </cell>
          <cell r="H780">
            <v>1000</v>
          </cell>
          <cell r="I780">
            <v>56612.04</v>
          </cell>
          <cell r="J780">
            <v>0</v>
          </cell>
          <cell r="K780">
            <v>0</v>
          </cell>
          <cell r="L780" t="str">
            <v>贷</v>
          </cell>
          <cell r="M780">
            <v>0</v>
          </cell>
          <cell r="N780">
            <v>0</v>
          </cell>
          <cell r="O780">
            <v>0.02</v>
          </cell>
        </row>
        <row r="781">
          <cell r="A781" t="str">
            <v>02</v>
          </cell>
          <cell r="F781" t="str">
            <v>本月合计</v>
          </cell>
          <cell r="G781">
            <v>0</v>
          </cell>
          <cell r="H781">
            <v>4024.9</v>
          </cell>
          <cell r="I781">
            <v>682597.53</v>
          </cell>
          <cell r="J781">
            <v>4024.9</v>
          </cell>
          <cell r="K781">
            <v>682597.53</v>
          </cell>
          <cell r="L781" t="str">
            <v>贷</v>
          </cell>
          <cell r="M781">
            <v>0</v>
          </cell>
          <cell r="N781">
            <v>0</v>
          </cell>
          <cell r="O781">
            <v>0.02</v>
          </cell>
        </row>
        <row r="782">
          <cell r="A782" t="str">
            <v>02</v>
          </cell>
          <cell r="F782" t="str">
            <v>累    计</v>
          </cell>
          <cell r="G782">
            <v>0</v>
          </cell>
          <cell r="H782">
            <v>5820.1</v>
          </cell>
          <cell r="I782">
            <v>1637431.3</v>
          </cell>
          <cell r="J782">
            <v>5820.1</v>
          </cell>
          <cell r="K782">
            <v>1637431.32</v>
          </cell>
          <cell r="L782" t="str">
            <v>贷</v>
          </cell>
          <cell r="M782">
            <v>0</v>
          </cell>
          <cell r="N782">
            <v>0</v>
          </cell>
          <cell r="O782">
            <v>0.02</v>
          </cell>
        </row>
        <row r="783">
          <cell r="A783" t="str">
            <v>04</v>
          </cell>
          <cell r="B783" t="str">
            <v>30</v>
          </cell>
          <cell r="C783" t="str">
            <v>记-0041</v>
          </cell>
          <cell r="D783" t="str">
            <v>059</v>
          </cell>
          <cell r="E783" t="str">
            <v>血燕盏</v>
          </cell>
          <cell r="F783" t="str">
            <v>收购产品</v>
          </cell>
          <cell r="G783">
            <v>47317.511109999999</v>
          </cell>
          <cell r="H783">
            <v>0.9</v>
          </cell>
          <cell r="I783">
            <v>42585.760000000002</v>
          </cell>
          <cell r="J783">
            <v>0</v>
          </cell>
          <cell r="K783">
            <v>0</v>
          </cell>
          <cell r="L783" t="str">
            <v>借</v>
          </cell>
          <cell r="M783">
            <v>0.9</v>
          </cell>
          <cell r="N783">
            <v>0</v>
          </cell>
          <cell r="O783">
            <v>42585.74</v>
          </cell>
        </row>
        <row r="784">
          <cell r="A784" t="str">
            <v>04</v>
          </cell>
          <cell r="B784" t="str">
            <v>30</v>
          </cell>
          <cell r="C784" t="str">
            <v>记-0042</v>
          </cell>
          <cell r="D784" t="str">
            <v>059</v>
          </cell>
          <cell r="E784" t="str">
            <v>血燕盏</v>
          </cell>
          <cell r="F784" t="str">
            <v>收购产品</v>
          </cell>
          <cell r="G784">
            <v>37.178049999999999</v>
          </cell>
          <cell r="H784">
            <v>200</v>
          </cell>
          <cell r="I784">
            <v>7435.61</v>
          </cell>
          <cell r="J784">
            <v>0</v>
          </cell>
          <cell r="K784">
            <v>0</v>
          </cell>
          <cell r="L784" t="str">
            <v>借</v>
          </cell>
          <cell r="M784">
            <v>200.9</v>
          </cell>
          <cell r="N784">
            <v>0</v>
          </cell>
          <cell r="O784">
            <v>50021.35</v>
          </cell>
        </row>
        <row r="785">
          <cell r="A785" t="str">
            <v>04</v>
          </cell>
          <cell r="B785" t="str">
            <v>30</v>
          </cell>
          <cell r="C785" t="str">
            <v>记-0043</v>
          </cell>
          <cell r="D785" t="str">
            <v>059</v>
          </cell>
          <cell r="E785" t="str">
            <v>血燕盏</v>
          </cell>
          <cell r="F785" t="str">
            <v>收购产品</v>
          </cell>
          <cell r="G785">
            <v>47.317520000000002</v>
          </cell>
          <cell r="H785">
            <v>980</v>
          </cell>
          <cell r="I785">
            <v>46371.17</v>
          </cell>
          <cell r="J785">
            <v>0</v>
          </cell>
          <cell r="K785">
            <v>0</v>
          </cell>
          <cell r="L785" t="str">
            <v>借</v>
          </cell>
          <cell r="M785">
            <v>1180.9000000000001</v>
          </cell>
          <cell r="N785">
            <v>0</v>
          </cell>
          <cell r="O785">
            <v>96392.52</v>
          </cell>
        </row>
        <row r="786">
          <cell r="A786" t="str">
            <v>04</v>
          </cell>
          <cell r="B786" t="str">
            <v>30</v>
          </cell>
          <cell r="C786" t="str">
            <v>记-0043</v>
          </cell>
          <cell r="D786" t="str">
            <v>059</v>
          </cell>
          <cell r="E786" t="str">
            <v>血燕盏</v>
          </cell>
          <cell r="F786" t="str">
            <v>收购产品</v>
          </cell>
          <cell r="G786">
            <v>36.333100000000002</v>
          </cell>
          <cell r="H786">
            <v>1000</v>
          </cell>
          <cell r="I786">
            <v>36333.1</v>
          </cell>
          <cell r="J786">
            <v>0</v>
          </cell>
          <cell r="K786">
            <v>0</v>
          </cell>
          <cell r="L786" t="str">
            <v>借</v>
          </cell>
          <cell r="M786">
            <v>2180.9</v>
          </cell>
          <cell r="N786">
            <v>0</v>
          </cell>
          <cell r="O786">
            <v>132725.62</v>
          </cell>
        </row>
        <row r="787">
          <cell r="A787" t="str">
            <v>04</v>
          </cell>
          <cell r="B787" t="str">
            <v>30</v>
          </cell>
          <cell r="C787" t="str">
            <v>记-0044</v>
          </cell>
          <cell r="D787" t="str">
            <v>059</v>
          </cell>
          <cell r="E787" t="str">
            <v>血燕盏</v>
          </cell>
          <cell r="F787" t="str">
            <v>转成本</v>
          </cell>
          <cell r="G787">
            <v>37.178049999999999</v>
          </cell>
          <cell r="H787">
            <v>0</v>
          </cell>
          <cell r="I787">
            <v>0</v>
          </cell>
          <cell r="J787">
            <v>200</v>
          </cell>
          <cell r="K787">
            <v>7435.61</v>
          </cell>
          <cell r="L787" t="str">
            <v>借</v>
          </cell>
          <cell r="M787">
            <v>1980.9</v>
          </cell>
          <cell r="N787">
            <v>0</v>
          </cell>
          <cell r="O787">
            <v>125290.01</v>
          </cell>
        </row>
        <row r="788">
          <cell r="A788" t="str">
            <v>04</v>
          </cell>
          <cell r="B788" t="str">
            <v>30</v>
          </cell>
          <cell r="C788" t="str">
            <v>记-0045</v>
          </cell>
          <cell r="D788" t="str">
            <v>059</v>
          </cell>
          <cell r="E788" t="str">
            <v>血燕盏</v>
          </cell>
          <cell r="F788" t="str">
            <v>转成本</v>
          </cell>
          <cell r="G788">
            <v>47317.522219999999</v>
          </cell>
          <cell r="H788">
            <v>0</v>
          </cell>
          <cell r="I788">
            <v>0</v>
          </cell>
          <cell r="J788">
            <v>0.9</v>
          </cell>
          <cell r="K788">
            <v>42585.77</v>
          </cell>
          <cell r="L788" t="str">
            <v>借</v>
          </cell>
          <cell r="M788">
            <v>1980</v>
          </cell>
          <cell r="N788">
            <v>0</v>
          </cell>
          <cell r="O788">
            <v>82704.240000000005</v>
          </cell>
        </row>
        <row r="789">
          <cell r="A789" t="str">
            <v>04</v>
          </cell>
          <cell r="B789" t="str">
            <v>30</v>
          </cell>
          <cell r="C789" t="str">
            <v>记-0046</v>
          </cell>
          <cell r="D789" t="str">
            <v>059</v>
          </cell>
          <cell r="E789" t="str">
            <v>血燕盏</v>
          </cell>
          <cell r="F789" t="str">
            <v>转成本</v>
          </cell>
          <cell r="G789">
            <v>47.317520000000002</v>
          </cell>
          <cell r="H789">
            <v>0</v>
          </cell>
          <cell r="I789">
            <v>0</v>
          </cell>
          <cell r="J789">
            <v>980</v>
          </cell>
          <cell r="K789">
            <v>46371.17</v>
          </cell>
          <cell r="L789" t="str">
            <v>借</v>
          </cell>
          <cell r="M789">
            <v>1000</v>
          </cell>
          <cell r="N789">
            <v>0</v>
          </cell>
          <cell r="O789">
            <v>36333.07</v>
          </cell>
        </row>
        <row r="790">
          <cell r="A790" t="str">
            <v>04</v>
          </cell>
          <cell r="B790" t="str">
            <v>30</v>
          </cell>
          <cell r="C790" t="str">
            <v>记-0046</v>
          </cell>
          <cell r="D790" t="str">
            <v>059</v>
          </cell>
          <cell r="E790" t="str">
            <v>血燕盏</v>
          </cell>
          <cell r="F790" t="str">
            <v>转成本</v>
          </cell>
          <cell r="G790">
            <v>36.333100000000002</v>
          </cell>
          <cell r="H790">
            <v>0</v>
          </cell>
          <cell r="I790">
            <v>0</v>
          </cell>
          <cell r="J790">
            <v>1000</v>
          </cell>
          <cell r="K790">
            <v>36333.1</v>
          </cell>
          <cell r="L790" t="str">
            <v>贷</v>
          </cell>
          <cell r="M790">
            <v>0</v>
          </cell>
          <cell r="N790">
            <v>0</v>
          </cell>
          <cell r="O790">
            <v>0.03</v>
          </cell>
        </row>
        <row r="791">
          <cell r="A791" t="str">
            <v>04</v>
          </cell>
          <cell r="F791" t="str">
            <v>本月合计</v>
          </cell>
          <cell r="G791">
            <v>0</v>
          </cell>
          <cell r="H791">
            <v>2180.9</v>
          </cell>
          <cell r="I791">
            <v>132725.64000000001</v>
          </cell>
          <cell r="J791">
            <v>2180.9</v>
          </cell>
          <cell r="K791">
            <v>132725.65</v>
          </cell>
          <cell r="L791" t="str">
            <v>贷</v>
          </cell>
          <cell r="M791">
            <v>0</v>
          </cell>
          <cell r="N791">
            <v>0</v>
          </cell>
          <cell r="O791">
            <v>0.03</v>
          </cell>
        </row>
        <row r="792">
          <cell r="A792" t="str">
            <v>04</v>
          </cell>
          <cell r="F792" t="str">
            <v>累    计</v>
          </cell>
          <cell r="G792">
            <v>0</v>
          </cell>
          <cell r="H792">
            <v>8001</v>
          </cell>
          <cell r="I792">
            <v>1770156.94</v>
          </cell>
          <cell r="J792">
            <v>8001</v>
          </cell>
          <cell r="K792">
            <v>1770156.97</v>
          </cell>
          <cell r="L792" t="str">
            <v>贷</v>
          </cell>
          <cell r="M792">
            <v>0</v>
          </cell>
          <cell r="N792">
            <v>0</v>
          </cell>
          <cell r="O792">
            <v>0.03</v>
          </cell>
        </row>
        <row r="793">
          <cell r="A793" t="str">
            <v>05</v>
          </cell>
          <cell r="B793" t="str">
            <v>31</v>
          </cell>
          <cell r="C793" t="str">
            <v>记-0033</v>
          </cell>
          <cell r="D793" t="str">
            <v>059</v>
          </cell>
          <cell r="E793" t="str">
            <v>血燕盏</v>
          </cell>
          <cell r="F793" t="str">
            <v>转成本</v>
          </cell>
          <cell r="G793">
            <v>29.573450000000001</v>
          </cell>
          <cell r="H793">
            <v>0</v>
          </cell>
          <cell r="I793">
            <v>0</v>
          </cell>
          <cell r="J793">
            <v>1000</v>
          </cell>
          <cell r="K793">
            <v>29573.45</v>
          </cell>
          <cell r="L793" t="str">
            <v>贷</v>
          </cell>
          <cell r="M793">
            <v>1000</v>
          </cell>
          <cell r="N793">
            <v>0</v>
          </cell>
          <cell r="O793">
            <v>29573.48</v>
          </cell>
        </row>
        <row r="794">
          <cell r="A794" t="str">
            <v>05</v>
          </cell>
          <cell r="B794" t="str">
            <v>31</v>
          </cell>
          <cell r="C794" t="str">
            <v>记-0034</v>
          </cell>
          <cell r="D794" t="str">
            <v>059</v>
          </cell>
          <cell r="E794" t="str">
            <v>血燕盏</v>
          </cell>
          <cell r="F794" t="str">
            <v>转成本</v>
          </cell>
          <cell r="G794">
            <v>35.910620000000002</v>
          </cell>
          <cell r="H794">
            <v>0</v>
          </cell>
          <cell r="I794">
            <v>0</v>
          </cell>
          <cell r="J794">
            <v>1000</v>
          </cell>
          <cell r="K794">
            <v>35910.620000000003</v>
          </cell>
          <cell r="L794" t="str">
            <v>贷</v>
          </cell>
          <cell r="M794">
            <v>2000</v>
          </cell>
          <cell r="N794">
            <v>0</v>
          </cell>
          <cell r="O794">
            <v>65484.1</v>
          </cell>
        </row>
        <row r="795">
          <cell r="A795" t="str">
            <v>05</v>
          </cell>
          <cell r="B795" t="str">
            <v>31</v>
          </cell>
          <cell r="C795" t="str">
            <v>记-0084</v>
          </cell>
          <cell r="D795" t="str">
            <v>059</v>
          </cell>
          <cell r="E795" t="str">
            <v>血燕盏</v>
          </cell>
          <cell r="F795" t="str">
            <v>调整4月41号凭</v>
          </cell>
          <cell r="G795">
            <v>47317.511109999999</v>
          </cell>
          <cell r="H795">
            <v>-0.9</v>
          </cell>
          <cell r="I795">
            <v>-42585.760000000002</v>
          </cell>
          <cell r="J795">
            <v>0</v>
          </cell>
          <cell r="K795">
            <v>0</v>
          </cell>
          <cell r="L795" t="str">
            <v>贷</v>
          </cell>
          <cell r="M795">
            <v>2000.9</v>
          </cell>
          <cell r="N795">
            <v>0</v>
          </cell>
          <cell r="O795">
            <v>108069.86</v>
          </cell>
        </row>
        <row r="796">
          <cell r="A796" t="str">
            <v>05</v>
          </cell>
          <cell r="B796" t="str">
            <v>31</v>
          </cell>
          <cell r="C796" t="str">
            <v>记-0085</v>
          </cell>
          <cell r="D796" t="str">
            <v>059</v>
          </cell>
          <cell r="E796" t="str">
            <v>血燕盏</v>
          </cell>
          <cell r="F796" t="str">
            <v>调整4月41号凭</v>
          </cell>
          <cell r="G796">
            <v>47317.511109999999</v>
          </cell>
          <cell r="H796">
            <v>0.9</v>
          </cell>
          <cell r="I796">
            <v>42585.760000000002</v>
          </cell>
          <cell r="J796">
            <v>0</v>
          </cell>
          <cell r="K796">
            <v>0</v>
          </cell>
          <cell r="L796" t="str">
            <v>贷</v>
          </cell>
          <cell r="M796">
            <v>2000</v>
          </cell>
          <cell r="N796">
            <v>0</v>
          </cell>
          <cell r="O796">
            <v>65484.1</v>
          </cell>
        </row>
        <row r="797">
          <cell r="A797" t="str">
            <v>05</v>
          </cell>
          <cell r="B797" t="str">
            <v>31</v>
          </cell>
          <cell r="C797" t="str">
            <v>记-0088</v>
          </cell>
          <cell r="D797" t="str">
            <v>059</v>
          </cell>
          <cell r="E797" t="str">
            <v>血燕盏</v>
          </cell>
          <cell r="F797" t="str">
            <v>收购产品</v>
          </cell>
          <cell r="G797">
            <v>29.573450000000001</v>
          </cell>
          <cell r="H797">
            <v>1000</v>
          </cell>
          <cell r="I797">
            <v>29573.45</v>
          </cell>
          <cell r="J797">
            <v>0</v>
          </cell>
          <cell r="K797">
            <v>0</v>
          </cell>
          <cell r="L797" t="str">
            <v>贷</v>
          </cell>
          <cell r="M797">
            <v>1000</v>
          </cell>
          <cell r="N797">
            <v>0</v>
          </cell>
          <cell r="O797">
            <v>35910.65</v>
          </cell>
        </row>
        <row r="798">
          <cell r="A798" t="str">
            <v>05</v>
          </cell>
          <cell r="B798" t="str">
            <v>31</v>
          </cell>
          <cell r="C798" t="str">
            <v>记-0088</v>
          </cell>
          <cell r="D798" t="str">
            <v>059</v>
          </cell>
          <cell r="E798" t="str">
            <v>血燕盏</v>
          </cell>
          <cell r="F798" t="str">
            <v>收购产品</v>
          </cell>
          <cell r="G798">
            <v>35.910620000000002</v>
          </cell>
          <cell r="H798">
            <v>1000</v>
          </cell>
          <cell r="I798">
            <v>35910.620000000003</v>
          </cell>
          <cell r="J798">
            <v>0</v>
          </cell>
          <cell r="K798">
            <v>0</v>
          </cell>
          <cell r="L798" t="str">
            <v>贷</v>
          </cell>
          <cell r="M798">
            <v>0</v>
          </cell>
          <cell r="N798">
            <v>0</v>
          </cell>
          <cell r="O798">
            <v>0.03</v>
          </cell>
        </row>
        <row r="799">
          <cell r="A799" t="str">
            <v>05</v>
          </cell>
          <cell r="F799" t="str">
            <v>本月合计</v>
          </cell>
          <cell r="G799">
            <v>0</v>
          </cell>
          <cell r="H799">
            <v>2000</v>
          </cell>
          <cell r="I799">
            <v>65484.07</v>
          </cell>
          <cell r="J799">
            <v>2000</v>
          </cell>
          <cell r="K799">
            <v>65484.07</v>
          </cell>
          <cell r="L799" t="str">
            <v>贷</v>
          </cell>
          <cell r="M799">
            <v>0</v>
          </cell>
          <cell r="N799">
            <v>0</v>
          </cell>
          <cell r="O799">
            <v>0.03</v>
          </cell>
        </row>
        <row r="800">
          <cell r="A800" t="str">
            <v>05</v>
          </cell>
          <cell r="F800" t="str">
            <v>累    计</v>
          </cell>
          <cell r="G800">
            <v>0</v>
          </cell>
          <cell r="H800">
            <v>10001</v>
          </cell>
          <cell r="I800">
            <v>1835641.01</v>
          </cell>
          <cell r="J800">
            <v>10001</v>
          </cell>
          <cell r="K800">
            <v>1835641.04</v>
          </cell>
          <cell r="L800" t="str">
            <v>贷</v>
          </cell>
          <cell r="M800">
            <v>0</v>
          </cell>
          <cell r="N800">
            <v>0</v>
          </cell>
          <cell r="O800">
            <v>0.03</v>
          </cell>
        </row>
        <row r="801">
          <cell r="A801" t="str">
            <v>06</v>
          </cell>
          <cell r="B801" t="str">
            <v>24</v>
          </cell>
          <cell r="C801" t="str">
            <v>记-0021</v>
          </cell>
          <cell r="D801" t="str">
            <v>059</v>
          </cell>
          <cell r="E801" t="str">
            <v>血燕盏</v>
          </cell>
          <cell r="F801" t="str">
            <v>收购产品</v>
          </cell>
          <cell r="G801">
            <v>16899.115000000002</v>
          </cell>
          <cell r="H801">
            <v>12</v>
          </cell>
          <cell r="I801">
            <v>202789.38</v>
          </cell>
          <cell r="J801">
            <v>0</v>
          </cell>
          <cell r="K801">
            <v>0</v>
          </cell>
          <cell r="L801" t="str">
            <v>借</v>
          </cell>
          <cell r="M801">
            <v>12</v>
          </cell>
          <cell r="N801">
            <v>0</v>
          </cell>
          <cell r="O801">
            <v>202789.35</v>
          </cell>
        </row>
        <row r="802">
          <cell r="A802" t="str">
            <v>06</v>
          </cell>
          <cell r="B802" t="str">
            <v>24</v>
          </cell>
          <cell r="C802" t="str">
            <v>记-0024</v>
          </cell>
          <cell r="D802" t="str">
            <v>059</v>
          </cell>
          <cell r="E802" t="str">
            <v>血燕盏</v>
          </cell>
          <cell r="F802" t="str">
            <v>收购产品</v>
          </cell>
          <cell r="G802">
            <v>35910.614999999998</v>
          </cell>
          <cell r="H802">
            <v>2</v>
          </cell>
          <cell r="I802">
            <v>71821.23</v>
          </cell>
          <cell r="J802">
            <v>0</v>
          </cell>
          <cell r="K802">
            <v>0</v>
          </cell>
          <cell r="L802" t="str">
            <v>借</v>
          </cell>
          <cell r="M802">
            <v>14</v>
          </cell>
          <cell r="N802">
            <v>0</v>
          </cell>
          <cell r="O802">
            <v>274610.58</v>
          </cell>
        </row>
        <row r="803">
          <cell r="A803" t="str">
            <v>06</v>
          </cell>
          <cell r="B803" t="str">
            <v>24</v>
          </cell>
          <cell r="C803" t="str">
            <v>记-0027</v>
          </cell>
          <cell r="D803" t="str">
            <v>059</v>
          </cell>
          <cell r="E803" t="str">
            <v>血燕盏</v>
          </cell>
          <cell r="F803" t="str">
            <v>转成本</v>
          </cell>
          <cell r="G803">
            <v>35910.614999999998</v>
          </cell>
          <cell r="H803">
            <v>0</v>
          </cell>
          <cell r="I803">
            <v>0</v>
          </cell>
          <cell r="J803">
            <v>2</v>
          </cell>
          <cell r="K803">
            <v>71821.23</v>
          </cell>
          <cell r="L803" t="str">
            <v>借</v>
          </cell>
          <cell r="M803">
            <v>12</v>
          </cell>
          <cell r="N803">
            <v>0</v>
          </cell>
          <cell r="O803">
            <v>202789.35</v>
          </cell>
        </row>
        <row r="804">
          <cell r="A804" t="str">
            <v>06</v>
          </cell>
          <cell r="B804" t="str">
            <v>24</v>
          </cell>
          <cell r="C804" t="str">
            <v>记-0029</v>
          </cell>
          <cell r="D804" t="str">
            <v>059</v>
          </cell>
          <cell r="E804" t="str">
            <v>血燕盏</v>
          </cell>
          <cell r="F804" t="str">
            <v>转成本</v>
          </cell>
          <cell r="G804">
            <v>16899.115000000002</v>
          </cell>
          <cell r="H804">
            <v>0</v>
          </cell>
          <cell r="I804">
            <v>0</v>
          </cell>
          <cell r="J804">
            <v>12</v>
          </cell>
          <cell r="K804">
            <v>202789.38</v>
          </cell>
          <cell r="L804" t="str">
            <v>贷</v>
          </cell>
          <cell r="M804">
            <v>0</v>
          </cell>
          <cell r="N804">
            <v>0</v>
          </cell>
          <cell r="O804">
            <v>0.03</v>
          </cell>
        </row>
        <row r="805">
          <cell r="A805" t="str">
            <v>06</v>
          </cell>
          <cell r="F805" t="str">
            <v>本月合计</v>
          </cell>
          <cell r="G805">
            <v>0</v>
          </cell>
          <cell r="H805">
            <v>14</v>
          </cell>
          <cell r="I805">
            <v>274610.61</v>
          </cell>
          <cell r="J805">
            <v>14</v>
          </cell>
          <cell r="K805">
            <v>274610.61</v>
          </cell>
          <cell r="L805" t="str">
            <v>贷</v>
          </cell>
          <cell r="M805">
            <v>0</v>
          </cell>
          <cell r="N805">
            <v>0</v>
          </cell>
          <cell r="O805">
            <v>0.03</v>
          </cell>
        </row>
        <row r="806">
          <cell r="A806" t="str">
            <v>06</v>
          </cell>
          <cell r="F806" t="str">
            <v>累    计</v>
          </cell>
          <cell r="G806">
            <v>0</v>
          </cell>
          <cell r="H806">
            <v>10015</v>
          </cell>
          <cell r="I806">
            <v>2110251.62</v>
          </cell>
          <cell r="J806">
            <v>10015</v>
          </cell>
          <cell r="K806">
            <v>2110251.65</v>
          </cell>
          <cell r="L806" t="str">
            <v>贷</v>
          </cell>
          <cell r="M806">
            <v>0</v>
          </cell>
          <cell r="N806">
            <v>0</v>
          </cell>
          <cell r="O806">
            <v>0.03</v>
          </cell>
        </row>
        <row r="807">
          <cell r="A807" t="str">
            <v>07</v>
          </cell>
          <cell r="B807" t="str">
            <v>22</v>
          </cell>
          <cell r="C807" t="str">
            <v>记-0047</v>
          </cell>
          <cell r="D807" t="str">
            <v>059</v>
          </cell>
          <cell r="E807" t="str">
            <v>血燕盏</v>
          </cell>
          <cell r="F807" t="str">
            <v>结转成本</v>
          </cell>
          <cell r="G807">
            <v>53.232210000000002</v>
          </cell>
          <cell r="H807">
            <v>0</v>
          </cell>
          <cell r="I807">
            <v>0</v>
          </cell>
          <cell r="J807">
            <v>380</v>
          </cell>
          <cell r="K807">
            <v>20228.240000000002</v>
          </cell>
          <cell r="L807" t="str">
            <v>贷</v>
          </cell>
          <cell r="M807">
            <v>380</v>
          </cell>
          <cell r="N807">
            <v>0</v>
          </cell>
          <cell r="O807">
            <v>20228.27</v>
          </cell>
        </row>
        <row r="808">
          <cell r="A808" t="str">
            <v>07</v>
          </cell>
          <cell r="B808" t="str">
            <v>22</v>
          </cell>
          <cell r="C808" t="str">
            <v>记-0047</v>
          </cell>
          <cell r="D808" t="str">
            <v>059</v>
          </cell>
          <cell r="E808" t="str">
            <v>血燕盏</v>
          </cell>
          <cell r="F808" t="str">
            <v>结转成本</v>
          </cell>
          <cell r="G808">
            <v>37.178060000000002</v>
          </cell>
          <cell r="H808">
            <v>0</v>
          </cell>
          <cell r="I808">
            <v>0</v>
          </cell>
          <cell r="J808">
            <v>320</v>
          </cell>
          <cell r="K808">
            <v>11896.98</v>
          </cell>
          <cell r="L808" t="str">
            <v>贷</v>
          </cell>
          <cell r="M808">
            <v>700</v>
          </cell>
          <cell r="N808">
            <v>0</v>
          </cell>
          <cell r="O808">
            <v>32125.25</v>
          </cell>
        </row>
        <row r="809">
          <cell r="A809" t="str">
            <v>07</v>
          </cell>
          <cell r="B809" t="str">
            <v>22</v>
          </cell>
          <cell r="C809" t="str">
            <v>记-0051</v>
          </cell>
          <cell r="D809" t="str">
            <v>059</v>
          </cell>
          <cell r="E809" t="str">
            <v>血燕盏</v>
          </cell>
          <cell r="F809" t="str">
            <v>结转成本</v>
          </cell>
          <cell r="G809">
            <v>67.596469999999997</v>
          </cell>
          <cell r="H809">
            <v>0</v>
          </cell>
          <cell r="I809">
            <v>0</v>
          </cell>
          <cell r="J809">
            <v>600</v>
          </cell>
          <cell r="K809">
            <v>40557.879999999997</v>
          </cell>
          <cell r="L809" t="str">
            <v>贷</v>
          </cell>
          <cell r="M809">
            <v>1300</v>
          </cell>
          <cell r="N809">
            <v>0</v>
          </cell>
          <cell r="O809">
            <v>72683.13</v>
          </cell>
        </row>
        <row r="810">
          <cell r="A810" t="str">
            <v>07</v>
          </cell>
          <cell r="B810" t="str">
            <v>22</v>
          </cell>
          <cell r="C810" t="str">
            <v>记-0051</v>
          </cell>
          <cell r="D810" t="str">
            <v>059</v>
          </cell>
          <cell r="E810" t="str">
            <v>血燕盏</v>
          </cell>
          <cell r="F810" t="str">
            <v>结转成本</v>
          </cell>
          <cell r="G810">
            <v>59.146900000000002</v>
          </cell>
          <cell r="H810">
            <v>0</v>
          </cell>
          <cell r="I810">
            <v>0</v>
          </cell>
          <cell r="J810">
            <v>700</v>
          </cell>
          <cell r="K810">
            <v>41402.83</v>
          </cell>
          <cell r="L810" t="str">
            <v>贷</v>
          </cell>
          <cell r="M810">
            <v>2000</v>
          </cell>
          <cell r="N810">
            <v>0</v>
          </cell>
          <cell r="O810">
            <v>114085.96</v>
          </cell>
        </row>
        <row r="811">
          <cell r="A811" t="str">
            <v>07</v>
          </cell>
          <cell r="B811" t="str">
            <v>22</v>
          </cell>
          <cell r="C811" t="str">
            <v>记-0051</v>
          </cell>
          <cell r="D811" t="str">
            <v>059</v>
          </cell>
          <cell r="E811" t="str">
            <v>血燕盏</v>
          </cell>
          <cell r="F811" t="str">
            <v>结转成本</v>
          </cell>
          <cell r="G811">
            <v>55.76708</v>
          </cell>
          <cell r="H811">
            <v>0</v>
          </cell>
          <cell r="I811">
            <v>0</v>
          </cell>
          <cell r="J811">
            <v>500</v>
          </cell>
          <cell r="K811">
            <v>27883.54</v>
          </cell>
          <cell r="L811" t="str">
            <v>贷</v>
          </cell>
          <cell r="M811">
            <v>2500</v>
          </cell>
          <cell r="N811">
            <v>0</v>
          </cell>
          <cell r="O811">
            <v>141969.5</v>
          </cell>
        </row>
        <row r="812">
          <cell r="A812" t="str">
            <v>07</v>
          </cell>
          <cell r="B812" t="str">
            <v>22</v>
          </cell>
          <cell r="C812" t="str">
            <v>记-0052</v>
          </cell>
          <cell r="D812" t="str">
            <v>059</v>
          </cell>
          <cell r="E812" t="str">
            <v>血燕盏</v>
          </cell>
          <cell r="F812" t="str">
            <v>结转成本</v>
          </cell>
          <cell r="G812">
            <v>76.046009999999995</v>
          </cell>
          <cell r="H812">
            <v>0</v>
          </cell>
          <cell r="I812">
            <v>0</v>
          </cell>
          <cell r="J812">
            <v>700</v>
          </cell>
          <cell r="K812">
            <v>53232.21</v>
          </cell>
          <cell r="L812" t="str">
            <v>贷</v>
          </cell>
          <cell r="M812">
            <v>3200</v>
          </cell>
          <cell r="N812">
            <v>0</v>
          </cell>
          <cell r="O812">
            <v>195201.71</v>
          </cell>
        </row>
        <row r="813">
          <cell r="A813" t="str">
            <v>07</v>
          </cell>
          <cell r="B813" t="str">
            <v>22</v>
          </cell>
          <cell r="C813" t="str">
            <v>记-0052</v>
          </cell>
          <cell r="D813" t="str">
            <v>059</v>
          </cell>
          <cell r="E813" t="str">
            <v>血燕盏</v>
          </cell>
          <cell r="F813" t="str">
            <v>结转成本</v>
          </cell>
          <cell r="G813">
            <v>47.317529999999998</v>
          </cell>
          <cell r="H813">
            <v>0</v>
          </cell>
          <cell r="I813">
            <v>0</v>
          </cell>
          <cell r="J813">
            <v>800</v>
          </cell>
          <cell r="K813">
            <v>37854.019999999997</v>
          </cell>
          <cell r="L813" t="str">
            <v>贷</v>
          </cell>
          <cell r="M813">
            <v>4000</v>
          </cell>
          <cell r="N813">
            <v>0</v>
          </cell>
          <cell r="O813">
            <v>233055.73</v>
          </cell>
        </row>
        <row r="814">
          <cell r="A814" t="str">
            <v>07</v>
          </cell>
          <cell r="B814" t="str">
            <v>22</v>
          </cell>
          <cell r="C814" t="str">
            <v>记-0052</v>
          </cell>
          <cell r="D814" t="str">
            <v>059</v>
          </cell>
          <cell r="E814" t="str">
            <v>血燕盏</v>
          </cell>
          <cell r="F814" t="str">
            <v>结转成本</v>
          </cell>
          <cell r="G814">
            <v>52.387259999999998</v>
          </cell>
          <cell r="H814">
            <v>0</v>
          </cell>
          <cell r="I814">
            <v>0</v>
          </cell>
          <cell r="J814">
            <v>700</v>
          </cell>
          <cell r="K814">
            <v>36671.08</v>
          </cell>
          <cell r="L814" t="str">
            <v>贷</v>
          </cell>
          <cell r="M814">
            <v>4700</v>
          </cell>
          <cell r="N814">
            <v>0</v>
          </cell>
          <cell r="O814">
            <v>269726.81</v>
          </cell>
        </row>
        <row r="815">
          <cell r="A815" t="str">
            <v>07</v>
          </cell>
          <cell r="B815" t="str">
            <v>22</v>
          </cell>
          <cell r="C815" t="str">
            <v>记-0053</v>
          </cell>
          <cell r="D815" t="str">
            <v>059</v>
          </cell>
          <cell r="E815" t="str">
            <v>血燕盏</v>
          </cell>
          <cell r="F815" t="str">
            <v>收购产品</v>
          </cell>
          <cell r="G815">
            <v>67.596469999999997</v>
          </cell>
          <cell r="H815">
            <v>600</v>
          </cell>
          <cell r="I815">
            <v>40557.879999999997</v>
          </cell>
          <cell r="J815">
            <v>0</v>
          </cell>
          <cell r="K815">
            <v>0</v>
          </cell>
          <cell r="L815" t="str">
            <v>贷</v>
          </cell>
          <cell r="M815">
            <v>4100</v>
          </cell>
          <cell r="N815">
            <v>0</v>
          </cell>
          <cell r="O815">
            <v>229168.93</v>
          </cell>
        </row>
        <row r="816">
          <cell r="A816" t="str">
            <v>07</v>
          </cell>
          <cell r="B816" t="str">
            <v>22</v>
          </cell>
          <cell r="C816" t="str">
            <v>记-0053</v>
          </cell>
          <cell r="D816" t="str">
            <v>059</v>
          </cell>
          <cell r="E816" t="str">
            <v>血燕盏</v>
          </cell>
          <cell r="F816" t="str">
            <v>收购产品</v>
          </cell>
          <cell r="G816">
            <v>59.146900000000002</v>
          </cell>
          <cell r="H816">
            <v>700</v>
          </cell>
          <cell r="I816">
            <v>41402.83</v>
          </cell>
          <cell r="J816">
            <v>0</v>
          </cell>
          <cell r="K816">
            <v>0</v>
          </cell>
          <cell r="L816" t="str">
            <v>贷</v>
          </cell>
          <cell r="M816">
            <v>3400</v>
          </cell>
          <cell r="N816">
            <v>0</v>
          </cell>
          <cell r="O816">
            <v>187766.1</v>
          </cell>
        </row>
        <row r="817">
          <cell r="A817" t="str">
            <v>07</v>
          </cell>
          <cell r="B817" t="str">
            <v>22</v>
          </cell>
          <cell r="C817" t="str">
            <v>记-0053</v>
          </cell>
          <cell r="D817" t="str">
            <v>059</v>
          </cell>
          <cell r="E817" t="str">
            <v>血燕盏</v>
          </cell>
          <cell r="F817" t="str">
            <v>收购产品</v>
          </cell>
          <cell r="G817">
            <v>55.76708</v>
          </cell>
          <cell r="H817">
            <v>500</v>
          </cell>
          <cell r="I817">
            <v>27883.54</v>
          </cell>
          <cell r="J817">
            <v>0</v>
          </cell>
          <cell r="K817">
            <v>0</v>
          </cell>
          <cell r="L817" t="str">
            <v>贷</v>
          </cell>
          <cell r="M817">
            <v>2900</v>
          </cell>
          <cell r="N817">
            <v>0</v>
          </cell>
          <cell r="O817">
            <v>159882.56</v>
          </cell>
        </row>
        <row r="818">
          <cell r="A818" t="str">
            <v>07</v>
          </cell>
          <cell r="B818" t="str">
            <v>22</v>
          </cell>
          <cell r="C818" t="str">
            <v>记-0054</v>
          </cell>
          <cell r="D818" t="str">
            <v>059</v>
          </cell>
          <cell r="E818" t="str">
            <v>血燕盏</v>
          </cell>
          <cell r="F818" t="str">
            <v>收购产品</v>
          </cell>
          <cell r="G818">
            <v>76.046009999999995</v>
          </cell>
          <cell r="H818">
            <v>700</v>
          </cell>
          <cell r="I818">
            <v>53232.21</v>
          </cell>
          <cell r="J818">
            <v>0</v>
          </cell>
          <cell r="K818">
            <v>0</v>
          </cell>
          <cell r="L818" t="str">
            <v>贷</v>
          </cell>
          <cell r="M818">
            <v>2200</v>
          </cell>
          <cell r="N818">
            <v>0</v>
          </cell>
          <cell r="O818">
            <v>106650.35</v>
          </cell>
        </row>
        <row r="819">
          <cell r="A819" t="str">
            <v>07</v>
          </cell>
          <cell r="B819" t="str">
            <v>22</v>
          </cell>
          <cell r="C819" t="str">
            <v>记-0054</v>
          </cell>
          <cell r="D819" t="str">
            <v>059</v>
          </cell>
          <cell r="E819" t="str">
            <v>血燕盏</v>
          </cell>
          <cell r="F819" t="str">
            <v>收购产品</v>
          </cell>
          <cell r="G819">
            <v>47.317529999999998</v>
          </cell>
          <cell r="H819">
            <v>800</v>
          </cell>
          <cell r="I819">
            <v>37854.019999999997</v>
          </cell>
          <cell r="J819">
            <v>0</v>
          </cell>
          <cell r="K819">
            <v>0</v>
          </cell>
          <cell r="L819" t="str">
            <v>贷</v>
          </cell>
          <cell r="M819">
            <v>1400</v>
          </cell>
          <cell r="N819">
            <v>0</v>
          </cell>
          <cell r="O819">
            <v>68796.33</v>
          </cell>
        </row>
        <row r="820">
          <cell r="A820" t="str">
            <v>07</v>
          </cell>
          <cell r="B820" t="str">
            <v>22</v>
          </cell>
          <cell r="C820" t="str">
            <v>记-0054</v>
          </cell>
          <cell r="D820" t="str">
            <v>059</v>
          </cell>
          <cell r="E820" t="str">
            <v>血燕盏</v>
          </cell>
          <cell r="F820" t="str">
            <v>收购产品</v>
          </cell>
          <cell r="G820">
            <v>52.387259999999998</v>
          </cell>
          <cell r="H820">
            <v>700</v>
          </cell>
          <cell r="I820">
            <v>36671.08</v>
          </cell>
          <cell r="J820">
            <v>0</v>
          </cell>
          <cell r="K820">
            <v>0</v>
          </cell>
          <cell r="L820" t="str">
            <v>贷</v>
          </cell>
          <cell r="M820">
            <v>700</v>
          </cell>
          <cell r="N820">
            <v>0</v>
          </cell>
          <cell r="O820">
            <v>32125.25</v>
          </cell>
        </row>
        <row r="821">
          <cell r="A821" t="str">
            <v>07</v>
          </cell>
          <cell r="B821" t="str">
            <v>22</v>
          </cell>
          <cell r="C821" t="str">
            <v>记-0058</v>
          </cell>
          <cell r="D821" t="str">
            <v>059</v>
          </cell>
          <cell r="E821" t="str">
            <v>血燕盏</v>
          </cell>
          <cell r="F821" t="str">
            <v>收购产品</v>
          </cell>
          <cell r="G821">
            <v>53.232210000000002</v>
          </cell>
          <cell r="H821">
            <v>380</v>
          </cell>
          <cell r="I821">
            <v>20228.240000000002</v>
          </cell>
          <cell r="J821">
            <v>0</v>
          </cell>
          <cell r="K821">
            <v>0</v>
          </cell>
          <cell r="L821" t="str">
            <v>贷</v>
          </cell>
          <cell r="M821">
            <v>320</v>
          </cell>
          <cell r="N821">
            <v>0</v>
          </cell>
          <cell r="O821">
            <v>11897.01</v>
          </cell>
        </row>
        <row r="822">
          <cell r="A822" t="str">
            <v>07</v>
          </cell>
          <cell r="B822" t="str">
            <v>22</v>
          </cell>
          <cell r="C822" t="str">
            <v>记-0058</v>
          </cell>
          <cell r="D822" t="str">
            <v>059</v>
          </cell>
          <cell r="E822" t="str">
            <v>血燕盏</v>
          </cell>
          <cell r="F822" t="str">
            <v>收购产品</v>
          </cell>
          <cell r="G822">
            <v>37.178060000000002</v>
          </cell>
          <cell r="H822">
            <v>320</v>
          </cell>
          <cell r="I822">
            <v>11896.98</v>
          </cell>
          <cell r="J822">
            <v>0</v>
          </cell>
          <cell r="K822">
            <v>0</v>
          </cell>
          <cell r="L822" t="str">
            <v>贷</v>
          </cell>
          <cell r="M822">
            <v>0</v>
          </cell>
          <cell r="N822">
            <v>0</v>
          </cell>
          <cell r="O822">
            <v>0.03</v>
          </cell>
        </row>
        <row r="823">
          <cell r="A823" t="str">
            <v>07</v>
          </cell>
          <cell r="F823" t="str">
            <v>本月合计</v>
          </cell>
          <cell r="G823">
            <v>0</v>
          </cell>
          <cell r="H823">
            <v>4700</v>
          </cell>
          <cell r="I823">
            <v>269726.78000000003</v>
          </cell>
          <cell r="J823">
            <v>4700</v>
          </cell>
          <cell r="K823">
            <v>269726.78000000003</v>
          </cell>
          <cell r="L823" t="str">
            <v>贷</v>
          </cell>
          <cell r="M823">
            <v>0</v>
          </cell>
          <cell r="N823">
            <v>0</v>
          </cell>
          <cell r="O823">
            <v>0.03</v>
          </cell>
        </row>
        <row r="824">
          <cell r="A824" t="str">
            <v>07</v>
          </cell>
          <cell r="F824" t="str">
            <v>累    计</v>
          </cell>
          <cell r="G824">
            <v>0</v>
          </cell>
          <cell r="H824">
            <v>14715</v>
          </cell>
          <cell r="I824">
            <v>2379978.4</v>
          </cell>
          <cell r="J824">
            <v>14715</v>
          </cell>
          <cell r="K824">
            <v>2379978.4300000002</v>
          </cell>
          <cell r="L824" t="str">
            <v>贷</v>
          </cell>
          <cell r="M824">
            <v>0</v>
          </cell>
          <cell r="N824">
            <v>0</v>
          </cell>
          <cell r="O824">
            <v>0.03</v>
          </cell>
        </row>
        <row r="825">
          <cell r="A825" t="str">
            <v>08</v>
          </cell>
          <cell r="B825" t="str">
            <v>25</v>
          </cell>
          <cell r="C825" t="str">
            <v>记-0059</v>
          </cell>
          <cell r="D825" t="str">
            <v>059</v>
          </cell>
          <cell r="E825" t="str">
            <v>血燕盏</v>
          </cell>
          <cell r="F825" t="str">
            <v>结转成本</v>
          </cell>
          <cell r="G825">
            <v>15068.375</v>
          </cell>
          <cell r="H825">
            <v>0</v>
          </cell>
          <cell r="I825">
            <v>0</v>
          </cell>
          <cell r="J825">
            <v>12</v>
          </cell>
          <cell r="K825">
            <v>180820.5</v>
          </cell>
          <cell r="L825" t="str">
            <v>贷</v>
          </cell>
          <cell r="M825">
            <v>12</v>
          </cell>
          <cell r="N825">
            <v>0</v>
          </cell>
          <cell r="O825">
            <v>180820.53</v>
          </cell>
        </row>
        <row r="826">
          <cell r="A826" t="str">
            <v>08</v>
          </cell>
          <cell r="B826" t="str">
            <v>25</v>
          </cell>
          <cell r="C826" t="str">
            <v>记-0059</v>
          </cell>
          <cell r="D826" t="str">
            <v>059</v>
          </cell>
          <cell r="E826" t="str">
            <v>血燕盏</v>
          </cell>
          <cell r="F826" t="str">
            <v>结转成本</v>
          </cell>
          <cell r="G826">
            <v>16899.114880000001</v>
          </cell>
          <cell r="H826">
            <v>0</v>
          </cell>
          <cell r="I826">
            <v>0</v>
          </cell>
          <cell r="J826">
            <v>21.5</v>
          </cell>
          <cell r="K826">
            <v>363330.97</v>
          </cell>
          <cell r="L826" t="str">
            <v>贷</v>
          </cell>
          <cell r="M826">
            <v>33.5</v>
          </cell>
          <cell r="N826">
            <v>0</v>
          </cell>
          <cell r="O826">
            <v>544151.5</v>
          </cell>
        </row>
        <row r="827">
          <cell r="A827" t="str">
            <v>08</v>
          </cell>
          <cell r="B827" t="str">
            <v>25</v>
          </cell>
          <cell r="C827" t="str">
            <v>记-0066</v>
          </cell>
          <cell r="D827" t="str">
            <v>059</v>
          </cell>
          <cell r="E827" t="str">
            <v>血燕盏</v>
          </cell>
          <cell r="F827" t="str">
            <v>收购产品</v>
          </cell>
          <cell r="G827">
            <v>15068.375</v>
          </cell>
          <cell r="H827">
            <v>12</v>
          </cell>
          <cell r="I827">
            <v>180820.5</v>
          </cell>
          <cell r="J827">
            <v>0</v>
          </cell>
          <cell r="K827">
            <v>0</v>
          </cell>
          <cell r="L827" t="str">
            <v>贷</v>
          </cell>
          <cell r="M827">
            <v>21.5</v>
          </cell>
          <cell r="N827">
            <v>0</v>
          </cell>
          <cell r="O827">
            <v>363331</v>
          </cell>
        </row>
        <row r="828">
          <cell r="A828" t="str">
            <v>08</v>
          </cell>
          <cell r="B828" t="str">
            <v>25</v>
          </cell>
          <cell r="C828" t="str">
            <v>记-0066</v>
          </cell>
          <cell r="D828" t="str">
            <v>059</v>
          </cell>
          <cell r="E828" t="str">
            <v>血燕盏</v>
          </cell>
          <cell r="F828" t="str">
            <v>收购产品</v>
          </cell>
          <cell r="G828">
            <v>16899.114880000001</v>
          </cell>
          <cell r="H828">
            <v>21.5</v>
          </cell>
          <cell r="I828">
            <v>363330.97</v>
          </cell>
          <cell r="J828">
            <v>0</v>
          </cell>
          <cell r="K828">
            <v>0</v>
          </cell>
          <cell r="L828" t="str">
            <v>贷</v>
          </cell>
          <cell r="M828">
            <v>0</v>
          </cell>
          <cell r="N828">
            <v>0</v>
          </cell>
          <cell r="O828">
            <v>0.03</v>
          </cell>
        </row>
        <row r="829">
          <cell r="A829" t="str">
            <v>08</v>
          </cell>
          <cell r="F829" t="str">
            <v>本月合计</v>
          </cell>
          <cell r="G829">
            <v>0</v>
          </cell>
          <cell r="H829">
            <v>33.5</v>
          </cell>
          <cell r="I829">
            <v>544151.47</v>
          </cell>
          <cell r="J829">
            <v>33.5</v>
          </cell>
          <cell r="K829">
            <v>544151.47</v>
          </cell>
          <cell r="L829" t="str">
            <v>贷</v>
          </cell>
          <cell r="M829">
            <v>0</v>
          </cell>
          <cell r="N829">
            <v>0</v>
          </cell>
          <cell r="O829">
            <v>0.03</v>
          </cell>
        </row>
        <row r="830">
          <cell r="A830" t="str">
            <v>08</v>
          </cell>
          <cell r="F830" t="str">
            <v>累    计</v>
          </cell>
          <cell r="G830">
            <v>0</v>
          </cell>
          <cell r="H830">
            <v>14748.5</v>
          </cell>
          <cell r="I830">
            <v>2924129.87</v>
          </cell>
          <cell r="J830">
            <v>14748.5</v>
          </cell>
          <cell r="K830">
            <v>2924129.9</v>
          </cell>
          <cell r="L830" t="str">
            <v>贷</v>
          </cell>
          <cell r="M830">
            <v>0</v>
          </cell>
          <cell r="N830">
            <v>0</v>
          </cell>
          <cell r="O830">
            <v>0.03</v>
          </cell>
        </row>
        <row r="831">
          <cell r="A831" t="str">
            <v>09</v>
          </cell>
          <cell r="B831" t="str">
            <v>22</v>
          </cell>
          <cell r="C831" t="str">
            <v>记-0033</v>
          </cell>
          <cell r="D831" t="str">
            <v>059</v>
          </cell>
          <cell r="E831" t="str">
            <v>血燕盏</v>
          </cell>
          <cell r="F831" t="str">
            <v>结转成本</v>
          </cell>
          <cell r="G831">
            <v>14645.89667</v>
          </cell>
          <cell r="H831">
            <v>0</v>
          </cell>
          <cell r="I831">
            <v>0</v>
          </cell>
          <cell r="J831">
            <v>6</v>
          </cell>
          <cell r="K831">
            <v>87875.38</v>
          </cell>
          <cell r="L831" t="str">
            <v>贷</v>
          </cell>
          <cell r="M831">
            <v>6</v>
          </cell>
          <cell r="N831">
            <v>0</v>
          </cell>
          <cell r="O831">
            <v>87875.41</v>
          </cell>
        </row>
        <row r="832">
          <cell r="A832" t="str">
            <v>09</v>
          </cell>
          <cell r="B832" t="str">
            <v>22</v>
          </cell>
          <cell r="C832" t="str">
            <v>记-0034</v>
          </cell>
          <cell r="D832" t="str">
            <v>059</v>
          </cell>
          <cell r="E832" t="str">
            <v>血燕盏</v>
          </cell>
          <cell r="F832" t="str">
            <v>结转成本</v>
          </cell>
          <cell r="G832">
            <v>66.751499999999993</v>
          </cell>
          <cell r="H832">
            <v>0</v>
          </cell>
          <cell r="I832">
            <v>0</v>
          </cell>
          <cell r="J832">
            <v>500</v>
          </cell>
          <cell r="K832">
            <v>33375.75</v>
          </cell>
          <cell r="L832" t="str">
            <v>贷</v>
          </cell>
          <cell r="M832">
            <v>506</v>
          </cell>
          <cell r="N832">
            <v>0</v>
          </cell>
          <cell r="O832">
            <v>121251.16</v>
          </cell>
        </row>
        <row r="833">
          <cell r="A833" t="str">
            <v>09</v>
          </cell>
          <cell r="B833" t="str">
            <v>22</v>
          </cell>
          <cell r="C833" t="str">
            <v>记-0034</v>
          </cell>
          <cell r="D833" t="str">
            <v>059</v>
          </cell>
          <cell r="E833" t="str">
            <v>血燕盏</v>
          </cell>
          <cell r="F833" t="str">
            <v>结转成本</v>
          </cell>
          <cell r="G833">
            <v>69.286379999999994</v>
          </cell>
          <cell r="H833">
            <v>0</v>
          </cell>
          <cell r="I833">
            <v>0</v>
          </cell>
          <cell r="J833">
            <v>480</v>
          </cell>
          <cell r="K833">
            <v>33257.46</v>
          </cell>
          <cell r="L833" t="str">
            <v>贷</v>
          </cell>
          <cell r="M833">
            <v>986</v>
          </cell>
          <cell r="N833">
            <v>0</v>
          </cell>
          <cell r="O833">
            <v>154508.62</v>
          </cell>
        </row>
        <row r="834">
          <cell r="A834" t="str">
            <v>09</v>
          </cell>
          <cell r="B834" t="str">
            <v>22</v>
          </cell>
          <cell r="C834" t="str">
            <v>记-0034</v>
          </cell>
          <cell r="D834" t="str">
            <v>059</v>
          </cell>
          <cell r="E834" t="str">
            <v>血燕盏</v>
          </cell>
          <cell r="F834" t="str">
            <v>结转成本</v>
          </cell>
          <cell r="G834">
            <v>54.92212</v>
          </cell>
          <cell r="H834">
            <v>0</v>
          </cell>
          <cell r="I834">
            <v>0</v>
          </cell>
          <cell r="J834">
            <v>600</v>
          </cell>
          <cell r="K834">
            <v>32953.269999999997</v>
          </cell>
          <cell r="L834" t="str">
            <v>贷</v>
          </cell>
          <cell r="M834">
            <v>1586</v>
          </cell>
          <cell r="N834">
            <v>0</v>
          </cell>
          <cell r="O834">
            <v>187461.89</v>
          </cell>
        </row>
        <row r="835">
          <cell r="A835" t="str">
            <v>09</v>
          </cell>
          <cell r="B835" t="str">
            <v>22</v>
          </cell>
          <cell r="C835" t="str">
            <v>记-0034</v>
          </cell>
          <cell r="D835" t="str">
            <v>059</v>
          </cell>
          <cell r="E835" t="str">
            <v>血燕盏</v>
          </cell>
          <cell r="F835" t="str">
            <v>结转成本</v>
          </cell>
          <cell r="G835">
            <v>48.162469999999999</v>
          </cell>
          <cell r="H835">
            <v>0</v>
          </cell>
          <cell r="I835">
            <v>0</v>
          </cell>
          <cell r="J835">
            <v>700</v>
          </cell>
          <cell r="K835">
            <v>33713.730000000003</v>
          </cell>
          <cell r="L835" t="str">
            <v>贷</v>
          </cell>
          <cell r="M835">
            <v>2286</v>
          </cell>
          <cell r="N835">
            <v>0</v>
          </cell>
          <cell r="O835">
            <v>221175.62</v>
          </cell>
        </row>
        <row r="836">
          <cell r="A836" t="str">
            <v>09</v>
          </cell>
          <cell r="B836" t="str">
            <v>22</v>
          </cell>
          <cell r="C836" t="str">
            <v>记-0035</v>
          </cell>
          <cell r="D836" t="str">
            <v>059</v>
          </cell>
          <cell r="E836" t="str">
            <v>血燕盏</v>
          </cell>
          <cell r="F836" t="str">
            <v>结转成本</v>
          </cell>
          <cell r="G836">
            <v>37.178069999999998</v>
          </cell>
          <cell r="H836">
            <v>0</v>
          </cell>
          <cell r="I836">
            <v>0</v>
          </cell>
          <cell r="J836">
            <v>300</v>
          </cell>
          <cell r="K836">
            <v>11153.42</v>
          </cell>
          <cell r="L836" t="str">
            <v>贷</v>
          </cell>
          <cell r="M836">
            <v>2586</v>
          </cell>
          <cell r="N836">
            <v>0</v>
          </cell>
          <cell r="O836">
            <v>232329.04</v>
          </cell>
        </row>
        <row r="837">
          <cell r="A837" t="str">
            <v>09</v>
          </cell>
          <cell r="B837" t="str">
            <v>22</v>
          </cell>
          <cell r="C837" t="str">
            <v>记-0035</v>
          </cell>
          <cell r="D837" t="str">
            <v>059</v>
          </cell>
          <cell r="E837" t="str">
            <v>血燕盏</v>
          </cell>
          <cell r="F837" t="str">
            <v>结转成本</v>
          </cell>
          <cell r="G837">
            <v>55.091149999999999</v>
          </cell>
          <cell r="H837">
            <v>0</v>
          </cell>
          <cell r="I837">
            <v>0</v>
          </cell>
          <cell r="J837">
            <v>200.1</v>
          </cell>
          <cell r="K837">
            <v>11023.74</v>
          </cell>
          <cell r="L837" t="str">
            <v>贷</v>
          </cell>
          <cell r="M837">
            <v>2786.1</v>
          </cell>
          <cell r="N837">
            <v>0</v>
          </cell>
          <cell r="O837">
            <v>243352.78</v>
          </cell>
        </row>
        <row r="838">
          <cell r="A838" t="str">
            <v>09</v>
          </cell>
          <cell r="B838" t="str">
            <v>22</v>
          </cell>
          <cell r="C838" t="str">
            <v>记-0037</v>
          </cell>
          <cell r="D838" t="str">
            <v>059</v>
          </cell>
          <cell r="E838" t="str">
            <v>血燕盏</v>
          </cell>
          <cell r="F838" t="str">
            <v>收购产品</v>
          </cell>
          <cell r="G838">
            <v>14645.89667</v>
          </cell>
          <cell r="H838">
            <v>6</v>
          </cell>
          <cell r="I838">
            <v>87875.38</v>
          </cell>
          <cell r="J838">
            <v>0</v>
          </cell>
          <cell r="K838">
            <v>0</v>
          </cell>
          <cell r="L838" t="str">
            <v>贷</v>
          </cell>
          <cell r="M838">
            <v>2780.1</v>
          </cell>
          <cell r="N838">
            <v>0</v>
          </cell>
          <cell r="O838">
            <v>155477.4</v>
          </cell>
        </row>
        <row r="839">
          <cell r="A839" t="str">
            <v>09</v>
          </cell>
          <cell r="B839" t="str">
            <v>22</v>
          </cell>
          <cell r="C839" t="str">
            <v>记-0038</v>
          </cell>
          <cell r="D839" t="str">
            <v>059</v>
          </cell>
          <cell r="E839" t="str">
            <v>血燕盏</v>
          </cell>
          <cell r="F839" t="str">
            <v>收购产品</v>
          </cell>
          <cell r="G839">
            <v>66.751499999999993</v>
          </cell>
          <cell r="H839">
            <v>500</v>
          </cell>
          <cell r="I839">
            <v>33375.75</v>
          </cell>
          <cell r="J839">
            <v>0</v>
          </cell>
          <cell r="K839">
            <v>0</v>
          </cell>
          <cell r="L839" t="str">
            <v>贷</v>
          </cell>
          <cell r="M839">
            <v>2280.1</v>
          </cell>
          <cell r="N839">
            <v>0</v>
          </cell>
          <cell r="O839">
            <v>122101.65</v>
          </cell>
        </row>
        <row r="840">
          <cell r="A840" t="str">
            <v>09</v>
          </cell>
          <cell r="B840" t="str">
            <v>22</v>
          </cell>
          <cell r="C840" t="str">
            <v>记-0038</v>
          </cell>
          <cell r="D840" t="str">
            <v>059</v>
          </cell>
          <cell r="E840" t="str">
            <v>血燕盏</v>
          </cell>
          <cell r="F840" t="str">
            <v>收购产品</v>
          </cell>
          <cell r="G840">
            <v>69.286379999999994</v>
          </cell>
          <cell r="H840">
            <v>480</v>
          </cell>
          <cell r="I840">
            <v>33257.46</v>
          </cell>
          <cell r="J840">
            <v>0</v>
          </cell>
          <cell r="K840">
            <v>0</v>
          </cell>
          <cell r="L840" t="str">
            <v>贷</v>
          </cell>
          <cell r="M840">
            <v>1800.1</v>
          </cell>
          <cell r="N840">
            <v>0</v>
          </cell>
          <cell r="O840">
            <v>88844.19</v>
          </cell>
        </row>
        <row r="841">
          <cell r="A841" t="str">
            <v>09</v>
          </cell>
          <cell r="B841" t="str">
            <v>22</v>
          </cell>
          <cell r="C841" t="str">
            <v>记-0038</v>
          </cell>
          <cell r="D841" t="str">
            <v>059</v>
          </cell>
          <cell r="E841" t="str">
            <v>血燕盏</v>
          </cell>
          <cell r="F841" t="str">
            <v>收购产品</v>
          </cell>
          <cell r="G841">
            <v>54.92212</v>
          </cell>
          <cell r="H841">
            <v>600</v>
          </cell>
          <cell r="I841">
            <v>32953.269999999997</v>
          </cell>
          <cell r="J841">
            <v>0</v>
          </cell>
          <cell r="K841">
            <v>0</v>
          </cell>
          <cell r="L841" t="str">
            <v>贷</v>
          </cell>
          <cell r="M841">
            <v>1200.0999999999999</v>
          </cell>
          <cell r="N841">
            <v>0</v>
          </cell>
          <cell r="O841">
            <v>55890.92</v>
          </cell>
        </row>
        <row r="842">
          <cell r="A842" t="str">
            <v>09</v>
          </cell>
          <cell r="B842" t="str">
            <v>22</v>
          </cell>
          <cell r="C842" t="str">
            <v>记-0038</v>
          </cell>
          <cell r="D842" t="str">
            <v>059</v>
          </cell>
          <cell r="E842" t="str">
            <v>血燕盏</v>
          </cell>
          <cell r="F842" t="str">
            <v>收购产品</v>
          </cell>
          <cell r="G842">
            <v>48.162469999999999</v>
          </cell>
          <cell r="H842">
            <v>700</v>
          </cell>
          <cell r="I842">
            <v>33713.730000000003</v>
          </cell>
          <cell r="J842">
            <v>0</v>
          </cell>
          <cell r="K842">
            <v>0</v>
          </cell>
          <cell r="L842" t="str">
            <v>贷</v>
          </cell>
          <cell r="M842">
            <v>500.1</v>
          </cell>
          <cell r="N842">
            <v>0</v>
          </cell>
          <cell r="O842">
            <v>22177.19</v>
          </cell>
        </row>
        <row r="843">
          <cell r="A843" t="str">
            <v>09</v>
          </cell>
          <cell r="B843" t="str">
            <v>22</v>
          </cell>
          <cell r="C843" t="str">
            <v>记-0039</v>
          </cell>
          <cell r="D843" t="str">
            <v>059</v>
          </cell>
          <cell r="E843" t="str">
            <v>血燕盏</v>
          </cell>
          <cell r="F843" t="str">
            <v>收购产品</v>
          </cell>
          <cell r="G843">
            <v>37.178069999999998</v>
          </cell>
          <cell r="H843">
            <v>300</v>
          </cell>
          <cell r="I843">
            <v>11153.42</v>
          </cell>
          <cell r="J843">
            <v>0</v>
          </cell>
          <cell r="K843">
            <v>0</v>
          </cell>
          <cell r="L843" t="str">
            <v>贷</v>
          </cell>
          <cell r="M843">
            <v>200.1</v>
          </cell>
          <cell r="N843">
            <v>0</v>
          </cell>
          <cell r="O843">
            <v>11023.77</v>
          </cell>
        </row>
        <row r="844">
          <cell r="A844" t="str">
            <v>09</v>
          </cell>
          <cell r="B844" t="str">
            <v>22</v>
          </cell>
          <cell r="C844" t="str">
            <v>记-0039</v>
          </cell>
          <cell r="D844" t="str">
            <v>059</v>
          </cell>
          <cell r="E844" t="str">
            <v>血燕盏</v>
          </cell>
          <cell r="F844" t="str">
            <v>收购产品</v>
          </cell>
          <cell r="G844">
            <v>55.091149999999999</v>
          </cell>
          <cell r="H844">
            <v>200.1</v>
          </cell>
          <cell r="I844">
            <v>11023.74</v>
          </cell>
          <cell r="J844">
            <v>0</v>
          </cell>
          <cell r="K844">
            <v>0</v>
          </cell>
          <cell r="L844" t="str">
            <v>贷</v>
          </cell>
          <cell r="M844">
            <v>0</v>
          </cell>
          <cell r="N844">
            <v>0</v>
          </cell>
          <cell r="O844">
            <v>0.03</v>
          </cell>
        </row>
        <row r="845">
          <cell r="A845" t="str">
            <v>09</v>
          </cell>
          <cell r="B845" t="str">
            <v>22</v>
          </cell>
          <cell r="C845" t="str">
            <v>记-0049</v>
          </cell>
          <cell r="D845" t="str">
            <v>059</v>
          </cell>
          <cell r="E845" t="str">
            <v>血燕盏</v>
          </cell>
          <cell r="F845" t="str">
            <v>结转成本</v>
          </cell>
          <cell r="G845">
            <v>52.387270000000001</v>
          </cell>
          <cell r="H845">
            <v>0</v>
          </cell>
          <cell r="I845">
            <v>0</v>
          </cell>
          <cell r="J845">
            <v>600</v>
          </cell>
          <cell r="K845">
            <v>31432.36</v>
          </cell>
          <cell r="L845" t="str">
            <v>贷</v>
          </cell>
          <cell r="M845">
            <v>600</v>
          </cell>
          <cell r="N845">
            <v>0</v>
          </cell>
          <cell r="O845">
            <v>31432.39</v>
          </cell>
        </row>
        <row r="846">
          <cell r="A846" t="str">
            <v>09</v>
          </cell>
          <cell r="B846" t="str">
            <v>22</v>
          </cell>
          <cell r="C846" t="str">
            <v>记-0049</v>
          </cell>
          <cell r="D846" t="str">
            <v>059</v>
          </cell>
          <cell r="E846" t="str">
            <v>血燕盏</v>
          </cell>
          <cell r="F846" t="str">
            <v>结转成本</v>
          </cell>
          <cell r="G846">
            <v>37.178049999999999</v>
          </cell>
          <cell r="H846">
            <v>0</v>
          </cell>
          <cell r="I846">
            <v>0</v>
          </cell>
          <cell r="J846">
            <v>730</v>
          </cell>
          <cell r="K846">
            <v>27139.98</v>
          </cell>
          <cell r="L846" t="str">
            <v>贷</v>
          </cell>
          <cell r="M846">
            <v>1330</v>
          </cell>
          <cell r="N846">
            <v>0</v>
          </cell>
          <cell r="O846">
            <v>58572.37</v>
          </cell>
        </row>
        <row r="847">
          <cell r="A847" t="str">
            <v>09</v>
          </cell>
          <cell r="B847" t="str">
            <v>22</v>
          </cell>
          <cell r="C847" t="str">
            <v>记-0050</v>
          </cell>
          <cell r="D847" t="str">
            <v>059</v>
          </cell>
          <cell r="E847" t="str">
            <v>血燕盏</v>
          </cell>
          <cell r="F847" t="str">
            <v>结转成本</v>
          </cell>
          <cell r="G847">
            <v>52.387259999999998</v>
          </cell>
          <cell r="H847">
            <v>0</v>
          </cell>
          <cell r="I847">
            <v>0</v>
          </cell>
          <cell r="J847">
            <v>500</v>
          </cell>
          <cell r="K847">
            <v>26193.63</v>
          </cell>
          <cell r="L847" t="str">
            <v>贷</v>
          </cell>
          <cell r="M847">
            <v>1830</v>
          </cell>
          <cell r="N847">
            <v>0</v>
          </cell>
          <cell r="O847">
            <v>84766</v>
          </cell>
        </row>
        <row r="848">
          <cell r="A848" t="str">
            <v>09</v>
          </cell>
          <cell r="B848" t="str">
            <v>22</v>
          </cell>
          <cell r="C848" t="str">
            <v>记-0050</v>
          </cell>
          <cell r="D848" t="str">
            <v>059</v>
          </cell>
          <cell r="E848" t="str">
            <v>血燕盏</v>
          </cell>
          <cell r="F848" t="str">
            <v>结转成本</v>
          </cell>
          <cell r="G848">
            <v>48.162480000000002</v>
          </cell>
          <cell r="H848">
            <v>0</v>
          </cell>
          <cell r="I848">
            <v>0</v>
          </cell>
          <cell r="J848">
            <v>650</v>
          </cell>
          <cell r="K848">
            <v>31305.61</v>
          </cell>
          <cell r="L848" t="str">
            <v>贷</v>
          </cell>
          <cell r="M848">
            <v>2480</v>
          </cell>
          <cell r="N848">
            <v>0</v>
          </cell>
          <cell r="O848">
            <v>116071.61</v>
          </cell>
        </row>
        <row r="849">
          <cell r="A849" t="str">
            <v>09</v>
          </cell>
          <cell r="B849" t="str">
            <v>22</v>
          </cell>
          <cell r="C849" t="str">
            <v>记-0051</v>
          </cell>
          <cell r="D849" t="str">
            <v>059</v>
          </cell>
          <cell r="E849" t="str">
            <v>血燕盏</v>
          </cell>
          <cell r="F849" t="str">
            <v>收购产品</v>
          </cell>
          <cell r="G849">
            <v>52.387259999999998</v>
          </cell>
          <cell r="H849">
            <v>500</v>
          </cell>
          <cell r="I849">
            <v>26193.63</v>
          </cell>
          <cell r="J849">
            <v>0</v>
          </cell>
          <cell r="K849">
            <v>0</v>
          </cell>
          <cell r="L849" t="str">
            <v>贷</v>
          </cell>
          <cell r="M849">
            <v>1980</v>
          </cell>
          <cell r="N849">
            <v>0</v>
          </cell>
          <cell r="O849">
            <v>89877.98</v>
          </cell>
        </row>
        <row r="850">
          <cell r="A850" t="str">
            <v>09</v>
          </cell>
          <cell r="B850" t="str">
            <v>22</v>
          </cell>
          <cell r="C850" t="str">
            <v>记-0051</v>
          </cell>
          <cell r="D850" t="str">
            <v>059</v>
          </cell>
          <cell r="E850" t="str">
            <v>血燕盏</v>
          </cell>
          <cell r="F850" t="str">
            <v>收购产品</v>
          </cell>
          <cell r="G850">
            <v>48.162480000000002</v>
          </cell>
          <cell r="H850">
            <v>650</v>
          </cell>
          <cell r="I850">
            <v>31305.61</v>
          </cell>
          <cell r="J850">
            <v>0</v>
          </cell>
          <cell r="K850">
            <v>0</v>
          </cell>
          <cell r="L850" t="str">
            <v>贷</v>
          </cell>
          <cell r="M850">
            <v>1330</v>
          </cell>
          <cell r="N850">
            <v>0</v>
          </cell>
          <cell r="O850">
            <v>58572.37</v>
          </cell>
        </row>
        <row r="851">
          <cell r="A851" t="str">
            <v>09</v>
          </cell>
          <cell r="B851" t="str">
            <v>22</v>
          </cell>
          <cell r="C851" t="str">
            <v>记-0052</v>
          </cell>
          <cell r="D851" t="str">
            <v>059</v>
          </cell>
          <cell r="E851" t="str">
            <v>血燕盏</v>
          </cell>
          <cell r="F851" t="str">
            <v>收购产品</v>
          </cell>
          <cell r="G851">
            <v>52.387270000000001</v>
          </cell>
          <cell r="H851">
            <v>600</v>
          </cell>
          <cell r="I851">
            <v>31432.36</v>
          </cell>
          <cell r="J851">
            <v>0</v>
          </cell>
          <cell r="K851">
            <v>0</v>
          </cell>
          <cell r="L851" t="str">
            <v>贷</v>
          </cell>
          <cell r="M851">
            <v>730</v>
          </cell>
          <cell r="N851">
            <v>0</v>
          </cell>
          <cell r="O851">
            <v>27140.01</v>
          </cell>
        </row>
        <row r="852">
          <cell r="A852" t="str">
            <v>09</v>
          </cell>
          <cell r="B852" t="str">
            <v>22</v>
          </cell>
          <cell r="C852" t="str">
            <v>记-0052</v>
          </cell>
          <cell r="D852" t="str">
            <v>059</v>
          </cell>
          <cell r="E852" t="str">
            <v>血燕盏</v>
          </cell>
          <cell r="F852" t="str">
            <v>收购产品</v>
          </cell>
          <cell r="G852">
            <v>37.178049999999999</v>
          </cell>
          <cell r="H852">
            <v>730</v>
          </cell>
          <cell r="I852">
            <v>27139.98</v>
          </cell>
          <cell r="J852">
            <v>0</v>
          </cell>
          <cell r="K852">
            <v>0</v>
          </cell>
          <cell r="L852" t="str">
            <v>贷</v>
          </cell>
          <cell r="M852">
            <v>0</v>
          </cell>
          <cell r="N852">
            <v>0</v>
          </cell>
          <cell r="O852">
            <v>0.03</v>
          </cell>
        </row>
        <row r="853">
          <cell r="A853" t="str">
            <v>09</v>
          </cell>
          <cell r="F853" t="str">
            <v>本月合计</v>
          </cell>
          <cell r="G853">
            <v>0</v>
          </cell>
          <cell r="H853">
            <v>5266.1</v>
          </cell>
          <cell r="I853">
            <v>359424.33</v>
          </cell>
          <cell r="J853">
            <v>5266.1</v>
          </cell>
          <cell r="K853">
            <v>359424.33</v>
          </cell>
          <cell r="L853" t="str">
            <v>贷</v>
          </cell>
          <cell r="M853">
            <v>0</v>
          </cell>
          <cell r="N853">
            <v>0</v>
          </cell>
          <cell r="O853">
            <v>0.03</v>
          </cell>
        </row>
        <row r="854">
          <cell r="A854" t="str">
            <v>09</v>
          </cell>
          <cell r="F854" t="str">
            <v>累    计</v>
          </cell>
          <cell r="G854">
            <v>0</v>
          </cell>
          <cell r="H854">
            <v>20014.599999999999</v>
          </cell>
          <cell r="I854">
            <v>3283554.2</v>
          </cell>
          <cell r="J854">
            <v>20014.599999999999</v>
          </cell>
          <cell r="K854">
            <v>3283554.23</v>
          </cell>
          <cell r="L854" t="str">
            <v>贷</v>
          </cell>
          <cell r="M854">
            <v>0</v>
          </cell>
          <cell r="N854">
            <v>0</v>
          </cell>
          <cell r="O854">
            <v>0.03</v>
          </cell>
        </row>
        <row r="855">
          <cell r="A855" t="str">
            <v>10</v>
          </cell>
          <cell r="B855" t="str">
            <v>22</v>
          </cell>
          <cell r="C855" t="str">
            <v>记-0023</v>
          </cell>
          <cell r="D855" t="str">
            <v>059</v>
          </cell>
          <cell r="E855" t="str">
            <v>血燕盏</v>
          </cell>
          <cell r="F855" t="str">
            <v>结转成本</v>
          </cell>
          <cell r="G855">
            <v>49007.43</v>
          </cell>
          <cell r="H855">
            <v>0</v>
          </cell>
          <cell r="I855">
            <v>0</v>
          </cell>
          <cell r="J855">
            <v>1</v>
          </cell>
          <cell r="K855">
            <v>49007.43</v>
          </cell>
          <cell r="L855" t="str">
            <v>贷</v>
          </cell>
          <cell r="M855">
            <v>1</v>
          </cell>
          <cell r="N855">
            <v>0</v>
          </cell>
          <cell r="O855">
            <v>49007.46</v>
          </cell>
        </row>
        <row r="856">
          <cell r="A856" t="str">
            <v>10</v>
          </cell>
          <cell r="B856" t="str">
            <v>22</v>
          </cell>
          <cell r="C856" t="str">
            <v>记-0025</v>
          </cell>
          <cell r="D856" t="str">
            <v>059</v>
          </cell>
          <cell r="E856" t="str">
            <v>血燕盏</v>
          </cell>
          <cell r="F856" t="str">
            <v>结转成本</v>
          </cell>
          <cell r="G856">
            <v>16899.115000000002</v>
          </cell>
          <cell r="H856">
            <v>0</v>
          </cell>
          <cell r="I856">
            <v>0</v>
          </cell>
          <cell r="J856">
            <v>12</v>
          </cell>
          <cell r="K856">
            <v>202789.38</v>
          </cell>
          <cell r="L856" t="str">
            <v>贷</v>
          </cell>
          <cell r="M856">
            <v>13</v>
          </cell>
          <cell r="N856">
            <v>0</v>
          </cell>
          <cell r="O856">
            <v>251796.84</v>
          </cell>
        </row>
        <row r="857">
          <cell r="A857" t="str">
            <v>10</v>
          </cell>
          <cell r="B857" t="str">
            <v>22</v>
          </cell>
          <cell r="C857" t="str">
            <v>记-0029</v>
          </cell>
          <cell r="D857" t="str">
            <v>059</v>
          </cell>
          <cell r="E857" t="str">
            <v>血燕盏</v>
          </cell>
          <cell r="F857" t="str">
            <v>收购产品</v>
          </cell>
          <cell r="G857">
            <v>16899.115000000002</v>
          </cell>
          <cell r="H857">
            <v>12</v>
          </cell>
          <cell r="I857">
            <v>202789.38</v>
          </cell>
          <cell r="J857">
            <v>0</v>
          </cell>
          <cell r="K857">
            <v>0</v>
          </cell>
          <cell r="L857" t="str">
            <v>贷</v>
          </cell>
          <cell r="M857">
            <v>1</v>
          </cell>
          <cell r="N857">
            <v>0</v>
          </cell>
          <cell r="O857">
            <v>49007.46</v>
          </cell>
        </row>
        <row r="858">
          <cell r="A858" t="str">
            <v>10</v>
          </cell>
          <cell r="B858" t="str">
            <v>22</v>
          </cell>
          <cell r="C858" t="str">
            <v>记-0031</v>
          </cell>
          <cell r="D858" t="str">
            <v>059</v>
          </cell>
          <cell r="E858" t="str">
            <v>血燕盏</v>
          </cell>
          <cell r="F858" t="str">
            <v>收购产品</v>
          </cell>
          <cell r="G858">
            <v>49007.43</v>
          </cell>
          <cell r="H858">
            <v>1</v>
          </cell>
          <cell r="I858">
            <v>49007.43</v>
          </cell>
          <cell r="J858">
            <v>0</v>
          </cell>
          <cell r="K858">
            <v>0</v>
          </cell>
          <cell r="L858" t="str">
            <v>贷</v>
          </cell>
          <cell r="M858">
            <v>0</v>
          </cell>
          <cell r="N858">
            <v>0</v>
          </cell>
          <cell r="O858">
            <v>0.03</v>
          </cell>
        </row>
        <row r="859">
          <cell r="A859" t="str">
            <v>10</v>
          </cell>
          <cell r="F859" t="str">
            <v>本月合计</v>
          </cell>
          <cell r="G859">
            <v>0</v>
          </cell>
          <cell r="H859">
            <v>13</v>
          </cell>
          <cell r="I859">
            <v>251796.81</v>
          </cell>
          <cell r="J859">
            <v>13</v>
          </cell>
          <cell r="K859">
            <v>251796.81</v>
          </cell>
          <cell r="L859" t="str">
            <v>贷</v>
          </cell>
          <cell r="M859">
            <v>0</v>
          </cell>
          <cell r="N859">
            <v>0</v>
          </cell>
          <cell r="O859">
            <v>0.03</v>
          </cell>
        </row>
        <row r="860">
          <cell r="A860" t="str">
            <v>10</v>
          </cell>
          <cell r="F860" t="str">
            <v>累    计</v>
          </cell>
          <cell r="G860">
            <v>0</v>
          </cell>
          <cell r="H860">
            <v>20027.599999999999</v>
          </cell>
          <cell r="I860">
            <v>3535351.01</v>
          </cell>
          <cell r="J860">
            <v>20027.599999999999</v>
          </cell>
          <cell r="K860">
            <v>3535351.04</v>
          </cell>
          <cell r="L860" t="str">
            <v>贷</v>
          </cell>
          <cell r="M860">
            <v>0</v>
          </cell>
          <cell r="N860">
            <v>0</v>
          </cell>
          <cell r="O860">
            <v>0.03</v>
          </cell>
        </row>
        <row r="861">
          <cell r="A861" t="str">
            <v>12</v>
          </cell>
          <cell r="B861" t="str">
            <v>11</v>
          </cell>
          <cell r="C861" t="str">
            <v>记-0017</v>
          </cell>
          <cell r="D861" t="str">
            <v>059</v>
          </cell>
          <cell r="E861" t="str">
            <v>血燕盏</v>
          </cell>
          <cell r="F861" t="str">
            <v>收购产品</v>
          </cell>
          <cell r="G861">
            <v>47.486530000000002</v>
          </cell>
          <cell r="H861">
            <v>380</v>
          </cell>
          <cell r="I861">
            <v>18044.88</v>
          </cell>
          <cell r="J861">
            <v>0</v>
          </cell>
          <cell r="K861">
            <v>0</v>
          </cell>
          <cell r="L861" t="str">
            <v>借</v>
          </cell>
          <cell r="M861">
            <v>380</v>
          </cell>
          <cell r="N861">
            <v>0</v>
          </cell>
          <cell r="O861">
            <v>18044.849999999999</v>
          </cell>
        </row>
        <row r="862">
          <cell r="A862" t="str">
            <v>12</v>
          </cell>
          <cell r="B862" t="str">
            <v>11</v>
          </cell>
          <cell r="C862" t="str">
            <v>记-0017</v>
          </cell>
          <cell r="D862" t="str">
            <v>059</v>
          </cell>
          <cell r="E862" t="str">
            <v>血燕盏</v>
          </cell>
          <cell r="F862" t="str">
            <v>收购产品</v>
          </cell>
          <cell r="G862">
            <v>51.964779999999998</v>
          </cell>
          <cell r="H862">
            <v>500</v>
          </cell>
          <cell r="I862">
            <v>25982.39</v>
          </cell>
          <cell r="J862">
            <v>0</v>
          </cell>
          <cell r="K862">
            <v>0</v>
          </cell>
          <cell r="L862" t="str">
            <v>借</v>
          </cell>
          <cell r="M862">
            <v>880</v>
          </cell>
          <cell r="N862">
            <v>0</v>
          </cell>
          <cell r="O862">
            <v>44027.24</v>
          </cell>
        </row>
        <row r="863">
          <cell r="A863" t="str">
            <v>12</v>
          </cell>
          <cell r="B863" t="str">
            <v>11</v>
          </cell>
          <cell r="C863" t="str">
            <v>记-0018</v>
          </cell>
          <cell r="D863" t="str">
            <v>059</v>
          </cell>
          <cell r="E863" t="str">
            <v>血燕盏</v>
          </cell>
          <cell r="F863" t="str">
            <v>收购产品</v>
          </cell>
          <cell r="G863">
            <v>59.146909999999998</v>
          </cell>
          <cell r="H863">
            <v>450</v>
          </cell>
          <cell r="I863">
            <v>26616.11</v>
          </cell>
          <cell r="J863">
            <v>0</v>
          </cell>
          <cell r="K863">
            <v>0</v>
          </cell>
          <cell r="L863" t="str">
            <v>借</v>
          </cell>
          <cell r="M863">
            <v>1330</v>
          </cell>
          <cell r="N863">
            <v>0</v>
          </cell>
          <cell r="O863">
            <v>70643.350000000006</v>
          </cell>
        </row>
        <row r="864">
          <cell r="A864" t="str">
            <v>12</v>
          </cell>
          <cell r="B864" t="str">
            <v>11</v>
          </cell>
          <cell r="C864" t="str">
            <v>记-0018</v>
          </cell>
          <cell r="D864" t="str">
            <v>059</v>
          </cell>
          <cell r="E864" t="str">
            <v>血燕盏</v>
          </cell>
          <cell r="F864" t="str">
            <v>收购产品</v>
          </cell>
          <cell r="G864">
            <v>66.751509999999996</v>
          </cell>
          <cell r="H864">
            <v>430</v>
          </cell>
          <cell r="I864">
            <v>28703.15</v>
          </cell>
          <cell r="J864">
            <v>0</v>
          </cell>
          <cell r="K864">
            <v>0</v>
          </cell>
          <cell r="L864" t="str">
            <v>借</v>
          </cell>
          <cell r="M864">
            <v>1760</v>
          </cell>
          <cell r="N864">
            <v>0</v>
          </cell>
          <cell r="O864">
            <v>99346.5</v>
          </cell>
        </row>
        <row r="865">
          <cell r="A865" t="str">
            <v>12</v>
          </cell>
          <cell r="B865" t="str">
            <v>11</v>
          </cell>
          <cell r="C865" t="str">
            <v>记-0019</v>
          </cell>
          <cell r="D865" t="str">
            <v>059</v>
          </cell>
          <cell r="E865" t="str">
            <v>血燕盏</v>
          </cell>
          <cell r="F865" t="str">
            <v>收购产品</v>
          </cell>
          <cell r="G865">
            <v>47.486530000000002</v>
          </cell>
          <cell r="H865">
            <v>190</v>
          </cell>
          <cell r="I865">
            <v>9022.44</v>
          </cell>
          <cell r="J865">
            <v>0</v>
          </cell>
          <cell r="K865">
            <v>0</v>
          </cell>
          <cell r="L865" t="str">
            <v>借</v>
          </cell>
          <cell r="M865">
            <v>1950</v>
          </cell>
          <cell r="N865">
            <v>0</v>
          </cell>
          <cell r="O865">
            <v>108368.94</v>
          </cell>
        </row>
        <row r="866">
          <cell r="A866" t="str">
            <v>12</v>
          </cell>
          <cell r="B866" t="str">
            <v>11</v>
          </cell>
          <cell r="C866" t="str">
            <v>记-0019</v>
          </cell>
          <cell r="D866" t="str">
            <v>059</v>
          </cell>
          <cell r="E866" t="str">
            <v>血燕盏</v>
          </cell>
          <cell r="F866" t="str">
            <v>收购产品</v>
          </cell>
          <cell r="G866">
            <v>51.964799999999997</v>
          </cell>
          <cell r="H866">
            <v>200</v>
          </cell>
          <cell r="I866">
            <v>10392.959999999999</v>
          </cell>
          <cell r="J866">
            <v>0</v>
          </cell>
          <cell r="K866">
            <v>0</v>
          </cell>
          <cell r="L866" t="str">
            <v>借</v>
          </cell>
          <cell r="M866">
            <v>2150</v>
          </cell>
          <cell r="N866">
            <v>0</v>
          </cell>
          <cell r="O866">
            <v>118761.9</v>
          </cell>
        </row>
        <row r="867">
          <cell r="A867" t="str">
            <v>12</v>
          </cell>
          <cell r="B867" t="str">
            <v>11</v>
          </cell>
          <cell r="C867" t="str">
            <v>记-0021</v>
          </cell>
          <cell r="D867" t="str">
            <v>059</v>
          </cell>
          <cell r="E867" t="str">
            <v>血燕盏</v>
          </cell>
          <cell r="F867" t="str">
            <v>收购产品</v>
          </cell>
          <cell r="G867">
            <v>49.007429999999999</v>
          </cell>
          <cell r="H867">
            <v>1000</v>
          </cell>
          <cell r="I867">
            <v>49007.43</v>
          </cell>
          <cell r="J867">
            <v>0</v>
          </cell>
          <cell r="K867">
            <v>0</v>
          </cell>
          <cell r="L867" t="str">
            <v>借</v>
          </cell>
          <cell r="M867">
            <v>3150</v>
          </cell>
          <cell r="N867">
            <v>0</v>
          </cell>
          <cell r="O867">
            <v>167769.32999999999</v>
          </cell>
        </row>
        <row r="868">
          <cell r="A868" t="str">
            <v>12</v>
          </cell>
          <cell r="B868" t="str">
            <v>11</v>
          </cell>
          <cell r="C868" t="str">
            <v>记-0025</v>
          </cell>
          <cell r="D868" t="str">
            <v>059</v>
          </cell>
          <cell r="E868" t="str">
            <v>血燕盏</v>
          </cell>
          <cell r="F868" t="str">
            <v>收购产品</v>
          </cell>
          <cell r="G868">
            <v>47.486519999999999</v>
          </cell>
          <cell r="H868">
            <v>480</v>
          </cell>
          <cell r="I868">
            <v>22793.53</v>
          </cell>
          <cell r="J868">
            <v>0</v>
          </cell>
          <cell r="K868">
            <v>0</v>
          </cell>
          <cell r="L868" t="str">
            <v>借</v>
          </cell>
          <cell r="M868">
            <v>3630</v>
          </cell>
          <cell r="N868">
            <v>0</v>
          </cell>
          <cell r="O868">
            <v>190562.86</v>
          </cell>
        </row>
        <row r="869">
          <cell r="A869" t="str">
            <v>12</v>
          </cell>
          <cell r="B869" t="str">
            <v>11</v>
          </cell>
          <cell r="C869" t="str">
            <v>记-0025</v>
          </cell>
          <cell r="D869" t="str">
            <v>059</v>
          </cell>
          <cell r="E869" t="str">
            <v>血燕盏</v>
          </cell>
          <cell r="F869" t="str">
            <v>收购产品</v>
          </cell>
          <cell r="G869">
            <v>51.964779999999998</v>
          </cell>
          <cell r="H869">
            <v>630</v>
          </cell>
          <cell r="I869">
            <v>32737.81</v>
          </cell>
          <cell r="J869">
            <v>0</v>
          </cell>
          <cell r="K869">
            <v>0</v>
          </cell>
          <cell r="L869" t="str">
            <v>借</v>
          </cell>
          <cell r="M869">
            <v>4260</v>
          </cell>
          <cell r="N869">
            <v>0</v>
          </cell>
          <cell r="O869">
            <v>223300.67</v>
          </cell>
        </row>
        <row r="870">
          <cell r="A870" t="str">
            <v>12</v>
          </cell>
          <cell r="B870" t="str">
            <v>11</v>
          </cell>
          <cell r="C870" t="str">
            <v>记-0026</v>
          </cell>
          <cell r="D870" t="str">
            <v>059</v>
          </cell>
          <cell r="E870" t="str">
            <v>血燕盏</v>
          </cell>
          <cell r="F870" t="str">
            <v>收购产品</v>
          </cell>
          <cell r="G870">
            <v>22225.994999999999</v>
          </cell>
          <cell r="H870">
            <v>24</v>
          </cell>
          <cell r="I870">
            <v>533423.88</v>
          </cell>
          <cell r="J870">
            <v>0</v>
          </cell>
          <cell r="K870">
            <v>0</v>
          </cell>
          <cell r="L870" t="str">
            <v>借</v>
          </cell>
          <cell r="M870">
            <v>4284</v>
          </cell>
          <cell r="N870">
            <v>0</v>
          </cell>
          <cell r="O870">
            <v>756724.55</v>
          </cell>
        </row>
        <row r="871">
          <cell r="A871" t="str">
            <v>12</v>
          </cell>
          <cell r="B871" t="str">
            <v>11</v>
          </cell>
          <cell r="C871" t="str">
            <v>记-0027</v>
          </cell>
          <cell r="D871" t="str">
            <v>059</v>
          </cell>
          <cell r="E871" t="str">
            <v>血燕盏</v>
          </cell>
          <cell r="F871" t="str">
            <v>结转成本</v>
          </cell>
          <cell r="G871">
            <v>47.486530000000002</v>
          </cell>
          <cell r="H871">
            <v>0</v>
          </cell>
          <cell r="I871">
            <v>0</v>
          </cell>
          <cell r="J871">
            <v>190</v>
          </cell>
          <cell r="K871">
            <v>9022.44</v>
          </cell>
          <cell r="L871" t="str">
            <v>借</v>
          </cell>
          <cell r="M871">
            <v>4094</v>
          </cell>
          <cell r="N871">
            <v>0</v>
          </cell>
          <cell r="O871">
            <v>747702.11</v>
          </cell>
        </row>
        <row r="872">
          <cell r="A872" t="str">
            <v>12</v>
          </cell>
          <cell r="B872" t="str">
            <v>11</v>
          </cell>
          <cell r="C872" t="str">
            <v>记-0027</v>
          </cell>
          <cell r="D872" t="str">
            <v>059</v>
          </cell>
          <cell r="E872" t="str">
            <v>血燕盏</v>
          </cell>
          <cell r="F872" t="str">
            <v>结转成本</v>
          </cell>
          <cell r="G872">
            <v>51.964799999999997</v>
          </cell>
          <cell r="H872">
            <v>0</v>
          </cell>
          <cell r="I872">
            <v>0</v>
          </cell>
          <cell r="J872">
            <v>200</v>
          </cell>
          <cell r="K872">
            <v>10392.959999999999</v>
          </cell>
          <cell r="L872" t="str">
            <v>借</v>
          </cell>
          <cell r="M872">
            <v>3894</v>
          </cell>
          <cell r="N872">
            <v>0</v>
          </cell>
          <cell r="O872">
            <v>737309.15</v>
          </cell>
        </row>
        <row r="873">
          <cell r="A873" t="str">
            <v>12</v>
          </cell>
          <cell r="B873" t="str">
            <v>11</v>
          </cell>
          <cell r="C873" t="str">
            <v>记-0029</v>
          </cell>
          <cell r="D873" t="str">
            <v>059</v>
          </cell>
          <cell r="E873" t="str">
            <v>血燕盏</v>
          </cell>
          <cell r="F873" t="str">
            <v>结转成本</v>
          </cell>
          <cell r="G873">
            <v>49.007429999999999</v>
          </cell>
          <cell r="H873">
            <v>0</v>
          </cell>
          <cell r="I873">
            <v>0</v>
          </cell>
          <cell r="J873">
            <v>1000</v>
          </cell>
          <cell r="K873">
            <v>49007.43</v>
          </cell>
          <cell r="L873" t="str">
            <v>借</v>
          </cell>
          <cell r="M873">
            <v>2894</v>
          </cell>
          <cell r="N873">
            <v>0</v>
          </cell>
          <cell r="O873">
            <v>688301.72</v>
          </cell>
        </row>
        <row r="874">
          <cell r="A874" t="str">
            <v>12</v>
          </cell>
          <cell r="B874" t="str">
            <v>11</v>
          </cell>
          <cell r="C874" t="str">
            <v>记-0030</v>
          </cell>
          <cell r="D874" t="str">
            <v>059</v>
          </cell>
          <cell r="E874" t="str">
            <v>血燕盏</v>
          </cell>
          <cell r="F874" t="str">
            <v>结转成本</v>
          </cell>
          <cell r="G874">
            <v>59.146909999999998</v>
          </cell>
          <cell r="H874">
            <v>0</v>
          </cell>
          <cell r="I874">
            <v>0</v>
          </cell>
          <cell r="J874">
            <v>450</v>
          </cell>
          <cell r="K874">
            <v>26616.11</v>
          </cell>
          <cell r="L874" t="str">
            <v>借</v>
          </cell>
          <cell r="M874">
            <v>2444</v>
          </cell>
          <cell r="N874">
            <v>0</v>
          </cell>
          <cell r="O874">
            <v>661685.61</v>
          </cell>
        </row>
        <row r="875">
          <cell r="A875" t="str">
            <v>12</v>
          </cell>
          <cell r="B875" t="str">
            <v>11</v>
          </cell>
          <cell r="C875" t="str">
            <v>记-0030</v>
          </cell>
          <cell r="D875" t="str">
            <v>059</v>
          </cell>
          <cell r="E875" t="str">
            <v>血燕盏</v>
          </cell>
          <cell r="F875" t="str">
            <v>结转成本</v>
          </cell>
          <cell r="G875">
            <v>66.751509999999996</v>
          </cell>
          <cell r="H875">
            <v>0</v>
          </cell>
          <cell r="I875">
            <v>0</v>
          </cell>
          <cell r="J875">
            <v>430</v>
          </cell>
          <cell r="K875">
            <v>28703.15</v>
          </cell>
          <cell r="L875" t="str">
            <v>借</v>
          </cell>
          <cell r="M875">
            <v>2014</v>
          </cell>
          <cell r="N875">
            <v>0</v>
          </cell>
          <cell r="O875">
            <v>632982.46</v>
          </cell>
        </row>
        <row r="876">
          <cell r="A876" t="str">
            <v>12</v>
          </cell>
          <cell r="B876" t="str">
            <v>11</v>
          </cell>
          <cell r="C876" t="str">
            <v>记-0034</v>
          </cell>
          <cell r="D876" t="str">
            <v>059</v>
          </cell>
          <cell r="E876" t="str">
            <v>血燕盏</v>
          </cell>
          <cell r="F876" t="str">
            <v>结转成本</v>
          </cell>
          <cell r="G876">
            <v>47.486519999999999</v>
          </cell>
          <cell r="H876">
            <v>0</v>
          </cell>
          <cell r="I876">
            <v>0</v>
          </cell>
          <cell r="J876">
            <v>480</v>
          </cell>
          <cell r="K876">
            <v>22793.53</v>
          </cell>
          <cell r="L876" t="str">
            <v>借</v>
          </cell>
          <cell r="M876">
            <v>1534</v>
          </cell>
          <cell r="N876">
            <v>0</v>
          </cell>
          <cell r="O876">
            <v>610188.93000000005</v>
          </cell>
        </row>
        <row r="877">
          <cell r="A877" t="str">
            <v>12</v>
          </cell>
          <cell r="B877" t="str">
            <v>11</v>
          </cell>
          <cell r="C877" t="str">
            <v>记-0034</v>
          </cell>
          <cell r="D877" t="str">
            <v>059</v>
          </cell>
          <cell r="E877" t="str">
            <v>血燕盏</v>
          </cell>
          <cell r="F877" t="str">
            <v>结转成本</v>
          </cell>
          <cell r="G877">
            <v>51.964779999999998</v>
          </cell>
          <cell r="H877">
            <v>0</v>
          </cell>
          <cell r="I877">
            <v>0</v>
          </cell>
          <cell r="J877">
            <v>630</v>
          </cell>
          <cell r="K877">
            <v>32737.81</v>
          </cell>
          <cell r="L877" t="str">
            <v>借</v>
          </cell>
          <cell r="M877">
            <v>904</v>
          </cell>
          <cell r="N877">
            <v>0</v>
          </cell>
          <cell r="O877">
            <v>577451.12</v>
          </cell>
        </row>
        <row r="878">
          <cell r="A878" t="str">
            <v>12</v>
          </cell>
          <cell r="B878" t="str">
            <v>11</v>
          </cell>
          <cell r="C878" t="str">
            <v>记-0035</v>
          </cell>
          <cell r="D878" t="str">
            <v>059</v>
          </cell>
          <cell r="E878" t="str">
            <v>血燕盏</v>
          </cell>
          <cell r="F878" t="str">
            <v>结转成本</v>
          </cell>
          <cell r="G878">
            <v>22225.994999999999</v>
          </cell>
          <cell r="H878">
            <v>0</v>
          </cell>
          <cell r="I878">
            <v>0</v>
          </cell>
          <cell r="J878">
            <v>24</v>
          </cell>
          <cell r="K878">
            <v>533423.88</v>
          </cell>
          <cell r="L878" t="str">
            <v>借</v>
          </cell>
          <cell r="M878">
            <v>880</v>
          </cell>
          <cell r="N878">
            <v>0</v>
          </cell>
          <cell r="O878">
            <v>44027.24</v>
          </cell>
        </row>
        <row r="879">
          <cell r="A879" t="str">
            <v>12</v>
          </cell>
          <cell r="B879" t="str">
            <v>11</v>
          </cell>
          <cell r="C879" t="str">
            <v>记-0036</v>
          </cell>
          <cell r="D879" t="str">
            <v>059</v>
          </cell>
          <cell r="E879" t="str">
            <v>血燕盏</v>
          </cell>
          <cell r="F879" t="str">
            <v>结转成本</v>
          </cell>
          <cell r="G879">
            <v>47.486530000000002</v>
          </cell>
          <cell r="H879">
            <v>0</v>
          </cell>
          <cell r="I879">
            <v>0</v>
          </cell>
          <cell r="J879">
            <v>380</v>
          </cell>
          <cell r="K879">
            <v>18044.88</v>
          </cell>
          <cell r="L879" t="str">
            <v>借</v>
          </cell>
          <cell r="M879">
            <v>500</v>
          </cell>
          <cell r="N879">
            <v>0</v>
          </cell>
          <cell r="O879">
            <v>25982.36</v>
          </cell>
        </row>
        <row r="880">
          <cell r="A880" t="str">
            <v>12</v>
          </cell>
          <cell r="B880" t="str">
            <v>11</v>
          </cell>
          <cell r="C880" t="str">
            <v>记-0036</v>
          </cell>
          <cell r="D880" t="str">
            <v>059</v>
          </cell>
          <cell r="E880" t="str">
            <v>血燕盏</v>
          </cell>
          <cell r="F880" t="str">
            <v>结转成本</v>
          </cell>
          <cell r="G880">
            <v>51.964779999999998</v>
          </cell>
          <cell r="H880">
            <v>0</v>
          </cell>
          <cell r="I880">
            <v>0</v>
          </cell>
          <cell r="J880">
            <v>500</v>
          </cell>
          <cell r="K880">
            <v>25982.39</v>
          </cell>
          <cell r="L880" t="str">
            <v>贷</v>
          </cell>
          <cell r="M880">
            <v>0</v>
          </cell>
          <cell r="N880">
            <v>0</v>
          </cell>
          <cell r="O880">
            <v>0.03</v>
          </cell>
        </row>
        <row r="881">
          <cell r="A881" t="str">
            <v>12</v>
          </cell>
          <cell r="B881" t="str">
            <v>31</v>
          </cell>
          <cell r="C881" t="str">
            <v>记-0164</v>
          </cell>
          <cell r="D881" t="str">
            <v>059</v>
          </cell>
          <cell r="E881" t="str">
            <v>血燕盏</v>
          </cell>
          <cell r="F881" t="str">
            <v>调整1月30号凭</v>
          </cell>
          <cell r="G881">
            <v>0</v>
          </cell>
          <cell r="H881">
            <v>0</v>
          </cell>
          <cell r="I881">
            <v>0.03</v>
          </cell>
          <cell r="J881">
            <v>0</v>
          </cell>
          <cell r="K881">
            <v>0</v>
          </cell>
          <cell r="L881" t="str">
            <v>平</v>
          </cell>
          <cell r="M881">
            <v>0</v>
          </cell>
          <cell r="N881">
            <v>0</v>
          </cell>
          <cell r="O881">
            <v>0</v>
          </cell>
        </row>
        <row r="882">
          <cell r="A882" t="str">
            <v>12</v>
          </cell>
          <cell r="F882" t="str">
            <v>本月合计</v>
          </cell>
          <cell r="G882">
            <v>0</v>
          </cell>
          <cell r="H882">
            <v>4284</v>
          </cell>
          <cell r="I882">
            <v>756724.61</v>
          </cell>
          <cell r="J882">
            <v>4284</v>
          </cell>
          <cell r="K882">
            <v>756724.58</v>
          </cell>
          <cell r="L882" t="str">
            <v>平</v>
          </cell>
          <cell r="M882">
            <v>0</v>
          </cell>
          <cell r="N882">
            <v>0</v>
          </cell>
          <cell r="O882">
            <v>0</v>
          </cell>
        </row>
        <row r="883">
          <cell r="A883" t="str">
            <v>12</v>
          </cell>
          <cell r="E883" t="str">
            <v>血燕盏</v>
          </cell>
          <cell r="F883" t="str">
            <v>本年累计</v>
          </cell>
          <cell r="G883">
            <v>0</v>
          </cell>
          <cell r="H883">
            <v>24311.599999999999</v>
          </cell>
          <cell r="I883">
            <v>4292075.62</v>
          </cell>
          <cell r="J883">
            <v>24311.599999999999</v>
          </cell>
          <cell r="K883">
            <v>4292075.62</v>
          </cell>
          <cell r="L883" t="str">
            <v>平</v>
          </cell>
          <cell r="M883">
            <v>0</v>
          </cell>
          <cell r="N883">
            <v>0</v>
          </cell>
          <cell r="O883">
            <v>0</v>
          </cell>
        </row>
        <row r="884">
          <cell r="A884" t="str">
            <v>01</v>
          </cell>
          <cell r="B884" t="str">
            <v>31</v>
          </cell>
          <cell r="C884" t="str">
            <v>记-0029</v>
          </cell>
          <cell r="D884" t="str">
            <v>060</v>
          </cell>
          <cell r="E884" t="str">
            <v>白燕盏</v>
          </cell>
          <cell r="F884" t="str">
            <v>收购产品</v>
          </cell>
          <cell r="G884">
            <v>51.964779999999998</v>
          </cell>
          <cell r="H884">
            <v>1000</v>
          </cell>
          <cell r="I884">
            <v>51964.78</v>
          </cell>
          <cell r="J884">
            <v>0</v>
          </cell>
          <cell r="K884">
            <v>0</v>
          </cell>
          <cell r="L884" t="str">
            <v>借</v>
          </cell>
          <cell r="M884">
            <v>1000</v>
          </cell>
          <cell r="N884">
            <v>0</v>
          </cell>
          <cell r="O884">
            <v>51964.78</v>
          </cell>
        </row>
        <row r="885">
          <cell r="A885" t="str">
            <v>01</v>
          </cell>
          <cell r="B885" t="str">
            <v>31</v>
          </cell>
          <cell r="C885" t="str">
            <v>记-0029</v>
          </cell>
          <cell r="D885" t="str">
            <v>060</v>
          </cell>
          <cell r="E885" t="str">
            <v>白燕盏</v>
          </cell>
          <cell r="F885" t="str">
            <v>收购产品</v>
          </cell>
          <cell r="G885">
            <v>47.486510000000003</v>
          </cell>
          <cell r="H885">
            <v>1500</v>
          </cell>
          <cell r="I885">
            <v>71229.77</v>
          </cell>
          <cell r="J885">
            <v>0</v>
          </cell>
          <cell r="K885">
            <v>0</v>
          </cell>
          <cell r="L885" t="str">
            <v>借</v>
          </cell>
          <cell r="M885">
            <v>2500</v>
          </cell>
          <cell r="N885">
            <v>0</v>
          </cell>
          <cell r="O885">
            <v>123194.55</v>
          </cell>
        </row>
        <row r="886">
          <cell r="A886" t="str">
            <v>01</v>
          </cell>
          <cell r="B886" t="str">
            <v>31</v>
          </cell>
          <cell r="C886" t="str">
            <v>记-0030</v>
          </cell>
          <cell r="D886" t="str">
            <v>060</v>
          </cell>
          <cell r="E886" t="str">
            <v>白燕盏</v>
          </cell>
          <cell r="F886" t="str">
            <v>收购产品</v>
          </cell>
          <cell r="G886">
            <v>59.146929999999998</v>
          </cell>
          <cell r="H886">
            <v>150</v>
          </cell>
          <cell r="I886">
            <v>8872.0400000000009</v>
          </cell>
          <cell r="J886">
            <v>0</v>
          </cell>
          <cell r="K886">
            <v>0</v>
          </cell>
          <cell r="L886" t="str">
            <v>借</v>
          </cell>
          <cell r="M886">
            <v>2650</v>
          </cell>
          <cell r="N886">
            <v>0</v>
          </cell>
          <cell r="O886">
            <v>132066.59</v>
          </cell>
        </row>
        <row r="887">
          <cell r="A887" t="str">
            <v>01</v>
          </cell>
          <cell r="B887" t="str">
            <v>31</v>
          </cell>
          <cell r="C887" t="str">
            <v>记-0034</v>
          </cell>
          <cell r="D887" t="str">
            <v>060</v>
          </cell>
          <cell r="E887" t="str">
            <v>白燕盏</v>
          </cell>
          <cell r="F887" t="str">
            <v>收购产品</v>
          </cell>
          <cell r="G887">
            <v>15068.37456</v>
          </cell>
          <cell r="H887">
            <v>11.4</v>
          </cell>
          <cell r="I887">
            <v>171779.47</v>
          </cell>
          <cell r="J887">
            <v>0</v>
          </cell>
          <cell r="K887">
            <v>0</v>
          </cell>
          <cell r="L887" t="str">
            <v>借</v>
          </cell>
          <cell r="M887">
            <v>2661.4</v>
          </cell>
          <cell r="N887">
            <v>0</v>
          </cell>
          <cell r="O887">
            <v>303846.06</v>
          </cell>
        </row>
        <row r="888">
          <cell r="A888" t="str">
            <v>01</v>
          </cell>
          <cell r="B888" t="str">
            <v>31</v>
          </cell>
          <cell r="C888" t="str">
            <v>记-0035</v>
          </cell>
          <cell r="D888" t="str">
            <v>060</v>
          </cell>
          <cell r="E888" t="str">
            <v>白燕盏</v>
          </cell>
          <cell r="F888" t="str">
            <v>收购产品</v>
          </cell>
          <cell r="G888">
            <v>13800.94103</v>
          </cell>
          <cell r="H888">
            <v>7.8</v>
          </cell>
          <cell r="I888">
            <v>107647.34</v>
          </cell>
          <cell r="J888">
            <v>0</v>
          </cell>
          <cell r="K888">
            <v>0</v>
          </cell>
          <cell r="L888" t="str">
            <v>借</v>
          </cell>
          <cell r="M888">
            <v>2669.2</v>
          </cell>
          <cell r="N888">
            <v>0</v>
          </cell>
          <cell r="O888">
            <v>411493.4</v>
          </cell>
        </row>
        <row r="889">
          <cell r="A889" t="str">
            <v>01</v>
          </cell>
          <cell r="B889" t="str">
            <v>31</v>
          </cell>
          <cell r="C889" t="str">
            <v>记-0036</v>
          </cell>
          <cell r="D889" t="str">
            <v>060</v>
          </cell>
          <cell r="E889" t="str">
            <v>白燕盏</v>
          </cell>
          <cell r="F889" t="str">
            <v>收购产品</v>
          </cell>
          <cell r="G889">
            <v>16899.116669999999</v>
          </cell>
          <cell r="H889">
            <v>1.8</v>
          </cell>
          <cell r="I889">
            <v>30418.41</v>
          </cell>
          <cell r="J889">
            <v>0</v>
          </cell>
          <cell r="K889">
            <v>0</v>
          </cell>
          <cell r="L889" t="str">
            <v>借</v>
          </cell>
          <cell r="M889">
            <v>2671</v>
          </cell>
          <cell r="N889">
            <v>0</v>
          </cell>
          <cell r="O889">
            <v>441911.81</v>
          </cell>
        </row>
        <row r="890">
          <cell r="A890" t="str">
            <v>01</v>
          </cell>
          <cell r="B890" t="str">
            <v>31</v>
          </cell>
          <cell r="C890" t="str">
            <v>记-0043</v>
          </cell>
          <cell r="D890" t="str">
            <v>060</v>
          </cell>
          <cell r="E890" t="str">
            <v>白燕盏</v>
          </cell>
          <cell r="F890" t="str">
            <v>结转销售成本</v>
          </cell>
          <cell r="G890">
            <v>51.964779999999998</v>
          </cell>
          <cell r="H890">
            <v>0</v>
          </cell>
          <cell r="I890">
            <v>0</v>
          </cell>
          <cell r="J890">
            <v>1000</v>
          </cell>
          <cell r="K890">
            <v>51964.78</v>
          </cell>
          <cell r="L890" t="str">
            <v>借</v>
          </cell>
          <cell r="M890">
            <v>1671</v>
          </cell>
          <cell r="N890">
            <v>0</v>
          </cell>
          <cell r="O890">
            <v>389947.03</v>
          </cell>
        </row>
        <row r="891">
          <cell r="A891" t="str">
            <v>01</v>
          </cell>
          <cell r="B891" t="str">
            <v>31</v>
          </cell>
          <cell r="C891" t="str">
            <v>记-0043</v>
          </cell>
          <cell r="D891" t="str">
            <v>060</v>
          </cell>
          <cell r="E891" t="str">
            <v>白燕盏</v>
          </cell>
          <cell r="F891" t="str">
            <v>结转销售成本</v>
          </cell>
          <cell r="G891">
            <v>47.486510000000003</v>
          </cell>
          <cell r="H891">
            <v>0</v>
          </cell>
          <cell r="I891">
            <v>0</v>
          </cell>
          <cell r="J891">
            <v>1500</v>
          </cell>
          <cell r="K891">
            <v>71229.77</v>
          </cell>
          <cell r="L891" t="str">
            <v>借</v>
          </cell>
          <cell r="M891">
            <v>171</v>
          </cell>
          <cell r="N891">
            <v>0</v>
          </cell>
          <cell r="O891">
            <v>318717.26</v>
          </cell>
        </row>
        <row r="892">
          <cell r="A892" t="str">
            <v>01</v>
          </cell>
          <cell r="B892" t="str">
            <v>31</v>
          </cell>
          <cell r="C892" t="str">
            <v>记-0044</v>
          </cell>
          <cell r="D892" t="str">
            <v>060</v>
          </cell>
          <cell r="E892" t="str">
            <v>白燕盏</v>
          </cell>
          <cell r="F892" t="str">
            <v>结转销售成本</v>
          </cell>
          <cell r="G892">
            <v>59.146929999999998</v>
          </cell>
          <cell r="H892">
            <v>0</v>
          </cell>
          <cell r="I892">
            <v>0</v>
          </cell>
          <cell r="J892">
            <v>150</v>
          </cell>
          <cell r="K892">
            <v>8872.0400000000009</v>
          </cell>
          <cell r="L892" t="str">
            <v>借</v>
          </cell>
          <cell r="M892">
            <v>21</v>
          </cell>
          <cell r="N892">
            <v>0</v>
          </cell>
          <cell r="O892">
            <v>309845.21999999997</v>
          </cell>
        </row>
        <row r="893">
          <cell r="A893" t="str">
            <v>01</v>
          </cell>
          <cell r="B893" t="str">
            <v>31</v>
          </cell>
          <cell r="C893" t="str">
            <v>记-0048</v>
          </cell>
          <cell r="D893" t="str">
            <v>060</v>
          </cell>
          <cell r="E893" t="str">
            <v>白燕盏</v>
          </cell>
          <cell r="F893" t="str">
            <v>结转销售成本</v>
          </cell>
          <cell r="G893">
            <v>15068.37456</v>
          </cell>
          <cell r="H893">
            <v>0</v>
          </cell>
          <cell r="I893">
            <v>0</v>
          </cell>
          <cell r="J893">
            <v>11.4</v>
          </cell>
          <cell r="K893">
            <v>171779.47</v>
          </cell>
          <cell r="L893" t="str">
            <v>借</v>
          </cell>
          <cell r="M893">
            <v>9.6</v>
          </cell>
          <cell r="N893">
            <v>0</v>
          </cell>
          <cell r="O893">
            <v>138065.75</v>
          </cell>
        </row>
        <row r="894">
          <cell r="A894" t="str">
            <v>01</v>
          </cell>
          <cell r="B894" t="str">
            <v>31</v>
          </cell>
          <cell r="C894" t="str">
            <v>记-0049</v>
          </cell>
          <cell r="D894" t="str">
            <v>060</v>
          </cell>
          <cell r="E894" t="str">
            <v>白燕盏</v>
          </cell>
          <cell r="F894" t="str">
            <v>结转销售成本</v>
          </cell>
          <cell r="G894">
            <v>13800.94103</v>
          </cell>
          <cell r="H894">
            <v>0</v>
          </cell>
          <cell r="I894">
            <v>0</v>
          </cell>
          <cell r="J894">
            <v>7.8</v>
          </cell>
          <cell r="K894">
            <v>107647.34</v>
          </cell>
          <cell r="L894" t="str">
            <v>借</v>
          </cell>
          <cell r="M894">
            <v>1.8</v>
          </cell>
          <cell r="N894">
            <v>0</v>
          </cell>
          <cell r="O894">
            <v>30418.41</v>
          </cell>
        </row>
        <row r="895">
          <cell r="A895" t="str">
            <v>01</v>
          </cell>
          <cell r="B895" t="str">
            <v>31</v>
          </cell>
          <cell r="C895" t="str">
            <v>记-0050</v>
          </cell>
          <cell r="D895" t="str">
            <v>060</v>
          </cell>
          <cell r="E895" t="str">
            <v>白燕盏</v>
          </cell>
          <cell r="F895" t="str">
            <v>结转销售成本</v>
          </cell>
          <cell r="G895">
            <v>16899.116669999999</v>
          </cell>
          <cell r="H895">
            <v>0</v>
          </cell>
          <cell r="I895">
            <v>0</v>
          </cell>
          <cell r="J895">
            <v>1.8</v>
          </cell>
          <cell r="K895">
            <v>30418.41</v>
          </cell>
          <cell r="L895" t="str">
            <v>平</v>
          </cell>
          <cell r="M895">
            <v>0</v>
          </cell>
          <cell r="N895">
            <v>0</v>
          </cell>
          <cell r="O895">
            <v>0</v>
          </cell>
        </row>
        <row r="896">
          <cell r="A896" t="str">
            <v>01</v>
          </cell>
          <cell r="F896" t="str">
            <v>本月合计</v>
          </cell>
          <cell r="G896">
            <v>0</v>
          </cell>
          <cell r="H896">
            <v>2671</v>
          </cell>
          <cell r="I896">
            <v>441911.81</v>
          </cell>
          <cell r="J896">
            <v>2671</v>
          </cell>
          <cell r="K896">
            <v>441911.81</v>
          </cell>
          <cell r="L896" t="str">
            <v>平</v>
          </cell>
          <cell r="M896">
            <v>0</v>
          </cell>
          <cell r="N896">
            <v>0</v>
          </cell>
          <cell r="O896">
            <v>0</v>
          </cell>
        </row>
        <row r="897">
          <cell r="A897" t="str">
            <v>01</v>
          </cell>
          <cell r="F897" t="str">
            <v>累    计</v>
          </cell>
          <cell r="G897">
            <v>0</v>
          </cell>
          <cell r="H897">
            <v>2671</v>
          </cell>
          <cell r="I897">
            <v>441911.81</v>
          </cell>
          <cell r="J897">
            <v>2671</v>
          </cell>
          <cell r="K897">
            <v>441911.81</v>
          </cell>
          <cell r="L897" t="str">
            <v>平</v>
          </cell>
          <cell r="M897">
            <v>0</v>
          </cell>
          <cell r="N897">
            <v>0</v>
          </cell>
          <cell r="O897">
            <v>0</v>
          </cell>
        </row>
        <row r="898">
          <cell r="A898" t="str">
            <v>02</v>
          </cell>
          <cell r="B898" t="str">
            <v>28</v>
          </cell>
          <cell r="C898" t="str">
            <v>记-0060</v>
          </cell>
          <cell r="D898" t="str">
            <v>060</v>
          </cell>
          <cell r="E898" t="str">
            <v>白燕盏</v>
          </cell>
          <cell r="F898" t="str">
            <v>结转成本</v>
          </cell>
          <cell r="G898">
            <v>52.387270000000001</v>
          </cell>
          <cell r="H898">
            <v>0</v>
          </cell>
          <cell r="I898">
            <v>0</v>
          </cell>
          <cell r="J898">
            <v>300</v>
          </cell>
          <cell r="K898">
            <v>15716.18</v>
          </cell>
          <cell r="L898" t="str">
            <v>贷</v>
          </cell>
          <cell r="M898">
            <v>300</v>
          </cell>
          <cell r="N898">
            <v>0</v>
          </cell>
          <cell r="O898">
            <v>15716.18</v>
          </cell>
        </row>
        <row r="899">
          <cell r="A899" t="str">
            <v>02</v>
          </cell>
          <cell r="B899" t="str">
            <v>28</v>
          </cell>
          <cell r="C899" t="str">
            <v>记-0061</v>
          </cell>
          <cell r="D899" t="str">
            <v>060</v>
          </cell>
          <cell r="E899" t="str">
            <v>白燕盏</v>
          </cell>
          <cell r="F899" t="str">
            <v>结转成本</v>
          </cell>
          <cell r="G899">
            <v>58.555439999999997</v>
          </cell>
          <cell r="H899">
            <v>0</v>
          </cell>
          <cell r="I899">
            <v>0</v>
          </cell>
          <cell r="J899">
            <v>1100</v>
          </cell>
          <cell r="K899">
            <v>64410.98</v>
          </cell>
          <cell r="L899" t="str">
            <v>贷</v>
          </cell>
          <cell r="M899">
            <v>1400</v>
          </cell>
          <cell r="N899">
            <v>0</v>
          </cell>
          <cell r="O899">
            <v>80127.16</v>
          </cell>
        </row>
        <row r="900">
          <cell r="A900" t="str">
            <v>02</v>
          </cell>
          <cell r="B900" t="str">
            <v>28</v>
          </cell>
          <cell r="C900" t="str">
            <v>记-0061</v>
          </cell>
          <cell r="D900" t="str">
            <v>060</v>
          </cell>
          <cell r="E900" t="str">
            <v>白燕盏</v>
          </cell>
          <cell r="F900" t="str">
            <v>结转成本</v>
          </cell>
          <cell r="G900">
            <v>51.964779999999998</v>
          </cell>
          <cell r="H900">
            <v>0</v>
          </cell>
          <cell r="I900">
            <v>0</v>
          </cell>
          <cell r="J900">
            <v>1000</v>
          </cell>
          <cell r="K900">
            <v>51964.78</v>
          </cell>
          <cell r="L900" t="str">
            <v>贷</v>
          </cell>
          <cell r="M900">
            <v>2400</v>
          </cell>
          <cell r="N900">
            <v>0</v>
          </cell>
          <cell r="O900">
            <v>132091.94</v>
          </cell>
        </row>
        <row r="901">
          <cell r="A901" t="str">
            <v>02</v>
          </cell>
          <cell r="B901" t="str">
            <v>28</v>
          </cell>
          <cell r="C901" t="str">
            <v>记-0062</v>
          </cell>
          <cell r="D901" t="str">
            <v>060</v>
          </cell>
          <cell r="E901" t="str">
            <v>白燕盏</v>
          </cell>
          <cell r="F901" t="str">
            <v>结转成本</v>
          </cell>
          <cell r="G901">
            <v>15068.37487</v>
          </cell>
          <cell r="H901">
            <v>0</v>
          </cell>
          <cell r="I901">
            <v>0</v>
          </cell>
          <cell r="J901">
            <v>37.799999999999997</v>
          </cell>
          <cell r="K901">
            <v>569584.56999999995</v>
          </cell>
          <cell r="L901" t="str">
            <v>贷</v>
          </cell>
          <cell r="M901">
            <v>2437.8000000000002</v>
          </cell>
          <cell r="N901">
            <v>0</v>
          </cell>
          <cell r="O901">
            <v>701676.51</v>
          </cell>
        </row>
        <row r="902">
          <cell r="A902" t="str">
            <v>02</v>
          </cell>
          <cell r="B902" t="str">
            <v>28</v>
          </cell>
          <cell r="C902" t="str">
            <v>记-0063</v>
          </cell>
          <cell r="D902" t="str">
            <v>060</v>
          </cell>
          <cell r="E902" t="str">
            <v>白燕盏</v>
          </cell>
          <cell r="F902" t="str">
            <v>结转成本</v>
          </cell>
          <cell r="G902">
            <v>44.782649999999997</v>
          </cell>
          <cell r="H902">
            <v>0</v>
          </cell>
          <cell r="I902">
            <v>0</v>
          </cell>
          <cell r="J902">
            <v>1300</v>
          </cell>
          <cell r="K902">
            <v>58217.45</v>
          </cell>
          <cell r="L902" t="str">
            <v>贷</v>
          </cell>
          <cell r="M902">
            <v>3737.8</v>
          </cell>
          <cell r="N902">
            <v>0</v>
          </cell>
          <cell r="O902">
            <v>759893.96</v>
          </cell>
        </row>
        <row r="903">
          <cell r="A903" t="str">
            <v>02</v>
          </cell>
          <cell r="B903" t="str">
            <v>28</v>
          </cell>
          <cell r="C903" t="str">
            <v>记-0065</v>
          </cell>
          <cell r="D903" t="str">
            <v>060</v>
          </cell>
          <cell r="E903" t="str">
            <v>白燕盏</v>
          </cell>
          <cell r="F903" t="str">
            <v>收购产品</v>
          </cell>
          <cell r="G903">
            <v>58.555439999999997</v>
          </cell>
          <cell r="H903">
            <v>1100</v>
          </cell>
          <cell r="I903">
            <v>64410.98</v>
          </cell>
          <cell r="J903">
            <v>0</v>
          </cell>
          <cell r="K903">
            <v>0</v>
          </cell>
          <cell r="L903" t="str">
            <v>贷</v>
          </cell>
          <cell r="M903">
            <v>2637.8</v>
          </cell>
          <cell r="N903">
            <v>0</v>
          </cell>
          <cell r="O903">
            <v>695482.98</v>
          </cell>
        </row>
        <row r="904">
          <cell r="A904" t="str">
            <v>02</v>
          </cell>
          <cell r="B904" t="str">
            <v>28</v>
          </cell>
          <cell r="C904" t="str">
            <v>记-0065</v>
          </cell>
          <cell r="D904" t="str">
            <v>060</v>
          </cell>
          <cell r="E904" t="str">
            <v>白燕盏</v>
          </cell>
          <cell r="F904" t="str">
            <v>收购产品</v>
          </cell>
          <cell r="G904">
            <v>51.964779999999998</v>
          </cell>
          <cell r="H904">
            <v>1000</v>
          </cell>
          <cell r="I904">
            <v>51964.78</v>
          </cell>
          <cell r="J904">
            <v>0</v>
          </cell>
          <cell r="K904">
            <v>0</v>
          </cell>
          <cell r="L904" t="str">
            <v>贷</v>
          </cell>
          <cell r="M904">
            <v>1637.8</v>
          </cell>
          <cell r="N904">
            <v>0</v>
          </cell>
          <cell r="O904">
            <v>643518.19999999995</v>
          </cell>
        </row>
        <row r="905">
          <cell r="A905" t="str">
            <v>02</v>
          </cell>
          <cell r="B905" t="str">
            <v>28</v>
          </cell>
          <cell r="C905" t="str">
            <v>记-0066</v>
          </cell>
          <cell r="D905" t="str">
            <v>060</v>
          </cell>
          <cell r="E905" t="str">
            <v>白燕盏</v>
          </cell>
          <cell r="F905" t="str">
            <v>收购产品</v>
          </cell>
          <cell r="G905">
            <v>15068.37487</v>
          </cell>
          <cell r="H905">
            <v>37.799999999999997</v>
          </cell>
          <cell r="I905">
            <v>569584.56999999995</v>
          </cell>
          <cell r="J905">
            <v>0</v>
          </cell>
          <cell r="K905">
            <v>0</v>
          </cell>
          <cell r="L905" t="str">
            <v>贷</v>
          </cell>
          <cell r="M905">
            <v>1600</v>
          </cell>
          <cell r="N905">
            <v>0</v>
          </cell>
          <cell r="O905">
            <v>73933.63</v>
          </cell>
        </row>
        <row r="906">
          <cell r="A906" t="str">
            <v>02</v>
          </cell>
          <cell r="B906" t="str">
            <v>28</v>
          </cell>
          <cell r="C906" t="str">
            <v>记-0067</v>
          </cell>
          <cell r="D906" t="str">
            <v>060</v>
          </cell>
          <cell r="E906" t="str">
            <v>白燕盏</v>
          </cell>
          <cell r="F906" t="str">
            <v>收购产品</v>
          </cell>
          <cell r="G906">
            <v>52.387270000000001</v>
          </cell>
          <cell r="H906">
            <v>300</v>
          </cell>
          <cell r="I906">
            <v>15716.18</v>
          </cell>
          <cell r="J906">
            <v>0</v>
          </cell>
          <cell r="K906">
            <v>0</v>
          </cell>
          <cell r="L906" t="str">
            <v>贷</v>
          </cell>
          <cell r="M906">
            <v>1300</v>
          </cell>
          <cell r="N906">
            <v>0</v>
          </cell>
          <cell r="O906">
            <v>58217.45</v>
          </cell>
        </row>
        <row r="907">
          <cell r="A907" t="str">
            <v>02</v>
          </cell>
          <cell r="B907" t="str">
            <v>28</v>
          </cell>
          <cell r="C907" t="str">
            <v>记-0069</v>
          </cell>
          <cell r="D907" t="str">
            <v>060</v>
          </cell>
          <cell r="E907" t="str">
            <v>白燕盏</v>
          </cell>
          <cell r="F907" t="str">
            <v>收购产品</v>
          </cell>
          <cell r="G907">
            <v>44.782649999999997</v>
          </cell>
          <cell r="H907">
            <v>1300</v>
          </cell>
          <cell r="I907">
            <v>58217.45</v>
          </cell>
          <cell r="J907">
            <v>0</v>
          </cell>
          <cell r="K907">
            <v>0</v>
          </cell>
          <cell r="L907" t="str">
            <v>平</v>
          </cell>
          <cell r="M907">
            <v>0</v>
          </cell>
          <cell r="N907">
            <v>0</v>
          </cell>
          <cell r="O907">
            <v>0</v>
          </cell>
        </row>
        <row r="908">
          <cell r="A908" t="str">
            <v>02</v>
          </cell>
          <cell r="F908" t="str">
            <v>本月合计</v>
          </cell>
          <cell r="G908">
            <v>0</v>
          </cell>
          <cell r="H908">
            <v>3737.8</v>
          </cell>
          <cell r="I908">
            <v>759893.96</v>
          </cell>
          <cell r="J908">
            <v>3737.8</v>
          </cell>
          <cell r="K908">
            <v>759893.96</v>
          </cell>
          <cell r="L908" t="str">
            <v>平</v>
          </cell>
          <cell r="M908">
            <v>0</v>
          </cell>
          <cell r="N908">
            <v>0</v>
          </cell>
          <cell r="O908">
            <v>0</v>
          </cell>
        </row>
        <row r="909">
          <cell r="A909" t="str">
            <v>02</v>
          </cell>
          <cell r="F909" t="str">
            <v>累    计</v>
          </cell>
          <cell r="G909">
            <v>0</v>
          </cell>
          <cell r="H909">
            <v>6408.8</v>
          </cell>
          <cell r="I909">
            <v>1201805.77</v>
          </cell>
          <cell r="J909">
            <v>6408.8</v>
          </cell>
          <cell r="K909">
            <v>1201805.77</v>
          </cell>
          <cell r="L909" t="str">
            <v>平</v>
          </cell>
          <cell r="M909">
            <v>0</v>
          </cell>
          <cell r="N909">
            <v>0</v>
          </cell>
          <cell r="O909">
            <v>0</v>
          </cell>
        </row>
        <row r="910">
          <cell r="A910" t="str">
            <v>04</v>
          </cell>
          <cell r="B910" t="str">
            <v>30</v>
          </cell>
          <cell r="C910" t="str">
            <v>记-0041</v>
          </cell>
          <cell r="D910" t="str">
            <v>060</v>
          </cell>
          <cell r="E910" t="str">
            <v>白燕盏</v>
          </cell>
          <cell r="F910" t="str">
            <v>收购产品</v>
          </cell>
          <cell r="G910">
            <v>58.301940000000002</v>
          </cell>
          <cell r="H910">
            <v>900</v>
          </cell>
          <cell r="I910">
            <v>52471.75</v>
          </cell>
          <cell r="J910">
            <v>0</v>
          </cell>
          <cell r="K910">
            <v>0</v>
          </cell>
          <cell r="L910" t="str">
            <v>借</v>
          </cell>
          <cell r="M910">
            <v>900</v>
          </cell>
          <cell r="N910">
            <v>0</v>
          </cell>
          <cell r="O910">
            <v>52471.75</v>
          </cell>
        </row>
        <row r="911">
          <cell r="A911" t="str">
            <v>04</v>
          </cell>
          <cell r="B911" t="str">
            <v>30</v>
          </cell>
          <cell r="C911" t="str">
            <v>记-0041</v>
          </cell>
          <cell r="D911" t="str">
            <v>060</v>
          </cell>
          <cell r="E911" t="str">
            <v>白燕盏</v>
          </cell>
          <cell r="F911" t="str">
            <v>收购产品</v>
          </cell>
          <cell r="G911">
            <v>36.333100000000002</v>
          </cell>
          <cell r="H911">
            <v>700</v>
          </cell>
          <cell r="I911">
            <v>25433.17</v>
          </cell>
          <cell r="J911">
            <v>0</v>
          </cell>
          <cell r="K911">
            <v>0</v>
          </cell>
          <cell r="L911" t="str">
            <v>借</v>
          </cell>
          <cell r="M911">
            <v>1600</v>
          </cell>
          <cell r="N911">
            <v>0</v>
          </cell>
          <cell r="O911">
            <v>77904.92</v>
          </cell>
        </row>
        <row r="912">
          <cell r="A912" t="str">
            <v>04</v>
          </cell>
          <cell r="B912" t="str">
            <v>30</v>
          </cell>
          <cell r="C912" t="str">
            <v>记-0041</v>
          </cell>
          <cell r="D912" t="str">
            <v>060</v>
          </cell>
          <cell r="E912" t="str">
            <v>白燕盏</v>
          </cell>
          <cell r="F912" t="str">
            <v>收购产品</v>
          </cell>
          <cell r="G912">
            <v>38.023009999999999</v>
          </cell>
          <cell r="H912">
            <v>1000</v>
          </cell>
          <cell r="I912">
            <v>38023.01</v>
          </cell>
          <cell r="J912">
            <v>0</v>
          </cell>
          <cell r="K912">
            <v>0</v>
          </cell>
          <cell r="L912" t="str">
            <v>借</v>
          </cell>
          <cell r="M912">
            <v>2600</v>
          </cell>
          <cell r="N912">
            <v>0</v>
          </cell>
          <cell r="O912">
            <v>115927.93</v>
          </cell>
        </row>
        <row r="913">
          <cell r="A913" t="str">
            <v>04</v>
          </cell>
          <cell r="B913" t="str">
            <v>30</v>
          </cell>
          <cell r="C913" t="str">
            <v>记-0041</v>
          </cell>
          <cell r="D913" t="str">
            <v>060</v>
          </cell>
          <cell r="E913" t="str">
            <v>白燕盏</v>
          </cell>
          <cell r="F913" t="str">
            <v>收购产品</v>
          </cell>
          <cell r="G913">
            <v>52.387259999999998</v>
          </cell>
          <cell r="H913">
            <v>800</v>
          </cell>
          <cell r="I913">
            <v>41909.81</v>
          </cell>
          <cell r="J913">
            <v>0</v>
          </cell>
          <cell r="K913">
            <v>0</v>
          </cell>
          <cell r="L913" t="str">
            <v>借</v>
          </cell>
          <cell r="M913">
            <v>3400</v>
          </cell>
          <cell r="N913">
            <v>0</v>
          </cell>
          <cell r="O913">
            <v>157837.74</v>
          </cell>
        </row>
        <row r="914">
          <cell r="A914" t="str">
            <v>04</v>
          </cell>
          <cell r="B914" t="str">
            <v>30</v>
          </cell>
          <cell r="C914" t="str">
            <v>记-0042</v>
          </cell>
          <cell r="D914" t="str">
            <v>060</v>
          </cell>
          <cell r="E914" t="str">
            <v>白燕盏</v>
          </cell>
          <cell r="F914" t="str">
            <v>收购产品</v>
          </cell>
          <cell r="G914">
            <v>59.146920000000001</v>
          </cell>
          <cell r="H914">
            <v>120</v>
          </cell>
          <cell r="I914">
            <v>7097.63</v>
          </cell>
          <cell r="J914">
            <v>0</v>
          </cell>
          <cell r="K914">
            <v>0</v>
          </cell>
          <cell r="L914" t="str">
            <v>借</v>
          </cell>
          <cell r="M914">
            <v>3520</v>
          </cell>
          <cell r="N914">
            <v>0</v>
          </cell>
          <cell r="O914">
            <v>164935.37</v>
          </cell>
        </row>
        <row r="915">
          <cell r="A915" t="str">
            <v>04</v>
          </cell>
          <cell r="B915" t="str">
            <v>30</v>
          </cell>
          <cell r="C915" t="str">
            <v>记-0042</v>
          </cell>
          <cell r="D915" t="str">
            <v>060</v>
          </cell>
          <cell r="E915" t="str">
            <v>白燕盏</v>
          </cell>
          <cell r="F915" t="str">
            <v>收购产品</v>
          </cell>
          <cell r="G915">
            <v>39712.93333</v>
          </cell>
          <cell r="H915">
            <v>0.3</v>
          </cell>
          <cell r="I915">
            <v>11913.88</v>
          </cell>
          <cell r="J915">
            <v>0</v>
          </cell>
          <cell r="K915">
            <v>0</v>
          </cell>
          <cell r="L915" t="str">
            <v>借</v>
          </cell>
          <cell r="M915">
            <v>3520.3</v>
          </cell>
          <cell r="N915">
            <v>0</v>
          </cell>
          <cell r="O915">
            <v>176849.25</v>
          </cell>
        </row>
        <row r="916">
          <cell r="A916" t="str">
            <v>04</v>
          </cell>
          <cell r="B916" t="str">
            <v>30</v>
          </cell>
          <cell r="C916" t="str">
            <v>记-0042</v>
          </cell>
          <cell r="D916" t="str">
            <v>060</v>
          </cell>
          <cell r="E916" t="str">
            <v>白燕盏</v>
          </cell>
          <cell r="F916" t="str">
            <v>收购产品</v>
          </cell>
          <cell r="G916">
            <v>44.782629999999997</v>
          </cell>
          <cell r="H916">
            <v>160</v>
          </cell>
          <cell r="I916">
            <v>7165.22</v>
          </cell>
          <cell r="J916">
            <v>0</v>
          </cell>
          <cell r="K916">
            <v>0</v>
          </cell>
          <cell r="L916" t="str">
            <v>借</v>
          </cell>
          <cell r="M916">
            <v>3680.3</v>
          </cell>
          <cell r="N916">
            <v>0</v>
          </cell>
          <cell r="O916">
            <v>184014.47</v>
          </cell>
        </row>
        <row r="917">
          <cell r="A917" t="str">
            <v>04</v>
          </cell>
          <cell r="B917" t="str">
            <v>30</v>
          </cell>
          <cell r="C917" t="str">
            <v>记-0042</v>
          </cell>
          <cell r="D917" t="str">
            <v>060</v>
          </cell>
          <cell r="E917" t="str">
            <v>白燕盏</v>
          </cell>
          <cell r="F917" t="str">
            <v>收购产品</v>
          </cell>
          <cell r="G917">
            <v>52.387279999999997</v>
          </cell>
          <cell r="H917">
            <v>180</v>
          </cell>
          <cell r="I917">
            <v>9429.7099999999991</v>
          </cell>
          <cell r="J917">
            <v>0</v>
          </cell>
          <cell r="K917">
            <v>0</v>
          </cell>
          <cell r="L917" t="str">
            <v>借</v>
          </cell>
          <cell r="M917">
            <v>3860.3</v>
          </cell>
          <cell r="N917">
            <v>0</v>
          </cell>
          <cell r="O917">
            <v>193444.18</v>
          </cell>
        </row>
        <row r="918">
          <cell r="A918" t="str">
            <v>04</v>
          </cell>
          <cell r="B918" t="str">
            <v>30</v>
          </cell>
          <cell r="C918" t="str">
            <v>记-0043</v>
          </cell>
          <cell r="D918" t="str">
            <v>060</v>
          </cell>
          <cell r="E918" t="str">
            <v>白燕盏</v>
          </cell>
          <cell r="F918" t="str">
            <v>收购产品</v>
          </cell>
          <cell r="G918">
            <v>52.387239999999998</v>
          </cell>
          <cell r="H918">
            <v>958</v>
          </cell>
          <cell r="I918">
            <v>50186.98</v>
          </cell>
          <cell r="J918">
            <v>0</v>
          </cell>
          <cell r="K918">
            <v>0</v>
          </cell>
          <cell r="L918" t="str">
            <v>借</v>
          </cell>
          <cell r="M918">
            <v>4818.3</v>
          </cell>
          <cell r="N918">
            <v>0</v>
          </cell>
          <cell r="O918">
            <v>243631.16</v>
          </cell>
        </row>
        <row r="919">
          <cell r="A919" t="str">
            <v>04</v>
          </cell>
          <cell r="B919" t="str">
            <v>30</v>
          </cell>
          <cell r="C919" t="str">
            <v>记-0044</v>
          </cell>
          <cell r="D919" t="str">
            <v>060</v>
          </cell>
          <cell r="E919" t="str">
            <v>白燕盏</v>
          </cell>
          <cell r="F919" t="str">
            <v>转成本</v>
          </cell>
          <cell r="G919">
            <v>52.387279999999997</v>
          </cell>
          <cell r="H919">
            <v>0</v>
          </cell>
          <cell r="I919">
            <v>0</v>
          </cell>
          <cell r="J919">
            <v>180</v>
          </cell>
          <cell r="K919">
            <v>9429.7099999999991</v>
          </cell>
          <cell r="L919" t="str">
            <v>借</v>
          </cell>
          <cell r="M919">
            <v>4638.3</v>
          </cell>
          <cell r="N919">
            <v>0</v>
          </cell>
          <cell r="O919">
            <v>234201.45</v>
          </cell>
        </row>
        <row r="920">
          <cell r="A920" t="str">
            <v>04</v>
          </cell>
          <cell r="B920" t="str">
            <v>30</v>
          </cell>
          <cell r="C920" t="str">
            <v>记-0044</v>
          </cell>
          <cell r="D920" t="str">
            <v>060</v>
          </cell>
          <cell r="E920" t="str">
            <v>白燕盏</v>
          </cell>
          <cell r="F920" t="str">
            <v>转成本</v>
          </cell>
          <cell r="G920">
            <v>59.146920000000001</v>
          </cell>
          <cell r="H920">
            <v>0</v>
          </cell>
          <cell r="I920">
            <v>0</v>
          </cell>
          <cell r="J920">
            <v>120</v>
          </cell>
          <cell r="K920">
            <v>7097.63</v>
          </cell>
          <cell r="L920" t="str">
            <v>借</v>
          </cell>
          <cell r="M920">
            <v>4518.3</v>
          </cell>
          <cell r="N920">
            <v>0</v>
          </cell>
          <cell r="O920">
            <v>227103.82</v>
          </cell>
        </row>
        <row r="921">
          <cell r="A921" t="str">
            <v>04</v>
          </cell>
          <cell r="B921" t="str">
            <v>30</v>
          </cell>
          <cell r="C921" t="str">
            <v>记-0044</v>
          </cell>
          <cell r="D921" t="str">
            <v>060</v>
          </cell>
          <cell r="E921" t="str">
            <v>白燕盏</v>
          </cell>
          <cell r="F921" t="str">
            <v>转成本</v>
          </cell>
          <cell r="G921">
            <v>39712.93333</v>
          </cell>
          <cell r="H921">
            <v>0</v>
          </cell>
          <cell r="I921">
            <v>0</v>
          </cell>
          <cell r="J921">
            <v>0.3</v>
          </cell>
          <cell r="K921">
            <v>11913.88</v>
          </cell>
          <cell r="L921" t="str">
            <v>借</v>
          </cell>
          <cell r="M921">
            <v>4518</v>
          </cell>
          <cell r="N921">
            <v>0</v>
          </cell>
          <cell r="O921">
            <v>215189.94</v>
          </cell>
        </row>
        <row r="922">
          <cell r="A922" t="str">
            <v>04</v>
          </cell>
          <cell r="B922" t="str">
            <v>30</v>
          </cell>
          <cell r="C922" t="str">
            <v>记-0044</v>
          </cell>
          <cell r="D922" t="str">
            <v>060</v>
          </cell>
          <cell r="E922" t="str">
            <v>白燕盏</v>
          </cell>
          <cell r="F922" t="str">
            <v>转成本</v>
          </cell>
          <cell r="G922">
            <v>44.782629999999997</v>
          </cell>
          <cell r="H922">
            <v>0</v>
          </cell>
          <cell r="I922">
            <v>0</v>
          </cell>
          <cell r="J922">
            <v>160</v>
          </cell>
          <cell r="K922">
            <v>7165.22</v>
          </cell>
          <cell r="L922" t="str">
            <v>借</v>
          </cell>
          <cell r="M922">
            <v>4358</v>
          </cell>
          <cell r="N922">
            <v>0</v>
          </cell>
          <cell r="O922">
            <v>208024.72</v>
          </cell>
        </row>
        <row r="923">
          <cell r="A923" t="str">
            <v>04</v>
          </cell>
          <cell r="B923" t="str">
            <v>30</v>
          </cell>
          <cell r="C923" t="str">
            <v>记-0045</v>
          </cell>
          <cell r="D923" t="str">
            <v>060</v>
          </cell>
          <cell r="E923" t="str">
            <v>白燕盏</v>
          </cell>
          <cell r="F923" t="str">
            <v>转成本</v>
          </cell>
          <cell r="G923">
            <v>58.301940000000002</v>
          </cell>
          <cell r="H923">
            <v>0</v>
          </cell>
          <cell r="I923">
            <v>0</v>
          </cell>
          <cell r="J923">
            <v>900</v>
          </cell>
          <cell r="K923">
            <v>52471.75</v>
          </cell>
          <cell r="L923" t="str">
            <v>借</v>
          </cell>
          <cell r="M923">
            <v>3458</v>
          </cell>
          <cell r="N923">
            <v>0</v>
          </cell>
          <cell r="O923">
            <v>155552.97</v>
          </cell>
        </row>
        <row r="924">
          <cell r="A924" t="str">
            <v>04</v>
          </cell>
          <cell r="B924" t="str">
            <v>30</v>
          </cell>
          <cell r="C924" t="str">
            <v>记-0045</v>
          </cell>
          <cell r="D924" t="str">
            <v>060</v>
          </cell>
          <cell r="E924" t="str">
            <v>白燕盏</v>
          </cell>
          <cell r="F924" t="str">
            <v>转成本</v>
          </cell>
          <cell r="G924">
            <v>36.333100000000002</v>
          </cell>
          <cell r="H924">
            <v>0</v>
          </cell>
          <cell r="I924">
            <v>0</v>
          </cell>
          <cell r="J924">
            <v>700</v>
          </cell>
          <cell r="K924">
            <v>25433.17</v>
          </cell>
          <cell r="L924" t="str">
            <v>借</v>
          </cell>
          <cell r="M924">
            <v>2758</v>
          </cell>
          <cell r="N924">
            <v>0</v>
          </cell>
          <cell r="O924">
            <v>130119.8</v>
          </cell>
        </row>
        <row r="925">
          <cell r="A925" t="str">
            <v>04</v>
          </cell>
          <cell r="B925" t="str">
            <v>30</v>
          </cell>
          <cell r="C925" t="str">
            <v>记-0045</v>
          </cell>
          <cell r="D925" t="str">
            <v>060</v>
          </cell>
          <cell r="E925" t="str">
            <v>白燕盏</v>
          </cell>
          <cell r="F925" t="str">
            <v>转成本</v>
          </cell>
          <cell r="G925">
            <v>38.023009999999999</v>
          </cell>
          <cell r="H925">
            <v>0</v>
          </cell>
          <cell r="I925">
            <v>0</v>
          </cell>
          <cell r="J925">
            <v>1000</v>
          </cell>
          <cell r="K925">
            <v>38023.01</v>
          </cell>
          <cell r="L925" t="str">
            <v>借</v>
          </cell>
          <cell r="M925">
            <v>1758</v>
          </cell>
          <cell r="N925">
            <v>0</v>
          </cell>
          <cell r="O925">
            <v>92096.79</v>
          </cell>
        </row>
        <row r="926">
          <cell r="A926" t="str">
            <v>04</v>
          </cell>
          <cell r="B926" t="str">
            <v>30</v>
          </cell>
          <cell r="C926" t="str">
            <v>记-0045</v>
          </cell>
          <cell r="D926" t="str">
            <v>060</v>
          </cell>
          <cell r="E926" t="str">
            <v>白燕盏</v>
          </cell>
          <cell r="F926" t="str">
            <v>转成本</v>
          </cell>
          <cell r="G926">
            <v>52.387250000000002</v>
          </cell>
          <cell r="H926">
            <v>0</v>
          </cell>
          <cell r="I926">
            <v>0</v>
          </cell>
          <cell r="J926">
            <v>800</v>
          </cell>
          <cell r="K926">
            <v>41909.800000000003</v>
          </cell>
          <cell r="L926" t="str">
            <v>借</v>
          </cell>
          <cell r="M926">
            <v>958</v>
          </cell>
          <cell r="N926">
            <v>0</v>
          </cell>
          <cell r="O926">
            <v>50186.99</v>
          </cell>
        </row>
        <row r="927">
          <cell r="A927" t="str">
            <v>04</v>
          </cell>
          <cell r="B927" t="str">
            <v>30</v>
          </cell>
          <cell r="C927" t="str">
            <v>记-0046</v>
          </cell>
          <cell r="D927" t="str">
            <v>060</v>
          </cell>
          <cell r="E927" t="str">
            <v>白燕盏</v>
          </cell>
          <cell r="F927" t="str">
            <v>转成本</v>
          </cell>
          <cell r="G927">
            <v>39.712919999999997</v>
          </cell>
          <cell r="H927">
            <v>0</v>
          </cell>
          <cell r="I927">
            <v>0</v>
          </cell>
          <cell r="J927">
            <v>901</v>
          </cell>
          <cell r="K927">
            <v>35781.339999999997</v>
          </cell>
          <cell r="L927" t="str">
            <v>借</v>
          </cell>
          <cell r="M927">
            <v>57</v>
          </cell>
          <cell r="N927">
            <v>0</v>
          </cell>
          <cell r="O927">
            <v>14405.65</v>
          </cell>
        </row>
        <row r="928">
          <cell r="A928" t="str">
            <v>04</v>
          </cell>
          <cell r="B928" t="str">
            <v>30</v>
          </cell>
          <cell r="C928" t="str">
            <v>记-0046</v>
          </cell>
          <cell r="D928" t="str">
            <v>060</v>
          </cell>
          <cell r="E928" t="str">
            <v>白燕盏</v>
          </cell>
          <cell r="F928" t="str">
            <v>转成本</v>
          </cell>
          <cell r="G928">
            <v>44.78266</v>
          </cell>
          <cell r="H928">
            <v>0</v>
          </cell>
          <cell r="I928">
            <v>0</v>
          </cell>
          <cell r="J928">
            <v>900</v>
          </cell>
          <cell r="K928">
            <v>40304.39</v>
          </cell>
          <cell r="L928" t="str">
            <v>贷</v>
          </cell>
          <cell r="M928">
            <v>843</v>
          </cell>
          <cell r="N928">
            <v>0</v>
          </cell>
          <cell r="O928">
            <v>25898.74</v>
          </cell>
        </row>
        <row r="929">
          <cell r="A929" t="str">
            <v>04</v>
          </cell>
          <cell r="B929" t="str">
            <v>30</v>
          </cell>
          <cell r="C929" t="str">
            <v>记-0046</v>
          </cell>
          <cell r="D929" t="str">
            <v>060</v>
          </cell>
          <cell r="E929" t="str">
            <v>白燕盏</v>
          </cell>
          <cell r="F929" t="str">
            <v>转成本</v>
          </cell>
          <cell r="G929">
            <v>52.387239999999998</v>
          </cell>
          <cell r="H929">
            <v>0</v>
          </cell>
          <cell r="I929">
            <v>0</v>
          </cell>
          <cell r="J929">
            <v>958</v>
          </cell>
          <cell r="K929">
            <v>50186.98</v>
          </cell>
          <cell r="L929" t="str">
            <v>贷</v>
          </cell>
          <cell r="M929">
            <v>1801</v>
          </cell>
          <cell r="N929">
            <v>0</v>
          </cell>
          <cell r="O929">
            <v>76085.72</v>
          </cell>
        </row>
        <row r="930">
          <cell r="A930" t="str">
            <v>04</v>
          </cell>
          <cell r="F930" t="str">
            <v>本月合计</v>
          </cell>
          <cell r="G930">
            <v>0</v>
          </cell>
          <cell r="H930">
            <v>4818.3</v>
          </cell>
          <cell r="I930">
            <v>243631.16</v>
          </cell>
          <cell r="J930">
            <v>6619.3</v>
          </cell>
          <cell r="K930">
            <v>319716.88</v>
          </cell>
          <cell r="L930" t="str">
            <v>贷</v>
          </cell>
          <cell r="M930">
            <v>1801</v>
          </cell>
          <cell r="N930">
            <v>42.246369999999999</v>
          </cell>
          <cell r="O930">
            <v>76085.72</v>
          </cell>
        </row>
        <row r="931">
          <cell r="A931" t="str">
            <v>04</v>
          </cell>
          <cell r="F931" t="str">
            <v>累    计</v>
          </cell>
          <cell r="G931">
            <v>0</v>
          </cell>
          <cell r="H931">
            <v>11227.1</v>
          </cell>
          <cell r="I931">
            <v>1445436.93</v>
          </cell>
          <cell r="J931">
            <v>13028.1</v>
          </cell>
          <cell r="K931">
            <v>1521522.65</v>
          </cell>
          <cell r="L931" t="str">
            <v>贷</v>
          </cell>
          <cell r="M931">
            <v>1801</v>
          </cell>
          <cell r="N931">
            <v>42.246369999999999</v>
          </cell>
          <cell r="O931">
            <v>76085.72</v>
          </cell>
        </row>
        <row r="932">
          <cell r="A932" t="str">
            <v>05</v>
          </cell>
          <cell r="B932" t="str">
            <v>31</v>
          </cell>
          <cell r="C932" t="str">
            <v>记-0032</v>
          </cell>
          <cell r="D932" t="str">
            <v>060</v>
          </cell>
          <cell r="E932" t="str">
            <v>白燕盏</v>
          </cell>
          <cell r="F932" t="str">
            <v>转成本</v>
          </cell>
          <cell r="G932">
            <v>21.605519999999999</v>
          </cell>
          <cell r="H932">
            <v>0</v>
          </cell>
          <cell r="I932">
            <v>0</v>
          </cell>
          <cell r="J932">
            <v>4250</v>
          </cell>
          <cell r="K932">
            <v>91823.45</v>
          </cell>
          <cell r="L932" t="str">
            <v>贷</v>
          </cell>
          <cell r="M932">
            <v>6051</v>
          </cell>
          <cell r="N932">
            <v>0</v>
          </cell>
          <cell r="O932">
            <v>167909.17</v>
          </cell>
        </row>
        <row r="933">
          <cell r="A933" t="str">
            <v>05</v>
          </cell>
          <cell r="B933" t="str">
            <v>31</v>
          </cell>
          <cell r="C933" t="str">
            <v>记-0033</v>
          </cell>
          <cell r="D933" t="str">
            <v>060</v>
          </cell>
          <cell r="E933" t="str">
            <v>白燕盏</v>
          </cell>
          <cell r="F933" t="str">
            <v>转成本</v>
          </cell>
          <cell r="G933">
            <v>20.61692</v>
          </cell>
          <cell r="H933">
            <v>0</v>
          </cell>
          <cell r="I933">
            <v>0</v>
          </cell>
          <cell r="J933">
            <v>1000</v>
          </cell>
          <cell r="K933">
            <v>20616.919999999998</v>
          </cell>
          <cell r="L933" t="str">
            <v>贷</v>
          </cell>
          <cell r="M933">
            <v>7051</v>
          </cell>
          <cell r="N933">
            <v>0</v>
          </cell>
          <cell r="O933">
            <v>188526.09</v>
          </cell>
        </row>
        <row r="934">
          <cell r="A934" t="str">
            <v>05</v>
          </cell>
          <cell r="B934" t="str">
            <v>31</v>
          </cell>
          <cell r="C934" t="str">
            <v>记-0034</v>
          </cell>
          <cell r="D934" t="str">
            <v>060</v>
          </cell>
          <cell r="E934" t="str">
            <v>白燕盏</v>
          </cell>
          <cell r="F934" t="str">
            <v>转成本</v>
          </cell>
          <cell r="G934">
            <v>38.656730000000003</v>
          </cell>
          <cell r="H934">
            <v>0</v>
          </cell>
          <cell r="I934">
            <v>0</v>
          </cell>
          <cell r="J934">
            <v>2000</v>
          </cell>
          <cell r="K934">
            <v>77313.45</v>
          </cell>
          <cell r="L934" t="str">
            <v>贷</v>
          </cell>
          <cell r="M934">
            <v>9051</v>
          </cell>
          <cell r="N934">
            <v>0</v>
          </cell>
          <cell r="O934">
            <v>265839.53999999998</v>
          </cell>
        </row>
        <row r="935">
          <cell r="A935" t="str">
            <v>05</v>
          </cell>
          <cell r="B935" t="str">
            <v>31</v>
          </cell>
          <cell r="C935" t="str">
            <v>记-0084</v>
          </cell>
          <cell r="D935" t="str">
            <v>060</v>
          </cell>
          <cell r="E935" t="str">
            <v>白燕盏</v>
          </cell>
          <cell r="F935" t="str">
            <v>调整4月41号凭</v>
          </cell>
          <cell r="G935">
            <v>58.301940000000002</v>
          </cell>
          <cell r="H935">
            <v>-900</v>
          </cell>
          <cell r="I935">
            <v>-52471.75</v>
          </cell>
          <cell r="J935">
            <v>0</v>
          </cell>
          <cell r="K935">
            <v>0</v>
          </cell>
          <cell r="L935" t="str">
            <v>贷</v>
          </cell>
          <cell r="M935">
            <v>9951</v>
          </cell>
          <cell r="N935">
            <v>0</v>
          </cell>
          <cell r="O935">
            <v>318311.28999999998</v>
          </cell>
        </row>
        <row r="936">
          <cell r="A936" t="str">
            <v>05</v>
          </cell>
          <cell r="B936" t="str">
            <v>31</v>
          </cell>
          <cell r="C936" t="str">
            <v>记-0084</v>
          </cell>
          <cell r="D936" t="str">
            <v>060</v>
          </cell>
          <cell r="E936" t="str">
            <v>白燕盏</v>
          </cell>
          <cell r="F936" t="str">
            <v>调整4月41号凭</v>
          </cell>
          <cell r="G936">
            <v>36.333100000000002</v>
          </cell>
          <cell r="H936">
            <v>-700</v>
          </cell>
          <cell r="I936">
            <v>-25433.17</v>
          </cell>
          <cell r="J936">
            <v>0</v>
          </cell>
          <cell r="K936">
            <v>0</v>
          </cell>
          <cell r="L936" t="str">
            <v>贷</v>
          </cell>
          <cell r="M936">
            <v>10651</v>
          </cell>
          <cell r="N936">
            <v>0</v>
          </cell>
          <cell r="O936">
            <v>343744.46</v>
          </cell>
        </row>
        <row r="937">
          <cell r="A937" t="str">
            <v>05</v>
          </cell>
          <cell r="B937" t="str">
            <v>31</v>
          </cell>
          <cell r="C937" t="str">
            <v>记-0084</v>
          </cell>
          <cell r="D937" t="str">
            <v>060</v>
          </cell>
          <cell r="E937" t="str">
            <v>白燕盏</v>
          </cell>
          <cell r="F937" t="str">
            <v>调整4月41号凭</v>
          </cell>
          <cell r="G937">
            <v>38.023009999999999</v>
          </cell>
          <cell r="H937">
            <v>-1000</v>
          </cell>
          <cell r="I937">
            <v>-38023.01</v>
          </cell>
          <cell r="J937">
            <v>0</v>
          </cell>
          <cell r="K937">
            <v>0</v>
          </cell>
          <cell r="L937" t="str">
            <v>贷</v>
          </cell>
          <cell r="M937">
            <v>11651</v>
          </cell>
          <cell r="N937">
            <v>0</v>
          </cell>
          <cell r="O937">
            <v>381767.47</v>
          </cell>
        </row>
        <row r="938">
          <cell r="A938" t="str">
            <v>05</v>
          </cell>
          <cell r="B938" t="str">
            <v>31</v>
          </cell>
          <cell r="C938" t="str">
            <v>记-0084</v>
          </cell>
          <cell r="D938" t="str">
            <v>060</v>
          </cell>
          <cell r="E938" t="str">
            <v>白燕盏</v>
          </cell>
          <cell r="F938" t="str">
            <v>调整4月41号凭</v>
          </cell>
          <cell r="G938">
            <v>52.387259999999998</v>
          </cell>
          <cell r="H938">
            <v>-800</v>
          </cell>
          <cell r="I938">
            <v>-41909.81</v>
          </cell>
          <cell r="J938">
            <v>0</v>
          </cell>
          <cell r="K938">
            <v>0</v>
          </cell>
          <cell r="L938" t="str">
            <v>贷</v>
          </cell>
          <cell r="M938">
            <v>12451</v>
          </cell>
          <cell r="N938">
            <v>0</v>
          </cell>
          <cell r="O938">
            <v>423677.28</v>
          </cell>
        </row>
        <row r="939">
          <cell r="A939" t="str">
            <v>05</v>
          </cell>
          <cell r="B939" t="str">
            <v>31</v>
          </cell>
          <cell r="C939" t="str">
            <v>记-0085</v>
          </cell>
          <cell r="D939" t="str">
            <v>060</v>
          </cell>
          <cell r="E939" t="str">
            <v>白燕盏</v>
          </cell>
          <cell r="F939" t="str">
            <v>调整4月41号凭</v>
          </cell>
          <cell r="G939">
            <v>58.301940000000002</v>
          </cell>
          <cell r="H939">
            <v>900</v>
          </cell>
          <cell r="I939">
            <v>52471.75</v>
          </cell>
          <cell r="J939">
            <v>0</v>
          </cell>
          <cell r="K939">
            <v>0</v>
          </cell>
          <cell r="L939" t="str">
            <v>贷</v>
          </cell>
          <cell r="M939">
            <v>11551</v>
          </cell>
          <cell r="N939">
            <v>0</v>
          </cell>
          <cell r="O939">
            <v>371205.53</v>
          </cell>
        </row>
        <row r="940">
          <cell r="A940" t="str">
            <v>05</v>
          </cell>
          <cell r="B940" t="str">
            <v>31</v>
          </cell>
          <cell r="C940" t="str">
            <v>记-0085</v>
          </cell>
          <cell r="D940" t="str">
            <v>060</v>
          </cell>
          <cell r="E940" t="str">
            <v>白燕盏</v>
          </cell>
          <cell r="F940" t="str">
            <v>调整4月41号凭</v>
          </cell>
          <cell r="G940">
            <v>36.333100000000002</v>
          </cell>
          <cell r="H940">
            <v>700</v>
          </cell>
          <cell r="I940">
            <v>25433.17</v>
          </cell>
          <cell r="J940">
            <v>0</v>
          </cell>
          <cell r="K940">
            <v>0</v>
          </cell>
          <cell r="L940" t="str">
            <v>贷</v>
          </cell>
          <cell r="M940">
            <v>10851</v>
          </cell>
          <cell r="N940">
            <v>0</v>
          </cell>
          <cell r="O940">
            <v>345772.36</v>
          </cell>
        </row>
        <row r="941">
          <cell r="A941" t="str">
            <v>05</v>
          </cell>
          <cell r="B941" t="str">
            <v>31</v>
          </cell>
          <cell r="C941" t="str">
            <v>记-0085</v>
          </cell>
          <cell r="D941" t="str">
            <v>060</v>
          </cell>
          <cell r="E941" t="str">
            <v>白燕盏</v>
          </cell>
          <cell r="F941" t="str">
            <v>调整4月41号凭</v>
          </cell>
          <cell r="G941">
            <v>38.023009999999999</v>
          </cell>
          <cell r="H941">
            <v>1000</v>
          </cell>
          <cell r="I941">
            <v>38023.01</v>
          </cell>
          <cell r="J941">
            <v>0</v>
          </cell>
          <cell r="K941">
            <v>0</v>
          </cell>
          <cell r="L941" t="str">
            <v>贷</v>
          </cell>
          <cell r="M941">
            <v>9851</v>
          </cell>
          <cell r="N941">
            <v>0</v>
          </cell>
          <cell r="O941">
            <v>307749.34999999998</v>
          </cell>
        </row>
        <row r="942">
          <cell r="A942" t="str">
            <v>05</v>
          </cell>
          <cell r="B942" t="str">
            <v>31</v>
          </cell>
          <cell r="C942" t="str">
            <v>记-0085</v>
          </cell>
          <cell r="D942" t="str">
            <v>060</v>
          </cell>
          <cell r="E942" t="str">
            <v>白燕盏</v>
          </cell>
          <cell r="F942" t="str">
            <v>调整4月41号凭</v>
          </cell>
          <cell r="G942">
            <v>52.387259999999998</v>
          </cell>
          <cell r="H942">
            <v>800</v>
          </cell>
          <cell r="I942">
            <v>41909.81</v>
          </cell>
          <cell r="J942">
            <v>0</v>
          </cell>
          <cell r="K942">
            <v>0</v>
          </cell>
          <cell r="L942" t="str">
            <v>贷</v>
          </cell>
          <cell r="M942">
            <v>9051</v>
          </cell>
          <cell r="N942">
            <v>0</v>
          </cell>
          <cell r="O942">
            <v>265839.53999999998</v>
          </cell>
        </row>
        <row r="943">
          <cell r="A943" t="str">
            <v>05</v>
          </cell>
          <cell r="B943" t="str">
            <v>31</v>
          </cell>
          <cell r="C943" t="str">
            <v>记-0088</v>
          </cell>
          <cell r="D943" t="str">
            <v>060</v>
          </cell>
          <cell r="E943" t="str">
            <v>白燕盏</v>
          </cell>
          <cell r="F943" t="str">
            <v>收购产品</v>
          </cell>
          <cell r="G943">
            <v>20.61692</v>
          </cell>
          <cell r="H943">
            <v>1000</v>
          </cell>
          <cell r="I943">
            <v>20616.919999999998</v>
          </cell>
          <cell r="J943">
            <v>0</v>
          </cell>
          <cell r="K943">
            <v>0</v>
          </cell>
          <cell r="L943" t="str">
            <v>贷</v>
          </cell>
          <cell r="M943">
            <v>8051</v>
          </cell>
          <cell r="N943">
            <v>0</v>
          </cell>
          <cell r="O943">
            <v>245222.62</v>
          </cell>
        </row>
        <row r="944">
          <cell r="A944" t="str">
            <v>05</v>
          </cell>
          <cell r="B944" t="str">
            <v>31</v>
          </cell>
          <cell r="C944" t="str">
            <v>记-0088</v>
          </cell>
          <cell r="D944" t="str">
            <v>060</v>
          </cell>
          <cell r="E944" t="str">
            <v>白燕盏</v>
          </cell>
          <cell r="F944" t="str">
            <v>收购产品</v>
          </cell>
          <cell r="G944">
            <v>38.656730000000003</v>
          </cell>
          <cell r="H944">
            <v>2000</v>
          </cell>
          <cell r="I944">
            <v>77313.45</v>
          </cell>
          <cell r="J944">
            <v>0</v>
          </cell>
          <cell r="K944">
            <v>0</v>
          </cell>
          <cell r="L944" t="str">
            <v>贷</v>
          </cell>
          <cell r="M944">
            <v>6051</v>
          </cell>
          <cell r="N944">
            <v>0</v>
          </cell>
          <cell r="O944">
            <v>167909.17</v>
          </cell>
        </row>
        <row r="945">
          <cell r="A945" t="str">
            <v>05</v>
          </cell>
          <cell r="B945" t="str">
            <v>31</v>
          </cell>
          <cell r="C945" t="str">
            <v>记-0088</v>
          </cell>
          <cell r="D945" t="str">
            <v>060</v>
          </cell>
          <cell r="E945" t="str">
            <v>白燕盏</v>
          </cell>
          <cell r="F945" t="str">
            <v>收购产品</v>
          </cell>
          <cell r="G945">
            <v>21.605519999999999</v>
          </cell>
          <cell r="H945">
            <v>4250</v>
          </cell>
          <cell r="I945">
            <v>91823.45</v>
          </cell>
          <cell r="J945">
            <v>0</v>
          </cell>
          <cell r="K945">
            <v>0</v>
          </cell>
          <cell r="L945" t="str">
            <v>贷</v>
          </cell>
          <cell r="M945">
            <v>1801</v>
          </cell>
          <cell r="N945">
            <v>0</v>
          </cell>
          <cell r="O945">
            <v>76085.72</v>
          </cell>
        </row>
        <row r="946">
          <cell r="A946" t="str">
            <v>05</v>
          </cell>
          <cell r="F946" t="str">
            <v>本月合计</v>
          </cell>
          <cell r="G946">
            <v>0</v>
          </cell>
          <cell r="H946">
            <v>7250</v>
          </cell>
          <cell r="I946">
            <v>189753.82</v>
          </cell>
          <cell r="J946">
            <v>7250</v>
          </cell>
          <cell r="K946">
            <v>189753.82</v>
          </cell>
          <cell r="L946" t="str">
            <v>贷</v>
          </cell>
          <cell r="M946">
            <v>1801</v>
          </cell>
          <cell r="N946">
            <v>42.246369999999999</v>
          </cell>
          <cell r="O946">
            <v>76085.72</v>
          </cell>
        </row>
        <row r="947">
          <cell r="A947" t="str">
            <v>05</v>
          </cell>
          <cell r="F947" t="str">
            <v>累    计</v>
          </cell>
          <cell r="G947">
            <v>0</v>
          </cell>
          <cell r="H947">
            <v>18477.099999999999</v>
          </cell>
          <cell r="I947">
            <v>1635190.75</v>
          </cell>
          <cell r="J947">
            <v>20278.099999999999</v>
          </cell>
          <cell r="K947">
            <v>1711276.47</v>
          </cell>
          <cell r="L947" t="str">
            <v>贷</v>
          </cell>
          <cell r="M947">
            <v>1801</v>
          </cell>
          <cell r="N947">
            <v>42.246369999999999</v>
          </cell>
          <cell r="O947">
            <v>76085.72</v>
          </cell>
        </row>
        <row r="948">
          <cell r="A948" t="str">
            <v>06</v>
          </cell>
          <cell r="B948" t="str">
            <v>24</v>
          </cell>
          <cell r="C948" t="str">
            <v>记-0021</v>
          </cell>
          <cell r="D948" t="str">
            <v>060</v>
          </cell>
          <cell r="E948" t="str">
            <v>白燕盏</v>
          </cell>
          <cell r="F948" t="str">
            <v>收购产品</v>
          </cell>
          <cell r="G948">
            <v>15068.37464</v>
          </cell>
          <cell r="H948">
            <v>13.8</v>
          </cell>
          <cell r="I948">
            <v>207943.57</v>
          </cell>
          <cell r="J948">
            <v>0</v>
          </cell>
          <cell r="K948">
            <v>0</v>
          </cell>
          <cell r="L948" t="str">
            <v>借</v>
          </cell>
          <cell r="M948">
            <v>-1787.2</v>
          </cell>
          <cell r="N948">
            <v>0</v>
          </cell>
          <cell r="O948">
            <v>131857.85</v>
          </cell>
        </row>
        <row r="949">
          <cell r="A949" t="str">
            <v>06</v>
          </cell>
          <cell r="B949" t="str">
            <v>24</v>
          </cell>
          <cell r="C949" t="str">
            <v>记-0021</v>
          </cell>
          <cell r="D949" t="str">
            <v>060</v>
          </cell>
          <cell r="E949" t="str">
            <v>白燕盏</v>
          </cell>
          <cell r="F949" t="str">
            <v>收购产品</v>
          </cell>
          <cell r="G949">
            <v>14364.24783</v>
          </cell>
          <cell r="H949">
            <v>13.8</v>
          </cell>
          <cell r="I949">
            <v>198226.62</v>
          </cell>
          <cell r="J949">
            <v>0</v>
          </cell>
          <cell r="K949">
            <v>0</v>
          </cell>
          <cell r="L949" t="str">
            <v>借</v>
          </cell>
          <cell r="M949">
            <v>-1773.4</v>
          </cell>
          <cell r="N949">
            <v>0</v>
          </cell>
          <cell r="O949">
            <v>330084.46999999997</v>
          </cell>
        </row>
        <row r="950">
          <cell r="A950" t="str">
            <v>06</v>
          </cell>
          <cell r="B950" t="str">
            <v>24</v>
          </cell>
          <cell r="C950" t="str">
            <v>记-0024</v>
          </cell>
          <cell r="D950" t="str">
            <v>060</v>
          </cell>
          <cell r="E950" t="str">
            <v>白燕盏</v>
          </cell>
          <cell r="F950" t="str">
            <v>收购产品</v>
          </cell>
          <cell r="G950">
            <v>38656.720000000001</v>
          </cell>
          <cell r="H950">
            <v>1</v>
          </cell>
          <cell r="I950">
            <v>38656.720000000001</v>
          </cell>
          <cell r="J950">
            <v>0</v>
          </cell>
          <cell r="K950">
            <v>0</v>
          </cell>
          <cell r="L950" t="str">
            <v>借</v>
          </cell>
          <cell r="M950">
            <v>-1772.4</v>
          </cell>
          <cell r="N950">
            <v>0</v>
          </cell>
          <cell r="O950">
            <v>368741.19</v>
          </cell>
        </row>
        <row r="951">
          <cell r="A951" t="str">
            <v>06</v>
          </cell>
          <cell r="B951" t="str">
            <v>24</v>
          </cell>
          <cell r="C951" t="str">
            <v>记-0027</v>
          </cell>
          <cell r="D951" t="str">
            <v>060</v>
          </cell>
          <cell r="E951" t="str">
            <v>白燕盏</v>
          </cell>
          <cell r="F951" t="str">
            <v>转成本</v>
          </cell>
          <cell r="G951">
            <v>38656.720000000001</v>
          </cell>
          <cell r="H951">
            <v>0</v>
          </cell>
          <cell r="I951">
            <v>0</v>
          </cell>
          <cell r="J951">
            <v>1</v>
          </cell>
          <cell r="K951">
            <v>38656.720000000001</v>
          </cell>
          <cell r="L951" t="str">
            <v>借</v>
          </cell>
          <cell r="M951">
            <v>-1773.4</v>
          </cell>
          <cell r="N951">
            <v>0</v>
          </cell>
          <cell r="O951">
            <v>330084.46999999997</v>
          </cell>
        </row>
        <row r="952">
          <cell r="A952" t="str">
            <v>06</v>
          </cell>
          <cell r="B952" t="str">
            <v>24</v>
          </cell>
          <cell r="C952" t="str">
            <v>记-0029</v>
          </cell>
          <cell r="D952" t="str">
            <v>060</v>
          </cell>
          <cell r="E952" t="str">
            <v>白燕盏</v>
          </cell>
          <cell r="F952" t="str">
            <v>转成本</v>
          </cell>
          <cell r="G952">
            <v>15068.37464</v>
          </cell>
          <cell r="H952">
            <v>0</v>
          </cell>
          <cell r="I952">
            <v>0</v>
          </cell>
          <cell r="J952">
            <v>13.8</v>
          </cell>
          <cell r="K952">
            <v>207943.57</v>
          </cell>
          <cell r="L952" t="str">
            <v>借</v>
          </cell>
          <cell r="M952">
            <v>-1787.2</v>
          </cell>
          <cell r="N952">
            <v>0</v>
          </cell>
          <cell r="O952">
            <v>122140.9</v>
          </cell>
        </row>
        <row r="953">
          <cell r="A953" t="str">
            <v>06</v>
          </cell>
          <cell r="B953" t="str">
            <v>24</v>
          </cell>
          <cell r="C953" t="str">
            <v>记-0029</v>
          </cell>
          <cell r="D953" t="str">
            <v>060</v>
          </cell>
          <cell r="E953" t="str">
            <v>白燕盏</v>
          </cell>
          <cell r="F953" t="str">
            <v>转成本</v>
          </cell>
          <cell r="G953">
            <v>14364.24783</v>
          </cell>
          <cell r="H953">
            <v>0</v>
          </cell>
          <cell r="I953">
            <v>0</v>
          </cell>
          <cell r="J953">
            <v>13.8</v>
          </cell>
          <cell r="K953">
            <v>198226.62</v>
          </cell>
          <cell r="L953" t="str">
            <v>贷</v>
          </cell>
          <cell r="M953">
            <v>1801</v>
          </cell>
          <cell r="N953">
            <v>0</v>
          </cell>
          <cell r="O953">
            <v>76085.72</v>
          </cell>
        </row>
        <row r="954">
          <cell r="A954" t="str">
            <v>06</v>
          </cell>
          <cell r="F954" t="str">
            <v>本月合计</v>
          </cell>
          <cell r="G954">
            <v>0</v>
          </cell>
          <cell r="H954">
            <v>28.6</v>
          </cell>
          <cell r="I954">
            <v>444826.91</v>
          </cell>
          <cell r="J954">
            <v>28.6</v>
          </cell>
          <cell r="K954">
            <v>444826.91</v>
          </cell>
          <cell r="L954" t="str">
            <v>贷</v>
          </cell>
          <cell r="M954">
            <v>1801</v>
          </cell>
          <cell r="N954">
            <v>42.246369999999999</v>
          </cell>
          <cell r="O954">
            <v>76085.72</v>
          </cell>
        </row>
        <row r="955">
          <cell r="A955" t="str">
            <v>06</v>
          </cell>
          <cell r="F955" t="str">
            <v>累    计</v>
          </cell>
          <cell r="G955">
            <v>0</v>
          </cell>
          <cell r="H955">
            <v>18505.7</v>
          </cell>
          <cell r="I955">
            <v>2080017.66</v>
          </cell>
          <cell r="J955">
            <v>20306.7</v>
          </cell>
          <cell r="K955">
            <v>2156103.38</v>
          </cell>
          <cell r="L955" t="str">
            <v>贷</v>
          </cell>
          <cell r="M955">
            <v>1801</v>
          </cell>
          <cell r="N955">
            <v>42.246369999999999</v>
          </cell>
          <cell r="O955">
            <v>76085.72</v>
          </cell>
        </row>
        <row r="956">
          <cell r="A956" t="str">
            <v>07</v>
          </cell>
          <cell r="B956" t="str">
            <v>22</v>
          </cell>
          <cell r="C956" t="str">
            <v>记-0047</v>
          </cell>
          <cell r="D956" t="str">
            <v>060</v>
          </cell>
          <cell r="E956" t="str">
            <v>白燕盏</v>
          </cell>
          <cell r="F956" t="str">
            <v>结转成本</v>
          </cell>
          <cell r="G956">
            <v>44.78266</v>
          </cell>
          <cell r="H956">
            <v>0</v>
          </cell>
          <cell r="I956">
            <v>0</v>
          </cell>
          <cell r="J956">
            <v>700</v>
          </cell>
          <cell r="K956">
            <v>31347.86</v>
          </cell>
          <cell r="L956" t="str">
            <v>贷</v>
          </cell>
          <cell r="M956">
            <v>2501</v>
          </cell>
          <cell r="N956">
            <v>0</v>
          </cell>
          <cell r="O956">
            <v>107433.58</v>
          </cell>
        </row>
        <row r="957">
          <cell r="A957" t="str">
            <v>07</v>
          </cell>
          <cell r="B957" t="str">
            <v>22</v>
          </cell>
          <cell r="C957" t="str">
            <v>记-0051</v>
          </cell>
          <cell r="D957" t="str">
            <v>060</v>
          </cell>
          <cell r="E957" t="str">
            <v>白燕盏</v>
          </cell>
          <cell r="F957" t="str">
            <v>结转成本</v>
          </cell>
          <cell r="G957">
            <v>44.782649999999997</v>
          </cell>
          <cell r="H957">
            <v>0</v>
          </cell>
          <cell r="I957">
            <v>0</v>
          </cell>
          <cell r="J957">
            <v>800</v>
          </cell>
          <cell r="K957">
            <v>35826.120000000003</v>
          </cell>
          <cell r="L957" t="str">
            <v>贷</v>
          </cell>
          <cell r="M957">
            <v>3301</v>
          </cell>
          <cell r="N957">
            <v>0</v>
          </cell>
          <cell r="O957">
            <v>143259.70000000001</v>
          </cell>
        </row>
        <row r="958">
          <cell r="A958" t="str">
            <v>07</v>
          </cell>
          <cell r="B958" t="str">
            <v>22</v>
          </cell>
          <cell r="C958" t="str">
            <v>记-0052</v>
          </cell>
          <cell r="D958" t="str">
            <v>060</v>
          </cell>
          <cell r="E958" t="str">
            <v>白燕盏</v>
          </cell>
          <cell r="F958" t="str">
            <v>结转成本</v>
          </cell>
          <cell r="G958">
            <v>38.867959999999997</v>
          </cell>
          <cell r="H958">
            <v>0</v>
          </cell>
          <cell r="I958">
            <v>0</v>
          </cell>
          <cell r="J958">
            <v>850</v>
          </cell>
          <cell r="K958">
            <v>33037.769999999997</v>
          </cell>
          <cell r="L958" t="str">
            <v>贷</v>
          </cell>
          <cell r="M958">
            <v>4151</v>
          </cell>
          <cell r="N958">
            <v>0</v>
          </cell>
          <cell r="O958">
            <v>176297.47</v>
          </cell>
        </row>
        <row r="959">
          <cell r="A959" t="str">
            <v>07</v>
          </cell>
          <cell r="B959" t="str">
            <v>22</v>
          </cell>
          <cell r="C959" t="str">
            <v>记-0052</v>
          </cell>
          <cell r="D959" t="str">
            <v>060</v>
          </cell>
          <cell r="E959" t="str">
            <v>白燕盏</v>
          </cell>
          <cell r="F959" t="str">
            <v>结转成本</v>
          </cell>
          <cell r="G959">
            <v>45.627609999999997</v>
          </cell>
          <cell r="H959">
            <v>0</v>
          </cell>
          <cell r="I959">
            <v>0</v>
          </cell>
          <cell r="J959">
            <v>700</v>
          </cell>
          <cell r="K959">
            <v>31939.33</v>
          </cell>
          <cell r="L959" t="str">
            <v>贷</v>
          </cell>
          <cell r="M959">
            <v>4851</v>
          </cell>
          <cell r="N959">
            <v>0</v>
          </cell>
          <cell r="O959">
            <v>208236.79999999999</v>
          </cell>
        </row>
        <row r="960">
          <cell r="A960" t="str">
            <v>07</v>
          </cell>
          <cell r="B960" t="str">
            <v>22</v>
          </cell>
          <cell r="C960" t="str">
            <v>记-0052</v>
          </cell>
          <cell r="D960" t="str">
            <v>060</v>
          </cell>
          <cell r="E960" t="str">
            <v>白燕盏</v>
          </cell>
          <cell r="F960" t="str">
            <v>结转成本</v>
          </cell>
          <cell r="G960">
            <v>38.023009999999999</v>
          </cell>
          <cell r="H960">
            <v>0</v>
          </cell>
          <cell r="I960">
            <v>0</v>
          </cell>
          <cell r="J960">
            <v>800</v>
          </cell>
          <cell r="K960">
            <v>30418.41</v>
          </cell>
          <cell r="L960" t="str">
            <v>贷</v>
          </cell>
          <cell r="M960">
            <v>5651</v>
          </cell>
          <cell r="N960">
            <v>0</v>
          </cell>
          <cell r="O960">
            <v>238655.21</v>
          </cell>
        </row>
        <row r="961">
          <cell r="A961" t="str">
            <v>07</v>
          </cell>
          <cell r="B961" t="str">
            <v>22</v>
          </cell>
          <cell r="C961" t="str">
            <v>记-0052</v>
          </cell>
          <cell r="D961" t="str">
            <v>060</v>
          </cell>
          <cell r="E961" t="str">
            <v>白燕盏</v>
          </cell>
          <cell r="F961" t="str">
            <v>结转成本</v>
          </cell>
          <cell r="G961">
            <v>59.146900000000002</v>
          </cell>
          <cell r="H961">
            <v>0</v>
          </cell>
          <cell r="I961">
            <v>0</v>
          </cell>
          <cell r="J961">
            <v>500</v>
          </cell>
          <cell r="K961">
            <v>29573.45</v>
          </cell>
          <cell r="L961" t="str">
            <v>贷</v>
          </cell>
          <cell r="M961">
            <v>6151</v>
          </cell>
          <cell r="N961">
            <v>0</v>
          </cell>
          <cell r="O961">
            <v>268228.65999999997</v>
          </cell>
        </row>
        <row r="962">
          <cell r="A962" t="str">
            <v>07</v>
          </cell>
          <cell r="B962" t="str">
            <v>22</v>
          </cell>
          <cell r="C962" t="str">
            <v>记-0053</v>
          </cell>
          <cell r="D962" t="str">
            <v>060</v>
          </cell>
          <cell r="E962" t="str">
            <v>白燕盏</v>
          </cell>
          <cell r="F962" t="str">
            <v>收购产品</v>
          </cell>
          <cell r="G962">
            <v>44.782649999999997</v>
          </cell>
          <cell r="H962">
            <v>800</v>
          </cell>
          <cell r="I962">
            <v>35826.120000000003</v>
          </cell>
          <cell r="J962">
            <v>0</v>
          </cell>
          <cell r="K962">
            <v>0</v>
          </cell>
          <cell r="L962" t="str">
            <v>贷</v>
          </cell>
          <cell r="M962">
            <v>5351</v>
          </cell>
          <cell r="N962">
            <v>0</v>
          </cell>
          <cell r="O962">
            <v>232402.54</v>
          </cell>
        </row>
        <row r="963">
          <cell r="A963" t="str">
            <v>07</v>
          </cell>
          <cell r="B963" t="str">
            <v>22</v>
          </cell>
          <cell r="C963" t="str">
            <v>记-0054</v>
          </cell>
          <cell r="D963" t="str">
            <v>060</v>
          </cell>
          <cell r="E963" t="str">
            <v>白燕盏</v>
          </cell>
          <cell r="F963" t="str">
            <v>收购产品</v>
          </cell>
          <cell r="G963">
            <v>38.867959999999997</v>
          </cell>
          <cell r="H963">
            <v>850</v>
          </cell>
          <cell r="I963">
            <v>33037.769999999997</v>
          </cell>
          <cell r="J963">
            <v>0</v>
          </cell>
          <cell r="K963">
            <v>0</v>
          </cell>
          <cell r="L963" t="str">
            <v>贷</v>
          </cell>
          <cell r="M963">
            <v>4501</v>
          </cell>
          <cell r="N963">
            <v>0</v>
          </cell>
          <cell r="O963">
            <v>199364.77</v>
          </cell>
        </row>
        <row r="964">
          <cell r="A964" t="str">
            <v>07</v>
          </cell>
          <cell r="B964" t="str">
            <v>22</v>
          </cell>
          <cell r="C964" t="str">
            <v>记-0054</v>
          </cell>
          <cell r="D964" t="str">
            <v>060</v>
          </cell>
          <cell r="E964" t="str">
            <v>白燕盏</v>
          </cell>
          <cell r="F964" t="str">
            <v>收购产品</v>
          </cell>
          <cell r="G964">
            <v>45.627609999999997</v>
          </cell>
          <cell r="H964">
            <v>700</v>
          </cell>
          <cell r="I964">
            <v>31939.33</v>
          </cell>
          <cell r="J964">
            <v>0</v>
          </cell>
          <cell r="K964">
            <v>0</v>
          </cell>
          <cell r="L964" t="str">
            <v>贷</v>
          </cell>
          <cell r="M964">
            <v>3801</v>
          </cell>
          <cell r="N964">
            <v>0</v>
          </cell>
          <cell r="O964">
            <v>167425.44</v>
          </cell>
        </row>
        <row r="965">
          <cell r="A965" t="str">
            <v>07</v>
          </cell>
          <cell r="B965" t="str">
            <v>22</v>
          </cell>
          <cell r="C965" t="str">
            <v>记-0054</v>
          </cell>
          <cell r="D965" t="str">
            <v>060</v>
          </cell>
          <cell r="E965" t="str">
            <v>白燕盏</v>
          </cell>
          <cell r="F965" t="str">
            <v>收购产品</v>
          </cell>
          <cell r="G965">
            <v>38.023009999999999</v>
          </cell>
          <cell r="H965">
            <v>800</v>
          </cell>
          <cell r="I965">
            <v>30418.41</v>
          </cell>
          <cell r="J965">
            <v>0</v>
          </cell>
          <cell r="K965">
            <v>0</v>
          </cell>
          <cell r="L965" t="str">
            <v>贷</v>
          </cell>
          <cell r="M965">
            <v>3001</v>
          </cell>
          <cell r="N965">
            <v>0</v>
          </cell>
          <cell r="O965">
            <v>137007.03</v>
          </cell>
        </row>
        <row r="966">
          <cell r="A966" t="str">
            <v>07</v>
          </cell>
          <cell r="B966" t="str">
            <v>22</v>
          </cell>
          <cell r="C966" t="str">
            <v>记-0054</v>
          </cell>
          <cell r="D966" t="str">
            <v>060</v>
          </cell>
          <cell r="E966" t="str">
            <v>白燕盏</v>
          </cell>
          <cell r="F966" t="str">
            <v>收购产品</v>
          </cell>
          <cell r="G966">
            <v>59.146900000000002</v>
          </cell>
          <cell r="H966">
            <v>500</v>
          </cell>
          <cell r="I966">
            <v>29573.45</v>
          </cell>
          <cell r="J966">
            <v>0</v>
          </cell>
          <cell r="K966">
            <v>0</v>
          </cell>
          <cell r="L966" t="str">
            <v>贷</v>
          </cell>
          <cell r="M966">
            <v>2501</v>
          </cell>
          <cell r="N966">
            <v>0</v>
          </cell>
          <cell r="O966">
            <v>107433.58</v>
          </cell>
        </row>
        <row r="967">
          <cell r="A967" t="str">
            <v>07</v>
          </cell>
          <cell r="B967" t="str">
            <v>22</v>
          </cell>
          <cell r="C967" t="str">
            <v>记-0058</v>
          </cell>
          <cell r="D967" t="str">
            <v>060</v>
          </cell>
          <cell r="E967" t="str">
            <v>白燕盏</v>
          </cell>
          <cell r="F967" t="str">
            <v>收购产品</v>
          </cell>
          <cell r="G967">
            <v>44.78266</v>
          </cell>
          <cell r="H967">
            <v>700</v>
          </cell>
          <cell r="I967">
            <v>31347.86</v>
          </cell>
          <cell r="J967">
            <v>0</v>
          </cell>
          <cell r="K967">
            <v>0</v>
          </cell>
          <cell r="L967" t="str">
            <v>贷</v>
          </cell>
          <cell r="M967">
            <v>1801</v>
          </cell>
          <cell r="N967">
            <v>0</v>
          </cell>
          <cell r="O967">
            <v>76085.72</v>
          </cell>
        </row>
        <row r="968">
          <cell r="A968" t="str">
            <v>07</v>
          </cell>
          <cell r="B968" t="str">
            <v>22</v>
          </cell>
          <cell r="C968" t="str">
            <v>记-0058</v>
          </cell>
          <cell r="D968" t="str">
            <v>060</v>
          </cell>
          <cell r="E968" t="str">
            <v>白燕盏</v>
          </cell>
          <cell r="F968" t="str">
            <v>收购产品</v>
          </cell>
          <cell r="G968">
            <v>38.023000000000003</v>
          </cell>
          <cell r="H968">
            <v>300</v>
          </cell>
          <cell r="I968">
            <v>11406.9</v>
          </cell>
          <cell r="J968">
            <v>0</v>
          </cell>
          <cell r="K968">
            <v>0</v>
          </cell>
          <cell r="L968" t="str">
            <v>贷</v>
          </cell>
          <cell r="M968">
            <v>1501</v>
          </cell>
          <cell r="N968">
            <v>0</v>
          </cell>
          <cell r="O968">
            <v>64678.82</v>
          </cell>
        </row>
        <row r="969">
          <cell r="A969" t="str">
            <v>07</v>
          </cell>
          <cell r="F969" t="str">
            <v>本月合计</v>
          </cell>
          <cell r="G969">
            <v>0</v>
          </cell>
          <cell r="H969">
            <v>4650</v>
          </cell>
          <cell r="I969">
            <v>203549.84</v>
          </cell>
          <cell r="J969">
            <v>4350</v>
          </cell>
          <cell r="K969">
            <v>192142.94</v>
          </cell>
          <cell r="L969" t="str">
            <v>贷</v>
          </cell>
          <cell r="M969">
            <v>1501</v>
          </cell>
          <cell r="N969">
            <v>43.090490000000003</v>
          </cell>
          <cell r="O969">
            <v>64678.82</v>
          </cell>
        </row>
        <row r="970">
          <cell r="A970" t="str">
            <v>07</v>
          </cell>
          <cell r="F970" t="str">
            <v>累    计</v>
          </cell>
          <cell r="G970">
            <v>0</v>
          </cell>
          <cell r="H970">
            <v>23155.7</v>
          </cell>
          <cell r="I970">
            <v>2283567.5</v>
          </cell>
          <cell r="J970">
            <v>24656.7</v>
          </cell>
          <cell r="K970">
            <v>2348246.3199999998</v>
          </cell>
          <cell r="L970" t="str">
            <v>贷</v>
          </cell>
          <cell r="M970">
            <v>1501</v>
          </cell>
          <cell r="N970">
            <v>43.090490000000003</v>
          </cell>
          <cell r="O970">
            <v>64678.82</v>
          </cell>
        </row>
        <row r="971">
          <cell r="A971" t="str">
            <v>08</v>
          </cell>
          <cell r="B971" t="str">
            <v>25</v>
          </cell>
          <cell r="C971" t="str">
            <v>记-0059</v>
          </cell>
          <cell r="D971" t="str">
            <v>060</v>
          </cell>
          <cell r="E971" t="str">
            <v>白燕盏</v>
          </cell>
          <cell r="F971" t="str">
            <v>结转成本</v>
          </cell>
          <cell r="G971">
            <v>14364.24792</v>
          </cell>
          <cell r="H971">
            <v>0</v>
          </cell>
          <cell r="I971">
            <v>0</v>
          </cell>
          <cell r="J971">
            <v>33.6</v>
          </cell>
          <cell r="K971">
            <v>482638.73</v>
          </cell>
          <cell r="L971" t="str">
            <v>贷</v>
          </cell>
          <cell r="M971">
            <v>1534.6</v>
          </cell>
          <cell r="N971">
            <v>0</v>
          </cell>
          <cell r="O971">
            <v>547317.55000000005</v>
          </cell>
        </row>
        <row r="972">
          <cell r="A972" t="str">
            <v>08</v>
          </cell>
          <cell r="B972" t="str">
            <v>25</v>
          </cell>
          <cell r="C972" t="str">
            <v>记-0066</v>
          </cell>
          <cell r="D972" t="str">
            <v>060</v>
          </cell>
          <cell r="E972" t="str">
            <v>白燕盏</v>
          </cell>
          <cell r="F972" t="str">
            <v>收购产品</v>
          </cell>
          <cell r="G972">
            <v>14364.24792</v>
          </cell>
          <cell r="H972">
            <v>33.6</v>
          </cell>
          <cell r="I972">
            <v>482638.73</v>
          </cell>
          <cell r="J972">
            <v>0</v>
          </cell>
          <cell r="K972">
            <v>0</v>
          </cell>
          <cell r="L972" t="str">
            <v>贷</v>
          </cell>
          <cell r="M972">
            <v>1501</v>
          </cell>
          <cell r="N972">
            <v>0</v>
          </cell>
          <cell r="O972">
            <v>64678.82</v>
          </cell>
        </row>
        <row r="973">
          <cell r="A973" t="str">
            <v>08</v>
          </cell>
          <cell r="F973" t="str">
            <v>本月合计</v>
          </cell>
          <cell r="G973">
            <v>0</v>
          </cell>
          <cell r="H973">
            <v>33.6</v>
          </cell>
          <cell r="I973">
            <v>482638.73</v>
          </cell>
          <cell r="J973">
            <v>33.6</v>
          </cell>
          <cell r="K973">
            <v>482638.73</v>
          </cell>
          <cell r="L973" t="str">
            <v>贷</v>
          </cell>
          <cell r="M973">
            <v>1501</v>
          </cell>
          <cell r="N973">
            <v>43.090490000000003</v>
          </cell>
          <cell r="O973">
            <v>64678.82</v>
          </cell>
        </row>
        <row r="974">
          <cell r="A974" t="str">
            <v>08</v>
          </cell>
          <cell r="F974" t="str">
            <v>累    计</v>
          </cell>
          <cell r="G974">
            <v>0</v>
          </cell>
          <cell r="H974">
            <v>23189.3</v>
          </cell>
          <cell r="I974">
            <v>2766206.23</v>
          </cell>
          <cell r="J974">
            <v>24690.3</v>
          </cell>
          <cell r="K974">
            <v>2830885.05</v>
          </cell>
          <cell r="L974" t="str">
            <v>贷</v>
          </cell>
          <cell r="M974">
            <v>1501</v>
          </cell>
          <cell r="N974">
            <v>43.090490000000003</v>
          </cell>
          <cell r="O974">
            <v>64678.82</v>
          </cell>
        </row>
        <row r="975">
          <cell r="A975" t="str">
            <v>09</v>
          </cell>
          <cell r="B975" t="str">
            <v>22</v>
          </cell>
          <cell r="C975" t="str">
            <v>记-0034</v>
          </cell>
          <cell r="D975" t="str">
            <v>060</v>
          </cell>
          <cell r="E975" t="str">
            <v>白燕盏</v>
          </cell>
          <cell r="F975" t="str">
            <v>结转成本</v>
          </cell>
          <cell r="G975">
            <v>44.782649999999997</v>
          </cell>
          <cell r="H975">
            <v>0</v>
          </cell>
          <cell r="I975">
            <v>0</v>
          </cell>
          <cell r="J975">
            <v>800</v>
          </cell>
          <cell r="K975">
            <v>35826.120000000003</v>
          </cell>
          <cell r="L975" t="str">
            <v>贷</v>
          </cell>
          <cell r="M975">
            <v>2301</v>
          </cell>
          <cell r="N975">
            <v>0</v>
          </cell>
          <cell r="O975">
            <v>100504.94</v>
          </cell>
        </row>
        <row r="976">
          <cell r="A976" t="str">
            <v>09</v>
          </cell>
          <cell r="B976" t="str">
            <v>22</v>
          </cell>
          <cell r="C976" t="str">
            <v>记-0034</v>
          </cell>
          <cell r="D976" t="str">
            <v>060</v>
          </cell>
          <cell r="E976" t="str">
            <v>白燕盏</v>
          </cell>
          <cell r="F976" t="str">
            <v>结转成本</v>
          </cell>
          <cell r="G976">
            <v>43.9377</v>
          </cell>
          <cell r="H976">
            <v>0</v>
          </cell>
          <cell r="I976">
            <v>0</v>
          </cell>
          <cell r="J976">
            <v>800</v>
          </cell>
          <cell r="K976">
            <v>35150.160000000003</v>
          </cell>
          <cell r="L976" t="str">
            <v>贷</v>
          </cell>
          <cell r="M976">
            <v>3101</v>
          </cell>
          <cell r="N976">
            <v>0</v>
          </cell>
          <cell r="O976">
            <v>135655.1</v>
          </cell>
        </row>
        <row r="977">
          <cell r="A977" t="str">
            <v>09</v>
          </cell>
          <cell r="B977" t="str">
            <v>22</v>
          </cell>
          <cell r="C977" t="str">
            <v>记-0035</v>
          </cell>
          <cell r="D977" t="str">
            <v>060</v>
          </cell>
          <cell r="E977" t="str">
            <v>白燕盏</v>
          </cell>
          <cell r="F977" t="str">
            <v>结转成本</v>
          </cell>
          <cell r="G977">
            <v>59.146900000000002</v>
          </cell>
          <cell r="H977">
            <v>0</v>
          </cell>
          <cell r="I977">
            <v>0</v>
          </cell>
          <cell r="J977">
            <v>200</v>
          </cell>
          <cell r="K977">
            <v>11829.38</v>
          </cell>
          <cell r="L977" t="str">
            <v>贷</v>
          </cell>
          <cell r="M977">
            <v>3301</v>
          </cell>
          <cell r="N977">
            <v>0</v>
          </cell>
          <cell r="O977">
            <v>147484.48000000001</v>
          </cell>
        </row>
        <row r="978">
          <cell r="A978" t="str">
            <v>09</v>
          </cell>
          <cell r="B978" t="str">
            <v>22</v>
          </cell>
          <cell r="C978" t="str">
            <v>记-0035</v>
          </cell>
          <cell r="D978" t="str">
            <v>060</v>
          </cell>
          <cell r="E978" t="str">
            <v>白燕盏</v>
          </cell>
          <cell r="F978" t="str">
            <v>结转成本</v>
          </cell>
          <cell r="G978">
            <v>44.782649999999997</v>
          </cell>
          <cell r="H978">
            <v>0</v>
          </cell>
          <cell r="I978">
            <v>0</v>
          </cell>
          <cell r="J978">
            <v>200</v>
          </cell>
          <cell r="K978">
            <v>8956.5300000000007</v>
          </cell>
          <cell r="L978" t="str">
            <v>贷</v>
          </cell>
          <cell r="M978">
            <v>3501</v>
          </cell>
          <cell r="N978">
            <v>0</v>
          </cell>
          <cell r="O978">
            <v>156441.01</v>
          </cell>
        </row>
        <row r="979">
          <cell r="A979" t="str">
            <v>09</v>
          </cell>
          <cell r="B979" t="str">
            <v>22</v>
          </cell>
          <cell r="C979" t="str">
            <v>记-0035</v>
          </cell>
          <cell r="D979" t="str">
            <v>060</v>
          </cell>
          <cell r="E979" t="str">
            <v>白燕盏</v>
          </cell>
          <cell r="F979" t="str">
            <v>结转成本</v>
          </cell>
          <cell r="G979">
            <v>38.023000000000003</v>
          </cell>
          <cell r="H979">
            <v>0</v>
          </cell>
          <cell r="I979">
            <v>0</v>
          </cell>
          <cell r="J979">
            <v>200</v>
          </cell>
          <cell r="K979">
            <v>7604.6</v>
          </cell>
          <cell r="L979" t="str">
            <v>贷</v>
          </cell>
          <cell r="M979">
            <v>3701</v>
          </cell>
          <cell r="N979">
            <v>0</v>
          </cell>
          <cell r="O979">
            <v>164045.60999999999</v>
          </cell>
        </row>
        <row r="980">
          <cell r="A980" t="str">
            <v>09</v>
          </cell>
          <cell r="B980" t="str">
            <v>22</v>
          </cell>
          <cell r="C980" t="str">
            <v>记-0038</v>
          </cell>
          <cell r="D980" t="str">
            <v>060</v>
          </cell>
          <cell r="E980" t="str">
            <v>白燕盏</v>
          </cell>
          <cell r="F980" t="str">
            <v>收购产品</v>
          </cell>
          <cell r="G980">
            <v>44.782649999999997</v>
          </cell>
          <cell r="H980">
            <v>800</v>
          </cell>
          <cell r="I980">
            <v>35826.120000000003</v>
          </cell>
          <cell r="J980">
            <v>0</v>
          </cell>
          <cell r="K980">
            <v>0</v>
          </cell>
          <cell r="L980" t="str">
            <v>贷</v>
          </cell>
          <cell r="M980">
            <v>2901</v>
          </cell>
          <cell r="N980">
            <v>0</v>
          </cell>
          <cell r="O980">
            <v>128219.49</v>
          </cell>
        </row>
        <row r="981">
          <cell r="A981" t="str">
            <v>09</v>
          </cell>
          <cell r="B981" t="str">
            <v>22</v>
          </cell>
          <cell r="C981" t="str">
            <v>记-0038</v>
          </cell>
          <cell r="D981" t="str">
            <v>060</v>
          </cell>
          <cell r="E981" t="str">
            <v>白燕盏</v>
          </cell>
          <cell r="F981" t="str">
            <v>收购产品</v>
          </cell>
          <cell r="G981">
            <v>43.9377</v>
          </cell>
          <cell r="H981">
            <v>800</v>
          </cell>
          <cell r="I981">
            <v>35150.160000000003</v>
          </cell>
          <cell r="J981">
            <v>0</v>
          </cell>
          <cell r="K981">
            <v>0</v>
          </cell>
          <cell r="L981" t="str">
            <v>贷</v>
          </cell>
          <cell r="M981">
            <v>2101</v>
          </cell>
          <cell r="N981">
            <v>0</v>
          </cell>
          <cell r="O981">
            <v>93069.33</v>
          </cell>
        </row>
        <row r="982">
          <cell r="A982" t="str">
            <v>09</v>
          </cell>
          <cell r="B982" t="str">
            <v>22</v>
          </cell>
          <cell r="C982" t="str">
            <v>记-0039</v>
          </cell>
          <cell r="D982" t="str">
            <v>060</v>
          </cell>
          <cell r="E982" t="str">
            <v>白燕盏</v>
          </cell>
          <cell r="F982" t="str">
            <v>收购产品</v>
          </cell>
          <cell r="G982">
            <v>59.146900000000002</v>
          </cell>
          <cell r="H982">
            <v>200</v>
          </cell>
          <cell r="I982">
            <v>11829.38</v>
          </cell>
          <cell r="J982">
            <v>0</v>
          </cell>
          <cell r="K982">
            <v>0</v>
          </cell>
          <cell r="L982" t="str">
            <v>贷</v>
          </cell>
          <cell r="M982">
            <v>1901</v>
          </cell>
          <cell r="N982">
            <v>0</v>
          </cell>
          <cell r="O982">
            <v>81239.95</v>
          </cell>
        </row>
        <row r="983">
          <cell r="A983" t="str">
            <v>09</v>
          </cell>
          <cell r="B983" t="str">
            <v>22</v>
          </cell>
          <cell r="C983" t="str">
            <v>记-0039</v>
          </cell>
          <cell r="D983" t="str">
            <v>060</v>
          </cell>
          <cell r="E983" t="str">
            <v>白燕盏</v>
          </cell>
          <cell r="F983" t="str">
            <v>收购产品</v>
          </cell>
          <cell r="G983">
            <v>44.782649999999997</v>
          </cell>
          <cell r="H983">
            <v>200</v>
          </cell>
          <cell r="I983">
            <v>8956.5300000000007</v>
          </cell>
          <cell r="J983">
            <v>0</v>
          </cell>
          <cell r="K983">
            <v>0</v>
          </cell>
          <cell r="L983" t="str">
            <v>贷</v>
          </cell>
          <cell r="M983">
            <v>1701</v>
          </cell>
          <cell r="N983">
            <v>0</v>
          </cell>
          <cell r="O983">
            <v>72283.42</v>
          </cell>
        </row>
        <row r="984">
          <cell r="A984" t="str">
            <v>09</v>
          </cell>
          <cell r="B984" t="str">
            <v>22</v>
          </cell>
          <cell r="C984" t="str">
            <v>记-0039</v>
          </cell>
          <cell r="D984" t="str">
            <v>060</v>
          </cell>
          <cell r="E984" t="str">
            <v>白燕盏</v>
          </cell>
          <cell r="F984" t="str">
            <v>收购产品</v>
          </cell>
          <cell r="G984">
            <v>38.023000000000003</v>
          </cell>
          <cell r="H984">
            <v>200</v>
          </cell>
          <cell r="I984">
            <v>7604.6</v>
          </cell>
          <cell r="J984">
            <v>0</v>
          </cell>
          <cell r="K984">
            <v>0</v>
          </cell>
          <cell r="L984" t="str">
            <v>贷</v>
          </cell>
          <cell r="M984">
            <v>1501</v>
          </cell>
          <cell r="N984">
            <v>0</v>
          </cell>
          <cell r="O984">
            <v>64678.82</v>
          </cell>
        </row>
        <row r="985">
          <cell r="A985" t="str">
            <v>09</v>
          </cell>
          <cell r="B985" t="str">
            <v>22</v>
          </cell>
          <cell r="C985" t="str">
            <v>记-0049</v>
          </cell>
          <cell r="D985" t="str">
            <v>060</v>
          </cell>
          <cell r="E985" t="str">
            <v>白燕盏</v>
          </cell>
          <cell r="F985" t="str">
            <v>结转成本</v>
          </cell>
          <cell r="G985">
            <v>52.387259999999998</v>
          </cell>
          <cell r="H985">
            <v>0</v>
          </cell>
          <cell r="I985">
            <v>0</v>
          </cell>
          <cell r="J985">
            <v>570</v>
          </cell>
          <cell r="K985">
            <v>29860.74</v>
          </cell>
          <cell r="L985" t="str">
            <v>贷</v>
          </cell>
          <cell r="M985">
            <v>2071</v>
          </cell>
          <cell r="N985">
            <v>0</v>
          </cell>
          <cell r="O985">
            <v>94539.56</v>
          </cell>
        </row>
        <row r="986">
          <cell r="A986" t="str">
            <v>09</v>
          </cell>
          <cell r="B986" t="str">
            <v>22</v>
          </cell>
          <cell r="C986" t="str">
            <v>记-0049</v>
          </cell>
          <cell r="D986" t="str">
            <v>060</v>
          </cell>
          <cell r="E986" t="str">
            <v>白燕盏</v>
          </cell>
          <cell r="F986" t="str">
            <v>结转成本</v>
          </cell>
          <cell r="G986">
            <v>44.78266</v>
          </cell>
          <cell r="H986">
            <v>0</v>
          </cell>
          <cell r="I986">
            <v>0</v>
          </cell>
          <cell r="J986">
            <v>650</v>
          </cell>
          <cell r="K986">
            <v>29108.73</v>
          </cell>
          <cell r="L986" t="str">
            <v>贷</v>
          </cell>
          <cell r="M986">
            <v>2721</v>
          </cell>
          <cell r="N986">
            <v>0</v>
          </cell>
          <cell r="O986">
            <v>123648.29</v>
          </cell>
        </row>
        <row r="987">
          <cell r="A987" t="str">
            <v>09</v>
          </cell>
          <cell r="B987" t="str">
            <v>22</v>
          </cell>
          <cell r="C987" t="str">
            <v>记-0049</v>
          </cell>
          <cell r="D987" t="str">
            <v>060</v>
          </cell>
          <cell r="E987" t="str">
            <v>白燕盏</v>
          </cell>
          <cell r="F987" t="str">
            <v>结转成本</v>
          </cell>
          <cell r="G987">
            <v>38.023009999999999</v>
          </cell>
          <cell r="H987">
            <v>0</v>
          </cell>
          <cell r="I987">
            <v>0</v>
          </cell>
          <cell r="J987">
            <v>700</v>
          </cell>
          <cell r="K987">
            <v>26616.11</v>
          </cell>
          <cell r="L987" t="str">
            <v>贷</v>
          </cell>
          <cell r="M987">
            <v>3421</v>
          </cell>
          <cell r="N987">
            <v>0</v>
          </cell>
          <cell r="O987">
            <v>150264.4</v>
          </cell>
        </row>
        <row r="988">
          <cell r="A988" t="str">
            <v>09</v>
          </cell>
          <cell r="B988" t="str">
            <v>22</v>
          </cell>
          <cell r="C988" t="str">
            <v>记-0049</v>
          </cell>
          <cell r="D988" t="str">
            <v>060</v>
          </cell>
          <cell r="E988" t="str">
            <v>白燕盏</v>
          </cell>
          <cell r="F988" t="str">
            <v>结转成本</v>
          </cell>
          <cell r="G988">
            <v>32.953279999999999</v>
          </cell>
          <cell r="H988">
            <v>0</v>
          </cell>
          <cell r="I988">
            <v>0</v>
          </cell>
          <cell r="J988">
            <v>800</v>
          </cell>
          <cell r="K988">
            <v>26362.62</v>
          </cell>
          <cell r="L988" t="str">
            <v>贷</v>
          </cell>
          <cell r="M988">
            <v>4221</v>
          </cell>
          <cell r="N988">
            <v>0</v>
          </cell>
          <cell r="O988">
            <v>176627.02</v>
          </cell>
        </row>
        <row r="989">
          <cell r="A989" t="str">
            <v>09</v>
          </cell>
          <cell r="B989" t="str">
            <v>22</v>
          </cell>
          <cell r="C989" t="str">
            <v>记-0050</v>
          </cell>
          <cell r="D989" t="str">
            <v>060</v>
          </cell>
          <cell r="E989" t="str">
            <v>白燕盏</v>
          </cell>
          <cell r="F989" t="str">
            <v>结转成本</v>
          </cell>
          <cell r="G989">
            <v>39.712919999999997</v>
          </cell>
          <cell r="H989">
            <v>0</v>
          </cell>
          <cell r="I989">
            <v>0</v>
          </cell>
          <cell r="J989">
            <v>500</v>
          </cell>
          <cell r="K989">
            <v>19856.46</v>
          </cell>
          <cell r="L989" t="str">
            <v>贷</v>
          </cell>
          <cell r="M989">
            <v>4721</v>
          </cell>
          <cell r="N989">
            <v>0</v>
          </cell>
          <cell r="O989">
            <v>196483.48</v>
          </cell>
        </row>
        <row r="990">
          <cell r="A990" t="str">
            <v>09</v>
          </cell>
          <cell r="B990" t="str">
            <v>22</v>
          </cell>
          <cell r="C990" t="str">
            <v>记-0050</v>
          </cell>
          <cell r="D990" t="str">
            <v>060</v>
          </cell>
          <cell r="E990" t="str">
            <v>白燕盏</v>
          </cell>
          <cell r="F990" t="str">
            <v>结转成本</v>
          </cell>
          <cell r="G990">
            <v>59.146900000000002</v>
          </cell>
          <cell r="H990">
            <v>0</v>
          </cell>
          <cell r="I990">
            <v>0</v>
          </cell>
          <cell r="J990">
            <v>600</v>
          </cell>
          <cell r="K990">
            <v>35488.14</v>
          </cell>
          <cell r="L990" t="str">
            <v>贷</v>
          </cell>
          <cell r="M990">
            <v>5321</v>
          </cell>
          <cell r="N990">
            <v>0</v>
          </cell>
          <cell r="O990">
            <v>231971.62</v>
          </cell>
        </row>
        <row r="991">
          <cell r="A991" t="str">
            <v>09</v>
          </cell>
          <cell r="B991" t="str">
            <v>22</v>
          </cell>
          <cell r="C991" t="str">
            <v>记-0050</v>
          </cell>
          <cell r="D991" t="str">
            <v>060</v>
          </cell>
          <cell r="E991" t="str">
            <v>白燕盏</v>
          </cell>
          <cell r="F991" t="str">
            <v>结转成本</v>
          </cell>
          <cell r="G991">
            <v>44.78266</v>
          </cell>
          <cell r="H991">
            <v>0</v>
          </cell>
          <cell r="I991">
            <v>0</v>
          </cell>
          <cell r="J991">
            <v>680</v>
          </cell>
          <cell r="K991">
            <v>30452.21</v>
          </cell>
          <cell r="L991" t="str">
            <v>贷</v>
          </cell>
          <cell r="M991">
            <v>6001</v>
          </cell>
          <cell r="N991">
            <v>0</v>
          </cell>
          <cell r="O991">
            <v>262423.83</v>
          </cell>
        </row>
        <row r="992">
          <cell r="A992" t="str">
            <v>09</v>
          </cell>
          <cell r="B992" t="str">
            <v>22</v>
          </cell>
          <cell r="C992" t="str">
            <v>记-0050</v>
          </cell>
          <cell r="D992" t="str">
            <v>060</v>
          </cell>
          <cell r="E992" t="str">
            <v>白燕盏</v>
          </cell>
          <cell r="F992" t="str">
            <v>结转成本</v>
          </cell>
          <cell r="G992">
            <v>53.232210000000002</v>
          </cell>
          <cell r="H992">
            <v>0</v>
          </cell>
          <cell r="I992">
            <v>0</v>
          </cell>
          <cell r="J992">
            <v>580</v>
          </cell>
          <cell r="K992">
            <v>30874.68</v>
          </cell>
          <cell r="L992" t="str">
            <v>贷</v>
          </cell>
          <cell r="M992">
            <v>6581</v>
          </cell>
          <cell r="N992">
            <v>0</v>
          </cell>
          <cell r="O992">
            <v>293298.51</v>
          </cell>
        </row>
        <row r="993">
          <cell r="A993" t="str">
            <v>09</v>
          </cell>
          <cell r="B993" t="str">
            <v>22</v>
          </cell>
          <cell r="C993" t="str">
            <v>记-0050</v>
          </cell>
          <cell r="D993" t="str">
            <v>060</v>
          </cell>
          <cell r="E993" t="str">
            <v>白燕盏</v>
          </cell>
          <cell r="F993" t="str">
            <v>结转成本</v>
          </cell>
          <cell r="G993">
            <v>33.037770000000002</v>
          </cell>
          <cell r="H993">
            <v>0</v>
          </cell>
          <cell r="I993">
            <v>0</v>
          </cell>
          <cell r="J993">
            <v>1001</v>
          </cell>
          <cell r="K993">
            <v>33070.81</v>
          </cell>
          <cell r="L993" t="str">
            <v>贷</v>
          </cell>
          <cell r="M993">
            <v>7582</v>
          </cell>
          <cell r="N993">
            <v>0</v>
          </cell>
          <cell r="O993">
            <v>326369.32</v>
          </cell>
        </row>
        <row r="994">
          <cell r="A994" t="str">
            <v>09</v>
          </cell>
          <cell r="B994" t="str">
            <v>22</v>
          </cell>
          <cell r="C994" t="str">
            <v>记-0051</v>
          </cell>
          <cell r="D994" t="str">
            <v>060</v>
          </cell>
          <cell r="E994" t="str">
            <v>白燕盏</v>
          </cell>
          <cell r="F994" t="str">
            <v>收购产品</v>
          </cell>
          <cell r="G994">
            <v>39.712919999999997</v>
          </cell>
          <cell r="H994">
            <v>500</v>
          </cell>
          <cell r="I994">
            <v>19856.46</v>
          </cell>
          <cell r="J994">
            <v>0</v>
          </cell>
          <cell r="K994">
            <v>0</v>
          </cell>
          <cell r="L994" t="str">
            <v>贷</v>
          </cell>
          <cell r="M994">
            <v>7082</v>
          </cell>
          <cell r="N994">
            <v>0</v>
          </cell>
          <cell r="O994">
            <v>306512.86</v>
          </cell>
        </row>
        <row r="995">
          <cell r="A995" t="str">
            <v>09</v>
          </cell>
          <cell r="B995" t="str">
            <v>22</v>
          </cell>
          <cell r="C995" t="str">
            <v>记-0051</v>
          </cell>
          <cell r="D995" t="str">
            <v>060</v>
          </cell>
          <cell r="E995" t="str">
            <v>白燕盏</v>
          </cell>
          <cell r="F995" t="str">
            <v>收购产品</v>
          </cell>
          <cell r="G995">
            <v>59.146900000000002</v>
          </cell>
          <cell r="H995">
            <v>600</v>
          </cell>
          <cell r="I995">
            <v>35488.14</v>
          </cell>
          <cell r="J995">
            <v>0</v>
          </cell>
          <cell r="K995">
            <v>0</v>
          </cell>
          <cell r="L995" t="str">
            <v>贷</v>
          </cell>
          <cell r="M995">
            <v>6482</v>
          </cell>
          <cell r="N995">
            <v>0</v>
          </cell>
          <cell r="O995">
            <v>271024.71999999997</v>
          </cell>
        </row>
        <row r="996">
          <cell r="A996" t="str">
            <v>09</v>
          </cell>
          <cell r="B996" t="str">
            <v>22</v>
          </cell>
          <cell r="C996" t="str">
            <v>记-0051</v>
          </cell>
          <cell r="D996" t="str">
            <v>060</v>
          </cell>
          <cell r="E996" t="str">
            <v>白燕盏</v>
          </cell>
          <cell r="F996" t="str">
            <v>收购产品</v>
          </cell>
          <cell r="G996">
            <v>44.78266</v>
          </cell>
          <cell r="H996">
            <v>680</v>
          </cell>
          <cell r="I996">
            <v>30452.21</v>
          </cell>
          <cell r="J996">
            <v>0</v>
          </cell>
          <cell r="K996">
            <v>0</v>
          </cell>
          <cell r="L996" t="str">
            <v>贷</v>
          </cell>
          <cell r="M996">
            <v>5802</v>
          </cell>
          <cell r="N996">
            <v>0</v>
          </cell>
          <cell r="O996">
            <v>240572.51</v>
          </cell>
        </row>
        <row r="997">
          <cell r="A997" t="str">
            <v>09</v>
          </cell>
          <cell r="B997" t="str">
            <v>22</v>
          </cell>
          <cell r="C997" t="str">
            <v>记-0051</v>
          </cell>
          <cell r="D997" t="str">
            <v>060</v>
          </cell>
          <cell r="E997" t="str">
            <v>白燕盏</v>
          </cell>
          <cell r="F997" t="str">
            <v>收购产品</v>
          </cell>
          <cell r="G997">
            <v>53.232210000000002</v>
          </cell>
          <cell r="H997">
            <v>580</v>
          </cell>
          <cell r="I997">
            <v>30874.68</v>
          </cell>
          <cell r="J997">
            <v>0</v>
          </cell>
          <cell r="K997">
            <v>0</v>
          </cell>
          <cell r="L997" t="str">
            <v>贷</v>
          </cell>
          <cell r="M997">
            <v>5222</v>
          </cell>
          <cell r="N997">
            <v>0</v>
          </cell>
          <cell r="O997">
            <v>209697.83</v>
          </cell>
        </row>
        <row r="998">
          <cell r="A998" t="str">
            <v>09</v>
          </cell>
          <cell r="B998" t="str">
            <v>22</v>
          </cell>
          <cell r="C998" t="str">
            <v>记-0051</v>
          </cell>
          <cell r="D998" t="str">
            <v>060</v>
          </cell>
          <cell r="E998" t="str">
            <v>白燕盏</v>
          </cell>
          <cell r="F998" t="str">
            <v>收购产品</v>
          </cell>
          <cell r="G998">
            <v>33.037770000000002</v>
          </cell>
          <cell r="H998">
            <v>1001</v>
          </cell>
          <cell r="I998">
            <v>33070.81</v>
          </cell>
          <cell r="J998">
            <v>0</v>
          </cell>
          <cell r="K998">
            <v>0</v>
          </cell>
          <cell r="L998" t="str">
            <v>贷</v>
          </cell>
          <cell r="M998">
            <v>4221</v>
          </cell>
          <cell r="N998">
            <v>0</v>
          </cell>
          <cell r="O998">
            <v>176627.02</v>
          </cell>
        </row>
        <row r="999">
          <cell r="A999" t="str">
            <v>09</v>
          </cell>
          <cell r="B999" t="str">
            <v>22</v>
          </cell>
          <cell r="C999" t="str">
            <v>记-0052</v>
          </cell>
          <cell r="D999" t="str">
            <v>060</v>
          </cell>
          <cell r="E999" t="str">
            <v>白燕盏</v>
          </cell>
          <cell r="F999" t="str">
            <v>收购产品</v>
          </cell>
          <cell r="G999">
            <v>52.387259999999998</v>
          </cell>
          <cell r="H999">
            <v>570</v>
          </cell>
          <cell r="I999">
            <v>29860.74</v>
          </cell>
          <cell r="J999">
            <v>0</v>
          </cell>
          <cell r="K999">
            <v>0</v>
          </cell>
          <cell r="L999" t="str">
            <v>贷</v>
          </cell>
          <cell r="M999">
            <v>3651</v>
          </cell>
          <cell r="N999">
            <v>0</v>
          </cell>
          <cell r="O999">
            <v>146766.28</v>
          </cell>
        </row>
        <row r="1000">
          <cell r="A1000" t="str">
            <v>09</v>
          </cell>
          <cell r="B1000" t="str">
            <v>22</v>
          </cell>
          <cell r="C1000" t="str">
            <v>记-0052</v>
          </cell>
          <cell r="D1000" t="str">
            <v>060</v>
          </cell>
          <cell r="E1000" t="str">
            <v>白燕盏</v>
          </cell>
          <cell r="F1000" t="str">
            <v>收购产品</v>
          </cell>
          <cell r="G1000">
            <v>44.78266</v>
          </cell>
          <cell r="H1000">
            <v>650</v>
          </cell>
          <cell r="I1000">
            <v>29108.73</v>
          </cell>
          <cell r="J1000">
            <v>0</v>
          </cell>
          <cell r="K1000">
            <v>0</v>
          </cell>
          <cell r="L1000" t="str">
            <v>贷</v>
          </cell>
          <cell r="M1000">
            <v>3001</v>
          </cell>
          <cell r="N1000">
            <v>0</v>
          </cell>
          <cell r="O1000">
            <v>117657.55</v>
          </cell>
        </row>
        <row r="1001">
          <cell r="A1001" t="str">
            <v>09</v>
          </cell>
          <cell r="B1001" t="str">
            <v>22</v>
          </cell>
          <cell r="C1001" t="str">
            <v>记-0052</v>
          </cell>
          <cell r="D1001" t="str">
            <v>060</v>
          </cell>
          <cell r="E1001" t="str">
            <v>白燕盏</v>
          </cell>
          <cell r="F1001" t="str">
            <v>收购产品</v>
          </cell>
          <cell r="G1001">
            <v>38.023009999999999</v>
          </cell>
          <cell r="H1001">
            <v>700</v>
          </cell>
          <cell r="I1001">
            <v>26616.11</v>
          </cell>
          <cell r="J1001">
            <v>0</v>
          </cell>
          <cell r="K1001">
            <v>0</v>
          </cell>
          <cell r="L1001" t="str">
            <v>贷</v>
          </cell>
          <cell r="M1001">
            <v>2301</v>
          </cell>
          <cell r="N1001">
            <v>0</v>
          </cell>
          <cell r="O1001">
            <v>91041.44</v>
          </cell>
        </row>
        <row r="1002">
          <cell r="A1002" t="str">
            <v>09</v>
          </cell>
          <cell r="B1002" t="str">
            <v>22</v>
          </cell>
          <cell r="C1002" t="str">
            <v>记-0052</v>
          </cell>
          <cell r="D1002" t="str">
            <v>060</v>
          </cell>
          <cell r="E1002" t="str">
            <v>白燕盏</v>
          </cell>
          <cell r="F1002" t="str">
            <v>收购产品</v>
          </cell>
          <cell r="G1002">
            <v>32.953279999999999</v>
          </cell>
          <cell r="H1002">
            <v>800</v>
          </cell>
          <cell r="I1002">
            <v>26362.62</v>
          </cell>
          <cell r="J1002">
            <v>0</v>
          </cell>
          <cell r="K1002">
            <v>0</v>
          </cell>
          <cell r="L1002" t="str">
            <v>贷</v>
          </cell>
          <cell r="M1002">
            <v>1501</v>
          </cell>
          <cell r="N1002">
            <v>0</v>
          </cell>
          <cell r="O1002">
            <v>64678.82</v>
          </cell>
        </row>
        <row r="1003">
          <cell r="A1003" t="str">
            <v>09</v>
          </cell>
          <cell r="F1003" t="str">
            <v>本月合计</v>
          </cell>
          <cell r="G1003">
            <v>0</v>
          </cell>
          <cell r="H1003">
            <v>8281</v>
          </cell>
          <cell r="I1003">
            <v>361057.29</v>
          </cell>
          <cell r="J1003">
            <v>8281</v>
          </cell>
          <cell r="K1003">
            <v>361057.29</v>
          </cell>
          <cell r="L1003" t="str">
            <v>贷</v>
          </cell>
          <cell r="M1003">
            <v>1501</v>
          </cell>
          <cell r="N1003">
            <v>43.090490000000003</v>
          </cell>
          <cell r="O1003">
            <v>64678.82</v>
          </cell>
        </row>
        <row r="1004">
          <cell r="A1004" t="str">
            <v>09</v>
          </cell>
          <cell r="F1004" t="str">
            <v>累    计</v>
          </cell>
          <cell r="G1004">
            <v>0</v>
          </cell>
          <cell r="H1004">
            <v>31470.3</v>
          </cell>
          <cell r="I1004">
            <v>3127263.52</v>
          </cell>
          <cell r="J1004">
            <v>32971.300000000003</v>
          </cell>
          <cell r="K1004">
            <v>3191942.34</v>
          </cell>
          <cell r="L1004" t="str">
            <v>贷</v>
          </cell>
          <cell r="M1004">
            <v>1501</v>
          </cell>
          <cell r="N1004">
            <v>43.090490000000003</v>
          </cell>
          <cell r="O1004">
            <v>64678.82</v>
          </cell>
        </row>
        <row r="1005">
          <cell r="A1005" t="str">
            <v>10</v>
          </cell>
          <cell r="B1005" t="str">
            <v>22</v>
          </cell>
          <cell r="C1005" t="str">
            <v>记-0023</v>
          </cell>
          <cell r="D1005" t="str">
            <v>060</v>
          </cell>
          <cell r="E1005" t="str">
            <v>白燕盏</v>
          </cell>
          <cell r="F1005" t="str">
            <v>结转成本</v>
          </cell>
          <cell r="G1005">
            <v>43092.74</v>
          </cell>
          <cell r="H1005">
            <v>0</v>
          </cell>
          <cell r="I1005">
            <v>0</v>
          </cell>
          <cell r="J1005">
            <v>1</v>
          </cell>
          <cell r="K1005">
            <v>43092.74</v>
          </cell>
          <cell r="L1005" t="str">
            <v>贷</v>
          </cell>
          <cell r="M1005">
            <v>1502</v>
          </cell>
          <cell r="N1005">
            <v>0</v>
          </cell>
          <cell r="O1005">
            <v>107771.56</v>
          </cell>
        </row>
        <row r="1006">
          <cell r="A1006" t="str">
            <v>10</v>
          </cell>
          <cell r="B1006" t="str">
            <v>22</v>
          </cell>
          <cell r="C1006" t="str">
            <v>记-0031</v>
          </cell>
          <cell r="D1006" t="str">
            <v>060</v>
          </cell>
          <cell r="E1006" t="str">
            <v>白燕盏</v>
          </cell>
          <cell r="F1006" t="str">
            <v>收购产品</v>
          </cell>
          <cell r="G1006">
            <v>43092.74</v>
          </cell>
          <cell r="H1006">
            <v>1</v>
          </cell>
          <cell r="I1006">
            <v>43092.74</v>
          </cell>
          <cell r="J1006">
            <v>0</v>
          </cell>
          <cell r="K1006">
            <v>0</v>
          </cell>
          <cell r="L1006" t="str">
            <v>贷</v>
          </cell>
          <cell r="M1006">
            <v>1501</v>
          </cell>
          <cell r="N1006">
            <v>0</v>
          </cell>
          <cell r="O1006">
            <v>64678.82</v>
          </cell>
        </row>
        <row r="1007">
          <cell r="A1007" t="str">
            <v>10</v>
          </cell>
          <cell r="F1007" t="str">
            <v>本月合计</v>
          </cell>
          <cell r="G1007">
            <v>0</v>
          </cell>
          <cell r="H1007">
            <v>1</v>
          </cell>
          <cell r="I1007">
            <v>43092.74</v>
          </cell>
          <cell r="J1007">
            <v>1</v>
          </cell>
          <cell r="K1007">
            <v>43092.74</v>
          </cell>
          <cell r="L1007" t="str">
            <v>贷</v>
          </cell>
          <cell r="M1007">
            <v>1501</v>
          </cell>
          <cell r="N1007">
            <v>43.090490000000003</v>
          </cell>
          <cell r="O1007">
            <v>64678.82</v>
          </cell>
        </row>
        <row r="1008">
          <cell r="A1008" t="str">
            <v>10</v>
          </cell>
          <cell r="F1008" t="str">
            <v>累    计</v>
          </cell>
          <cell r="G1008">
            <v>0</v>
          </cell>
          <cell r="H1008">
            <v>31471.3</v>
          </cell>
          <cell r="I1008">
            <v>3170356.26</v>
          </cell>
          <cell r="J1008">
            <v>32972.300000000003</v>
          </cell>
          <cell r="K1008">
            <v>3235035.08</v>
          </cell>
          <cell r="L1008" t="str">
            <v>贷</v>
          </cell>
          <cell r="M1008">
            <v>1501</v>
          </cell>
          <cell r="N1008">
            <v>43.090490000000003</v>
          </cell>
          <cell r="O1008">
            <v>64678.82</v>
          </cell>
        </row>
        <row r="1009">
          <cell r="A1009" t="str">
            <v>12</v>
          </cell>
          <cell r="B1009" t="str">
            <v>11</v>
          </cell>
          <cell r="C1009" t="str">
            <v>记-0017</v>
          </cell>
          <cell r="D1009" t="str">
            <v>060</v>
          </cell>
          <cell r="E1009" t="str">
            <v>白燕盏</v>
          </cell>
          <cell r="F1009" t="str">
            <v>收购产品</v>
          </cell>
          <cell r="G1009">
            <v>58.555430000000001</v>
          </cell>
          <cell r="H1009">
            <v>600</v>
          </cell>
          <cell r="I1009">
            <v>35133.26</v>
          </cell>
          <cell r="J1009">
            <v>0</v>
          </cell>
          <cell r="K1009">
            <v>0</v>
          </cell>
          <cell r="L1009" t="str">
            <v>贷</v>
          </cell>
          <cell r="M1009">
            <v>901</v>
          </cell>
          <cell r="N1009">
            <v>0</v>
          </cell>
          <cell r="O1009">
            <v>29545.56</v>
          </cell>
        </row>
        <row r="1010">
          <cell r="A1010" t="str">
            <v>12</v>
          </cell>
          <cell r="B1010" t="str">
            <v>11</v>
          </cell>
          <cell r="C1010" t="str">
            <v>记-0017</v>
          </cell>
          <cell r="D1010" t="str">
            <v>060</v>
          </cell>
          <cell r="E1010" t="str">
            <v>白燕盏</v>
          </cell>
          <cell r="F1010" t="str">
            <v>收购产品</v>
          </cell>
          <cell r="G1010">
            <v>51.964790000000001</v>
          </cell>
          <cell r="H1010">
            <v>382</v>
          </cell>
          <cell r="I1010">
            <v>19850.55</v>
          </cell>
          <cell r="J1010">
            <v>0</v>
          </cell>
          <cell r="K1010">
            <v>0</v>
          </cell>
          <cell r="L1010" t="str">
            <v>贷</v>
          </cell>
          <cell r="M1010">
            <v>519</v>
          </cell>
          <cell r="N1010">
            <v>0</v>
          </cell>
          <cell r="O1010">
            <v>9695.01</v>
          </cell>
        </row>
        <row r="1011">
          <cell r="A1011" t="str">
            <v>12</v>
          </cell>
          <cell r="B1011" t="str">
            <v>11</v>
          </cell>
          <cell r="C1011" t="str">
            <v>记-0017</v>
          </cell>
          <cell r="D1011" t="str">
            <v>060</v>
          </cell>
          <cell r="E1011" t="str">
            <v>白燕盏</v>
          </cell>
          <cell r="F1011" t="str">
            <v>收购产品</v>
          </cell>
          <cell r="G1011">
            <v>39.036949999999997</v>
          </cell>
          <cell r="H1011">
            <v>469</v>
          </cell>
          <cell r="I1011">
            <v>18308.330000000002</v>
          </cell>
          <cell r="J1011">
            <v>0</v>
          </cell>
          <cell r="K1011">
            <v>0</v>
          </cell>
          <cell r="L1011" t="str">
            <v>借</v>
          </cell>
          <cell r="M1011">
            <v>-50</v>
          </cell>
          <cell r="N1011">
            <v>0</v>
          </cell>
          <cell r="O1011">
            <v>8613.32</v>
          </cell>
        </row>
        <row r="1012">
          <cell r="A1012" t="str">
            <v>12</v>
          </cell>
          <cell r="B1012" t="str">
            <v>11</v>
          </cell>
          <cell r="C1012" t="str">
            <v>记-0017</v>
          </cell>
          <cell r="D1012" t="str">
            <v>060</v>
          </cell>
          <cell r="E1012" t="str">
            <v>白燕盏</v>
          </cell>
          <cell r="F1012" t="str">
            <v>收购产品</v>
          </cell>
          <cell r="G1012">
            <v>44.191200000000002</v>
          </cell>
          <cell r="H1012">
            <v>600</v>
          </cell>
          <cell r="I1012">
            <v>26514.720000000001</v>
          </cell>
          <cell r="J1012">
            <v>0</v>
          </cell>
          <cell r="K1012">
            <v>0</v>
          </cell>
          <cell r="L1012" t="str">
            <v>借</v>
          </cell>
          <cell r="M1012">
            <v>550</v>
          </cell>
          <cell r="N1012">
            <v>0</v>
          </cell>
          <cell r="O1012">
            <v>35128.04</v>
          </cell>
        </row>
        <row r="1013">
          <cell r="A1013" t="str">
            <v>12</v>
          </cell>
          <cell r="B1013" t="str">
            <v>11</v>
          </cell>
          <cell r="C1013" t="str">
            <v>记-0018</v>
          </cell>
          <cell r="D1013" t="str">
            <v>060</v>
          </cell>
          <cell r="E1013" t="str">
            <v>白燕盏</v>
          </cell>
          <cell r="F1013" t="str">
            <v>收购产品</v>
          </cell>
          <cell r="G1013">
            <v>44.782640000000001</v>
          </cell>
          <cell r="H1013">
            <v>450</v>
          </cell>
          <cell r="I1013">
            <v>20152.189999999999</v>
          </cell>
          <cell r="J1013">
            <v>0</v>
          </cell>
          <cell r="K1013">
            <v>0</v>
          </cell>
          <cell r="L1013" t="str">
            <v>借</v>
          </cell>
          <cell r="M1013">
            <v>1000</v>
          </cell>
          <cell r="N1013">
            <v>0</v>
          </cell>
          <cell r="O1013">
            <v>55280.23</v>
          </cell>
        </row>
        <row r="1014">
          <cell r="A1014" t="str">
            <v>12</v>
          </cell>
          <cell r="B1014" t="str">
            <v>11</v>
          </cell>
          <cell r="C1014" t="str">
            <v>记-0019</v>
          </cell>
          <cell r="D1014" t="str">
            <v>060</v>
          </cell>
          <cell r="E1014" t="str">
            <v>白燕盏</v>
          </cell>
          <cell r="F1014" t="str">
            <v>收购产品</v>
          </cell>
          <cell r="G1014">
            <v>39.036960000000001</v>
          </cell>
          <cell r="H1014">
            <v>115</v>
          </cell>
          <cell r="I1014">
            <v>4489.25</v>
          </cell>
          <cell r="J1014">
            <v>0</v>
          </cell>
          <cell r="K1014">
            <v>0</v>
          </cell>
          <cell r="L1014" t="str">
            <v>借</v>
          </cell>
          <cell r="M1014">
            <v>1115</v>
          </cell>
          <cell r="N1014">
            <v>0</v>
          </cell>
          <cell r="O1014">
            <v>59769.48</v>
          </cell>
        </row>
        <row r="1015">
          <cell r="A1015" t="str">
            <v>12</v>
          </cell>
          <cell r="B1015" t="str">
            <v>11</v>
          </cell>
          <cell r="C1015" t="str">
            <v>记-0019</v>
          </cell>
          <cell r="D1015" t="str">
            <v>060</v>
          </cell>
          <cell r="E1015" t="str">
            <v>白燕盏</v>
          </cell>
          <cell r="F1015" t="str">
            <v>收购产品</v>
          </cell>
          <cell r="G1015">
            <v>51.964799999999997</v>
          </cell>
          <cell r="H1015">
            <v>198</v>
          </cell>
          <cell r="I1015">
            <v>10289.030000000001</v>
          </cell>
          <cell r="J1015">
            <v>0</v>
          </cell>
          <cell r="K1015">
            <v>0</v>
          </cell>
          <cell r="L1015" t="str">
            <v>借</v>
          </cell>
          <cell r="M1015">
            <v>1313</v>
          </cell>
          <cell r="N1015">
            <v>0</v>
          </cell>
          <cell r="O1015">
            <v>70058.509999999995</v>
          </cell>
        </row>
        <row r="1016">
          <cell r="A1016" t="str">
            <v>12</v>
          </cell>
          <cell r="B1016" t="str">
            <v>11</v>
          </cell>
          <cell r="C1016" t="str">
            <v>记-0019</v>
          </cell>
          <cell r="D1016" t="str">
            <v>060</v>
          </cell>
          <cell r="E1016" t="str">
            <v>白燕盏</v>
          </cell>
          <cell r="F1016" t="str">
            <v>收购产品</v>
          </cell>
          <cell r="G1016">
            <v>44.191200000000002</v>
          </cell>
          <cell r="H1016">
            <v>250</v>
          </cell>
          <cell r="I1016">
            <v>11047.8</v>
          </cell>
          <cell r="J1016">
            <v>0</v>
          </cell>
          <cell r="K1016">
            <v>0</v>
          </cell>
          <cell r="L1016" t="str">
            <v>借</v>
          </cell>
          <cell r="M1016">
            <v>1563</v>
          </cell>
          <cell r="N1016">
            <v>0</v>
          </cell>
          <cell r="O1016">
            <v>81106.31</v>
          </cell>
        </row>
        <row r="1017">
          <cell r="A1017" t="str">
            <v>12</v>
          </cell>
          <cell r="B1017" t="str">
            <v>11</v>
          </cell>
          <cell r="C1017" t="str">
            <v>记-0021</v>
          </cell>
          <cell r="D1017" t="str">
            <v>060</v>
          </cell>
          <cell r="E1017" t="str">
            <v>白燕盏</v>
          </cell>
          <cell r="F1017" t="str">
            <v>收购产品</v>
          </cell>
          <cell r="G1017">
            <v>43.092739999999999</v>
          </cell>
          <cell r="H1017">
            <v>1000</v>
          </cell>
          <cell r="I1017">
            <v>43092.74</v>
          </cell>
          <cell r="J1017">
            <v>0</v>
          </cell>
          <cell r="K1017">
            <v>0</v>
          </cell>
          <cell r="L1017" t="str">
            <v>借</v>
          </cell>
          <cell r="M1017">
            <v>2563</v>
          </cell>
          <cell r="N1017">
            <v>0</v>
          </cell>
          <cell r="O1017">
            <v>124199.05</v>
          </cell>
        </row>
        <row r="1018">
          <cell r="A1018" t="str">
            <v>12</v>
          </cell>
          <cell r="B1018" t="str">
            <v>11</v>
          </cell>
          <cell r="C1018" t="str">
            <v>记-0025</v>
          </cell>
          <cell r="D1018" t="str">
            <v>060</v>
          </cell>
          <cell r="E1018" t="str">
            <v>白燕盏</v>
          </cell>
          <cell r="F1018" t="str">
            <v>收购产品</v>
          </cell>
          <cell r="G1018">
            <v>44.191189999999999</v>
          </cell>
          <cell r="H1018">
            <v>700</v>
          </cell>
          <cell r="I1018">
            <v>30933.83</v>
          </cell>
          <cell r="J1018">
            <v>0</v>
          </cell>
          <cell r="K1018">
            <v>0</v>
          </cell>
          <cell r="L1018" t="str">
            <v>借</v>
          </cell>
          <cell r="M1018">
            <v>3263</v>
          </cell>
          <cell r="N1018">
            <v>0</v>
          </cell>
          <cell r="O1018">
            <v>155132.88</v>
          </cell>
        </row>
        <row r="1019">
          <cell r="A1019" t="str">
            <v>12</v>
          </cell>
          <cell r="B1019" t="str">
            <v>11</v>
          </cell>
          <cell r="C1019" t="str">
            <v>记-0025</v>
          </cell>
          <cell r="D1019" t="str">
            <v>060</v>
          </cell>
          <cell r="E1019" t="str">
            <v>白燕盏</v>
          </cell>
          <cell r="F1019" t="str">
            <v>收购产品</v>
          </cell>
          <cell r="G1019">
            <v>58.555439999999997</v>
          </cell>
          <cell r="H1019">
            <v>570</v>
          </cell>
          <cell r="I1019">
            <v>33376.6</v>
          </cell>
          <cell r="J1019">
            <v>0</v>
          </cell>
          <cell r="K1019">
            <v>0</v>
          </cell>
          <cell r="L1019" t="str">
            <v>借</v>
          </cell>
          <cell r="M1019">
            <v>3833</v>
          </cell>
          <cell r="N1019">
            <v>0</v>
          </cell>
          <cell r="O1019">
            <v>188509.48</v>
          </cell>
        </row>
        <row r="1020">
          <cell r="A1020" t="str">
            <v>12</v>
          </cell>
          <cell r="B1020" t="str">
            <v>11</v>
          </cell>
          <cell r="C1020" t="str">
            <v>记-0025</v>
          </cell>
          <cell r="D1020" t="str">
            <v>060</v>
          </cell>
          <cell r="E1020" t="str">
            <v>白燕盏</v>
          </cell>
          <cell r="F1020" t="str">
            <v>收购产品</v>
          </cell>
          <cell r="G1020">
            <v>51.964779999999998</v>
          </cell>
          <cell r="H1020">
            <v>500</v>
          </cell>
          <cell r="I1020">
            <v>25982.39</v>
          </cell>
          <cell r="J1020">
            <v>0</v>
          </cell>
          <cell r="K1020">
            <v>0</v>
          </cell>
          <cell r="L1020" t="str">
            <v>借</v>
          </cell>
          <cell r="M1020">
            <v>4333</v>
          </cell>
          <cell r="N1020">
            <v>0</v>
          </cell>
          <cell r="O1020">
            <v>214491.87</v>
          </cell>
        </row>
        <row r="1021">
          <cell r="A1021" t="str">
            <v>12</v>
          </cell>
          <cell r="B1021" t="str">
            <v>11</v>
          </cell>
          <cell r="C1021" t="str">
            <v>记-0025</v>
          </cell>
          <cell r="D1021" t="str">
            <v>060</v>
          </cell>
          <cell r="E1021" t="str">
            <v>白燕盏</v>
          </cell>
          <cell r="F1021" t="str">
            <v>收购产品</v>
          </cell>
          <cell r="G1021">
            <v>39.036969999999997</v>
          </cell>
          <cell r="H1021">
            <v>435</v>
          </cell>
          <cell r="I1021">
            <v>16981.080000000002</v>
          </cell>
          <cell r="J1021">
            <v>0</v>
          </cell>
          <cell r="K1021">
            <v>0</v>
          </cell>
          <cell r="L1021" t="str">
            <v>借</v>
          </cell>
          <cell r="M1021">
            <v>4768</v>
          </cell>
          <cell r="N1021">
            <v>0</v>
          </cell>
          <cell r="O1021">
            <v>231472.95</v>
          </cell>
        </row>
        <row r="1022">
          <cell r="A1022" t="str">
            <v>12</v>
          </cell>
          <cell r="B1022" t="str">
            <v>11</v>
          </cell>
          <cell r="C1022" t="str">
            <v>记-0026</v>
          </cell>
          <cell r="D1022" t="str">
            <v>060</v>
          </cell>
          <cell r="E1022" t="str">
            <v>白燕盏</v>
          </cell>
          <cell r="F1022" t="str">
            <v>收购产品</v>
          </cell>
          <cell r="G1022">
            <v>15068.375</v>
          </cell>
          <cell r="H1022">
            <v>16.8</v>
          </cell>
          <cell r="I1022">
            <v>253148.7</v>
          </cell>
          <cell r="J1022">
            <v>0</v>
          </cell>
          <cell r="K1022">
            <v>0</v>
          </cell>
          <cell r="L1022" t="str">
            <v>借</v>
          </cell>
          <cell r="M1022">
            <v>4784.8</v>
          </cell>
          <cell r="N1022">
            <v>0</v>
          </cell>
          <cell r="O1022">
            <v>484621.65</v>
          </cell>
        </row>
        <row r="1023">
          <cell r="A1023" t="str">
            <v>12</v>
          </cell>
          <cell r="B1023" t="str">
            <v>11</v>
          </cell>
          <cell r="C1023" t="str">
            <v>记-0026</v>
          </cell>
          <cell r="D1023" t="str">
            <v>060</v>
          </cell>
          <cell r="E1023" t="str">
            <v>白燕盏</v>
          </cell>
          <cell r="F1023" t="str">
            <v>收购产品</v>
          </cell>
          <cell r="G1023">
            <v>15068.374750000001</v>
          </cell>
          <cell r="H1023">
            <v>19.8</v>
          </cell>
          <cell r="I1023">
            <v>298353.82</v>
          </cell>
          <cell r="J1023">
            <v>0</v>
          </cell>
          <cell r="K1023">
            <v>0</v>
          </cell>
          <cell r="L1023" t="str">
            <v>借</v>
          </cell>
          <cell r="M1023">
            <v>4804.6000000000004</v>
          </cell>
          <cell r="N1023">
            <v>0</v>
          </cell>
          <cell r="O1023">
            <v>782975.47</v>
          </cell>
        </row>
        <row r="1024">
          <cell r="A1024" t="str">
            <v>12</v>
          </cell>
          <cell r="B1024" t="str">
            <v>11</v>
          </cell>
          <cell r="C1024" t="str">
            <v>记-0027</v>
          </cell>
          <cell r="D1024" t="str">
            <v>060</v>
          </cell>
          <cell r="E1024" t="str">
            <v>白燕盏</v>
          </cell>
          <cell r="F1024" t="str">
            <v>结转成本</v>
          </cell>
          <cell r="G1024">
            <v>44.191200000000002</v>
          </cell>
          <cell r="H1024">
            <v>0</v>
          </cell>
          <cell r="I1024">
            <v>0</v>
          </cell>
          <cell r="J1024">
            <v>250</v>
          </cell>
          <cell r="K1024">
            <v>11047.8</v>
          </cell>
          <cell r="L1024" t="str">
            <v>借</v>
          </cell>
          <cell r="M1024">
            <v>4554.6000000000004</v>
          </cell>
          <cell r="N1024">
            <v>0</v>
          </cell>
          <cell r="O1024">
            <v>771927.67</v>
          </cell>
        </row>
        <row r="1025">
          <cell r="A1025" t="str">
            <v>12</v>
          </cell>
          <cell r="B1025" t="str">
            <v>11</v>
          </cell>
          <cell r="C1025" t="str">
            <v>记-0027</v>
          </cell>
          <cell r="D1025" t="str">
            <v>060</v>
          </cell>
          <cell r="E1025" t="str">
            <v>白燕盏</v>
          </cell>
          <cell r="F1025" t="str">
            <v>结转成本</v>
          </cell>
          <cell r="G1025">
            <v>39.036960000000001</v>
          </cell>
          <cell r="H1025">
            <v>0</v>
          </cell>
          <cell r="I1025">
            <v>0</v>
          </cell>
          <cell r="J1025">
            <v>115</v>
          </cell>
          <cell r="K1025">
            <v>4489.25</v>
          </cell>
          <cell r="L1025" t="str">
            <v>借</v>
          </cell>
          <cell r="M1025">
            <v>4439.6000000000004</v>
          </cell>
          <cell r="N1025">
            <v>0</v>
          </cell>
          <cell r="O1025">
            <v>767438.42</v>
          </cell>
        </row>
        <row r="1026">
          <cell r="A1026" t="str">
            <v>12</v>
          </cell>
          <cell r="B1026" t="str">
            <v>11</v>
          </cell>
          <cell r="C1026" t="str">
            <v>记-0027</v>
          </cell>
          <cell r="D1026" t="str">
            <v>060</v>
          </cell>
          <cell r="E1026" t="str">
            <v>白燕盏</v>
          </cell>
          <cell r="F1026" t="str">
            <v>结转成本</v>
          </cell>
          <cell r="G1026">
            <v>51.964799999999997</v>
          </cell>
          <cell r="H1026">
            <v>0</v>
          </cell>
          <cell r="I1026">
            <v>0</v>
          </cell>
          <cell r="J1026">
            <v>198</v>
          </cell>
          <cell r="K1026">
            <v>10289.030000000001</v>
          </cell>
          <cell r="L1026" t="str">
            <v>借</v>
          </cell>
          <cell r="M1026">
            <v>4241.6000000000004</v>
          </cell>
          <cell r="N1026">
            <v>0</v>
          </cell>
          <cell r="O1026">
            <v>757149.39</v>
          </cell>
        </row>
        <row r="1027">
          <cell r="A1027" t="str">
            <v>12</v>
          </cell>
          <cell r="B1027" t="str">
            <v>11</v>
          </cell>
          <cell r="C1027" t="str">
            <v>记-0029</v>
          </cell>
          <cell r="D1027" t="str">
            <v>060</v>
          </cell>
          <cell r="E1027" t="str">
            <v>白燕盏</v>
          </cell>
          <cell r="F1027" t="str">
            <v>结转成本</v>
          </cell>
          <cell r="G1027">
            <v>43.092739999999999</v>
          </cell>
          <cell r="H1027">
            <v>0</v>
          </cell>
          <cell r="I1027">
            <v>0</v>
          </cell>
          <cell r="J1027">
            <v>1000</v>
          </cell>
          <cell r="K1027">
            <v>43092.74</v>
          </cell>
          <cell r="L1027" t="str">
            <v>借</v>
          </cell>
          <cell r="M1027">
            <v>3241.6</v>
          </cell>
          <cell r="N1027">
            <v>0</v>
          </cell>
          <cell r="O1027">
            <v>714056.65</v>
          </cell>
        </row>
        <row r="1028">
          <cell r="A1028" t="str">
            <v>12</v>
          </cell>
          <cell r="B1028" t="str">
            <v>11</v>
          </cell>
          <cell r="C1028" t="str">
            <v>记-0030</v>
          </cell>
          <cell r="D1028" t="str">
            <v>060</v>
          </cell>
          <cell r="E1028" t="str">
            <v>白燕盏</v>
          </cell>
          <cell r="F1028" t="str">
            <v>结转成本</v>
          </cell>
          <cell r="G1028">
            <v>44.782640000000001</v>
          </cell>
          <cell r="H1028">
            <v>0</v>
          </cell>
          <cell r="I1028">
            <v>0</v>
          </cell>
          <cell r="J1028">
            <v>450</v>
          </cell>
          <cell r="K1028">
            <v>20152.189999999999</v>
          </cell>
          <cell r="L1028" t="str">
            <v>借</v>
          </cell>
          <cell r="M1028">
            <v>2791.6</v>
          </cell>
          <cell r="N1028">
            <v>0</v>
          </cell>
          <cell r="O1028">
            <v>693904.46</v>
          </cell>
        </row>
        <row r="1029">
          <cell r="A1029" t="str">
            <v>12</v>
          </cell>
          <cell r="B1029" t="str">
            <v>11</v>
          </cell>
          <cell r="C1029" t="str">
            <v>记-0034</v>
          </cell>
          <cell r="D1029" t="str">
            <v>060</v>
          </cell>
          <cell r="E1029" t="str">
            <v>白燕盏</v>
          </cell>
          <cell r="F1029" t="str">
            <v>结转成本</v>
          </cell>
          <cell r="G1029">
            <v>39.036969999999997</v>
          </cell>
          <cell r="H1029">
            <v>0</v>
          </cell>
          <cell r="I1029">
            <v>0</v>
          </cell>
          <cell r="J1029">
            <v>435</v>
          </cell>
          <cell r="K1029">
            <v>16981.080000000002</v>
          </cell>
          <cell r="L1029" t="str">
            <v>借</v>
          </cell>
          <cell r="M1029">
            <v>2356.6</v>
          </cell>
          <cell r="N1029">
            <v>0</v>
          </cell>
          <cell r="O1029">
            <v>676923.38</v>
          </cell>
        </row>
        <row r="1030">
          <cell r="A1030" t="str">
            <v>12</v>
          </cell>
          <cell r="B1030" t="str">
            <v>11</v>
          </cell>
          <cell r="C1030" t="str">
            <v>记-0034</v>
          </cell>
          <cell r="D1030" t="str">
            <v>060</v>
          </cell>
          <cell r="E1030" t="str">
            <v>白燕盏</v>
          </cell>
          <cell r="F1030" t="str">
            <v>结转成本</v>
          </cell>
          <cell r="G1030">
            <v>44.191189999999999</v>
          </cell>
          <cell r="H1030">
            <v>0</v>
          </cell>
          <cell r="I1030">
            <v>0</v>
          </cell>
          <cell r="J1030">
            <v>700</v>
          </cell>
          <cell r="K1030">
            <v>30933.83</v>
          </cell>
          <cell r="L1030" t="str">
            <v>借</v>
          </cell>
          <cell r="M1030">
            <v>1656.6</v>
          </cell>
          <cell r="N1030">
            <v>0</v>
          </cell>
          <cell r="O1030">
            <v>645989.55000000005</v>
          </cell>
        </row>
        <row r="1031">
          <cell r="A1031" t="str">
            <v>12</v>
          </cell>
          <cell r="B1031" t="str">
            <v>11</v>
          </cell>
          <cell r="C1031" t="str">
            <v>记-0034</v>
          </cell>
          <cell r="D1031" t="str">
            <v>060</v>
          </cell>
          <cell r="E1031" t="str">
            <v>白燕盏</v>
          </cell>
          <cell r="F1031" t="str">
            <v>结转成本</v>
          </cell>
          <cell r="G1031">
            <v>58.555439999999997</v>
          </cell>
          <cell r="H1031">
            <v>0</v>
          </cell>
          <cell r="I1031">
            <v>0</v>
          </cell>
          <cell r="J1031">
            <v>570</v>
          </cell>
          <cell r="K1031">
            <v>33376.6</v>
          </cell>
          <cell r="L1031" t="str">
            <v>借</v>
          </cell>
          <cell r="M1031">
            <v>1086.5999999999999</v>
          </cell>
          <cell r="N1031">
            <v>0</v>
          </cell>
          <cell r="O1031">
            <v>612612.94999999995</v>
          </cell>
        </row>
        <row r="1032">
          <cell r="A1032" t="str">
            <v>12</v>
          </cell>
          <cell r="B1032" t="str">
            <v>11</v>
          </cell>
          <cell r="C1032" t="str">
            <v>记-0034</v>
          </cell>
          <cell r="D1032" t="str">
            <v>060</v>
          </cell>
          <cell r="E1032" t="str">
            <v>白燕盏</v>
          </cell>
          <cell r="F1032" t="str">
            <v>结转成本</v>
          </cell>
          <cell r="G1032">
            <v>51.964779999999998</v>
          </cell>
          <cell r="H1032">
            <v>0</v>
          </cell>
          <cell r="I1032">
            <v>0</v>
          </cell>
          <cell r="J1032">
            <v>500</v>
          </cell>
          <cell r="K1032">
            <v>25982.39</v>
          </cell>
          <cell r="L1032" t="str">
            <v>借</v>
          </cell>
          <cell r="M1032">
            <v>586.6</v>
          </cell>
          <cell r="N1032">
            <v>0</v>
          </cell>
          <cell r="O1032">
            <v>586630.56000000006</v>
          </cell>
        </row>
        <row r="1033">
          <cell r="A1033" t="str">
            <v>12</v>
          </cell>
          <cell r="B1033" t="str">
            <v>11</v>
          </cell>
          <cell r="C1033" t="str">
            <v>记-0035</v>
          </cell>
          <cell r="D1033" t="str">
            <v>060</v>
          </cell>
          <cell r="E1033" t="str">
            <v>白燕盏</v>
          </cell>
          <cell r="F1033" t="str">
            <v>结转成本</v>
          </cell>
          <cell r="G1033">
            <v>15068.375</v>
          </cell>
          <cell r="H1033">
            <v>0</v>
          </cell>
          <cell r="I1033">
            <v>0</v>
          </cell>
          <cell r="J1033">
            <v>16.8</v>
          </cell>
          <cell r="K1033">
            <v>253148.7</v>
          </cell>
          <cell r="L1033" t="str">
            <v>借</v>
          </cell>
          <cell r="M1033">
            <v>569.79999999999995</v>
          </cell>
          <cell r="N1033">
            <v>0</v>
          </cell>
          <cell r="O1033">
            <v>333481.86</v>
          </cell>
        </row>
        <row r="1034">
          <cell r="A1034" t="str">
            <v>12</v>
          </cell>
          <cell r="B1034" t="str">
            <v>11</v>
          </cell>
          <cell r="C1034" t="str">
            <v>记-0035</v>
          </cell>
          <cell r="D1034" t="str">
            <v>060</v>
          </cell>
          <cell r="E1034" t="str">
            <v>白燕盏</v>
          </cell>
          <cell r="F1034" t="str">
            <v>结转成本</v>
          </cell>
          <cell r="G1034">
            <v>15068.374750000001</v>
          </cell>
          <cell r="H1034">
            <v>0</v>
          </cell>
          <cell r="I1034">
            <v>0</v>
          </cell>
          <cell r="J1034">
            <v>19.8</v>
          </cell>
          <cell r="K1034">
            <v>298353.82</v>
          </cell>
          <cell r="L1034" t="str">
            <v>借</v>
          </cell>
          <cell r="M1034">
            <v>550</v>
          </cell>
          <cell r="N1034">
            <v>0</v>
          </cell>
          <cell r="O1034">
            <v>35128.04</v>
          </cell>
        </row>
        <row r="1035">
          <cell r="A1035" t="str">
            <v>12</v>
          </cell>
          <cell r="B1035" t="str">
            <v>11</v>
          </cell>
          <cell r="C1035" t="str">
            <v>记-0036</v>
          </cell>
          <cell r="D1035" t="str">
            <v>060</v>
          </cell>
          <cell r="E1035" t="str">
            <v>白燕盏</v>
          </cell>
          <cell r="F1035" t="str">
            <v>结转成本</v>
          </cell>
          <cell r="G1035">
            <v>39.036949999999997</v>
          </cell>
          <cell r="H1035">
            <v>0</v>
          </cell>
          <cell r="I1035">
            <v>0</v>
          </cell>
          <cell r="J1035">
            <v>469</v>
          </cell>
          <cell r="K1035">
            <v>18308.330000000002</v>
          </cell>
          <cell r="L1035" t="str">
            <v>借</v>
          </cell>
          <cell r="M1035">
            <v>81</v>
          </cell>
          <cell r="N1035">
            <v>0</v>
          </cell>
          <cell r="O1035">
            <v>16819.71</v>
          </cell>
        </row>
        <row r="1036">
          <cell r="A1036" t="str">
            <v>12</v>
          </cell>
          <cell r="B1036" t="str">
            <v>11</v>
          </cell>
          <cell r="C1036" t="str">
            <v>记-0036</v>
          </cell>
          <cell r="D1036" t="str">
            <v>060</v>
          </cell>
          <cell r="E1036" t="str">
            <v>白燕盏</v>
          </cell>
          <cell r="F1036" t="str">
            <v>结转成本</v>
          </cell>
          <cell r="G1036">
            <v>44.191200000000002</v>
          </cell>
          <cell r="H1036">
            <v>0</v>
          </cell>
          <cell r="I1036">
            <v>0</v>
          </cell>
          <cell r="J1036">
            <v>600</v>
          </cell>
          <cell r="K1036">
            <v>26514.720000000001</v>
          </cell>
          <cell r="L1036" t="str">
            <v>贷</v>
          </cell>
          <cell r="M1036">
            <v>519</v>
          </cell>
          <cell r="N1036">
            <v>0</v>
          </cell>
          <cell r="O1036">
            <v>9695.01</v>
          </cell>
        </row>
        <row r="1037">
          <cell r="A1037" t="str">
            <v>12</v>
          </cell>
          <cell r="B1037" t="str">
            <v>11</v>
          </cell>
          <cell r="C1037" t="str">
            <v>记-0036</v>
          </cell>
          <cell r="D1037" t="str">
            <v>060</v>
          </cell>
          <cell r="E1037" t="str">
            <v>白燕盏</v>
          </cell>
          <cell r="F1037" t="str">
            <v>结转成本</v>
          </cell>
          <cell r="G1037">
            <v>58.555430000000001</v>
          </cell>
          <cell r="H1037">
            <v>0</v>
          </cell>
          <cell r="I1037">
            <v>0</v>
          </cell>
          <cell r="J1037">
            <v>600</v>
          </cell>
          <cell r="K1037">
            <v>35133.26</v>
          </cell>
          <cell r="L1037" t="str">
            <v>贷</v>
          </cell>
          <cell r="M1037">
            <v>1119</v>
          </cell>
          <cell r="N1037">
            <v>0</v>
          </cell>
          <cell r="O1037">
            <v>44828.27</v>
          </cell>
        </row>
        <row r="1038">
          <cell r="A1038" t="str">
            <v>12</v>
          </cell>
          <cell r="B1038" t="str">
            <v>11</v>
          </cell>
          <cell r="C1038" t="str">
            <v>记-0036</v>
          </cell>
          <cell r="D1038" t="str">
            <v>060</v>
          </cell>
          <cell r="E1038" t="str">
            <v>白燕盏</v>
          </cell>
          <cell r="F1038" t="str">
            <v>结转成本</v>
          </cell>
          <cell r="G1038">
            <v>51.964790000000001</v>
          </cell>
          <cell r="H1038">
            <v>0</v>
          </cell>
          <cell r="I1038">
            <v>0</v>
          </cell>
          <cell r="J1038">
            <v>382</v>
          </cell>
          <cell r="K1038">
            <v>19850.55</v>
          </cell>
          <cell r="L1038" t="str">
            <v>贷</v>
          </cell>
          <cell r="M1038">
            <v>1501</v>
          </cell>
          <cell r="N1038">
            <v>0</v>
          </cell>
          <cell r="O1038">
            <v>64678.82</v>
          </cell>
        </row>
        <row r="1039">
          <cell r="A1039" t="str">
            <v>12</v>
          </cell>
          <cell r="B1039" t="str">
            <v>31</v>
          </cell>
          <cell r="C1039" t="str">
            <v>记-0177</v>
          </cell>
          <cell r="D1039" t="str">
            <v>060</v>
          </cell>
          <cell r="E1039" t="str">
            <v>白燕盏</v>
          </cell>
          <cell r="F1039" t="str">
            <v>调整4月47号凭</v>
          </cell>
          <cell r="G1039">
            <v>38.023000000000003</v>
          </cell>
          <cell r="H1039">
            <v>0</v>
          </cell>
          <cell r="I1039">
            <v>0</v>
          </cell>
          <cell r="J1039">
            <v>300</v>
          </cell>
          <cell r="K1039">
            <v>11406.9</v>
          </cell>
          <cell r="L1039" t="str">
            <v>贷</v>
          </cell>
          <cell r="M1039">
            <v>1801</v>
          </cell>
          <cell r="N1039">
            <v>0</v>
          </cell>
          <cell r="O1039">
            <v>76085.72</v>
          </cell>
        </row>
        <row r="1040">
          <cell r="A1040" t="str">
            <v>12</v>
          </cell>
          <cell r="B1040" t="str">
            <v>31</v>
          </cell>
          <cell r="C1040" t="str">
            <v>记-0178</v>
          </cell>
          <cell r="D1040" t="str">
            <v>060</v>
          </cell>
          <cell r="E1040" t="str">
            <v>白燕盏</v>
          </cell>
          <cell r="F1040" t="str">
            <v>合并名称</v>
          </cell>
          <cell r="G1040">
            <v>42.246369999999999</v>
          </cell>
          <cell r="H1040">
            <v>1801</v>
          </cell>
          <cell r="I1040">
            <v>76085.72</v>
          </cell>
          <cell r="J1040">
            <v>0</v>
          </cell>
          <cell r="K1040">
            <v>0</v>
          </cell>
          <cell r="L1040" t="str">
            <v>平</v>
          </cell>
          <cell r="M1040">
            <v>0</v>
          </cell>
          <cell r="N1040">
            <v>0</v>
          </cell>
          <cell r="O1040">
            <v>0</v>
          </cell>
        </row>
        <row r="1041">
          <cell r="A1041" t="str">
            <v>12</v>
          </cell>
          <cell r="F1041" t="str">
            <v>本月合计</v>
          </cell>
          <cell r="G1041">
            <v>0</v>
          </cell>
          <cell r="H1041">
            <v>8106.6</v>
          </cell>
          <cell r="I1041">
            <v>923740.01</v>
          </cell>
          <cell r="J1041">
            <v>6605.6</v>
          </cell>
          <cell r="K1041">
            <v>859061.19</v>
          </cell>
          <cell r="L1041" t="str">
            <v>平</v>
          </cell>
          <cell r="M1041">
            <v>0</v>
          </cell>
          <cell r="N1041">
            <v>0</v>
          </cell>
          <cell r="O1041">
            <v>0</v>
          </cell>
        </row>
        <row r="1042">
          <cell r="A1042" t="str">
            <v>12</v>
          </cell>
          <cell r="E1042" t="str">
            <v>白燕盏</v>
          </cell>
          <cell r="F1042" t="str">
            <v>本年累计</v>
          </cell>
          <cell r="G1042">
            <v>0</v>
          </cell>
          <cell r="H1042">
            <v>39577.9</v>
          </cell>
          <cell r="I1042">
            <v>4094096.27</v>
          </cell>
          <cell r="J1042">
            <v>39577.9</v>
          </cell>
          <cell r="K1042">
            <v>4094096.27</v>
          </cell>
          <cell r="L1042" t="str">
            <v>平</v>
          </cell>
          <cell r="M1042">
            <v>0</v>
          </cell>
          <cell r="N1042">
            <v>0</v>
          </cell>
          <cell r="O1042">
            <v>0</v>
          </cell>
        </row>
        <row r="1043">
          <cell r="A1043" t="str">
            <v>01</v>
          </cell>
          <cell r="B1043" t="str">
            <v>31</v>
          </cell>
          <cell r="C1043" t="str">
            <v>记-0029</v>
          </cell>
          <cell r="D1043" t="str">
            <v>061</v>
          </cell>
          <cell r="E1043" t="str">
            <v>棉兰白燕盏</v>
          </cell>
          <cell r="F1043" t="str">
            <v>收购产品</v>
          </cell>
          <cell r="G1043">
            <v>37.685029999999998</v>
          </cell>
          <cell r="H1043">
            <v>600</v>
          </cell>
          <cell r="I1043">
            <v>22611.02</v>
          </cell>
          <cell r="J1043">
            <v>0</v>
          </cell>
          <cell r="K1043">
            <v>0</v>
          </cell>
          <cell r="L1043" t="str">
            <v>借</v>
          </cell>
          <cell r="M1043">
            <v>600</v>
          </cell>
          <cell r="N1043">
            <v>0</v>
          </cell>
          <cell r="O1043">
            <v>22611.02</v>
          </cell>
        </row>
        <row r="1044">
          <cell r="A1044" t="str">
            <v>01</v>
          </cell>
          <cell r="B1044" t="str">
            <v>31</v>
          </cell>
          <cell r="C1044" t="str">
            <v>记-0030</v>
          </cell>
          <cell r="D1044" t="str">
            <v>061</v>
          </cell>
          <cell r="E1044" t="str">
            <v>棉兰白燕盏</v>
          </cell>
          <cell r="F1044" t="str">
            <v>收购产品</v>
          </cell>
          <cell r="G1044">
            <v>44.782649999999997</v>
          </cell>
          <cell r="H1044">
            <v>200</v>
          </cell>
          <cell r="I1044">
            <v>8956.5300000000007</v>
          </cell>
          <cell r="J1044">
            <v>0</v>
          </cell>
          <cell r="K1044">
            <v>0</v>
          </cell>
          <cell r="L1044" t="str">
            <v>借</v>
          </cell>
          <cell r="M1044">
            <v>800</v>
          </cell>
          <cell r="N1044">
            <v>0</v>
          </cell>
          <cell r="O1044">
            <v>31567.55</v>
          </cell>
        </row>
        <row r="1045">
          <cell r="A1045" t="str">
            <v>01</v>
          </cell>
          <cell r="B1045" t="str">
            <v>31</v>
          </cell>
          <cell r="C1045" t="str">
            <v>记-0043</v>
          </cell>
          <cell r="D1045" t="str">
            <v>061</v>
          </cell>
          <cell r="E1045" t="str">
            <v>棉兰白燕盏</v>
          </cell>
          <cell r="F1045" t="str">
            <v>结转销售成本</v>
          </cell>
          <cell r="G1045">
            <v>37.685029999999998</v>
          </cell>
          <cell r="H1045">
            <v>0</v>
          </cell>
          <cell r="I1045">
            <v>0</v>
          </cell>
          <cell r="J1045">
            <v>600</v>
          </cell>
          <cell r="K1045">
            <v>22611.02</v>
          </cell>
          <cell r="L1045" t="str">
            <v>借</v>
          </cell>
          <cell r="M1045">
            <v>200</v>
          </cell>
          <cell r="N1045">
            <v>0</v>
          </cell>
          <cell r="O1045">
            <v>8956.5300000000007</v>
          </cell>
        </row>
        <row r="1046">
          <cell r="A1046" t="str">
            <v>01</v>
          </cell>
          <cell r="B1046" t="str">
            <v>31</v>
          </cell>
          <cell r="C1046" t="str">
            <v>记-0044</v>
          </cell>
          <cell r="D1046" t="str">
            <v>061</v>
          </cell>
          <cell r="E1046" t="str">
            <v>棉兰白燕盏</v>
          </cell>
          <cell r="F1046" t="str">
            <v>结转销售成本</v>
          </cell>
          <cell r="G1046">
            <v>44.782649999999997</v>
          </cell>
          <cell r="H1046">
            <v>0</v>
          </cell>
          <cell r="I1046">
            <v>0</v>
          </cell>
          <cell r="J1046">
            <v>200</v>
          </cell>
          <cell r="K1046">
            <v>8956.5300000000007</v>
          </cell>
          <cell r="L1046" t="str">
            <v>平</v>
          </cell>
          <cell r="M1046">
            <v>0</v>
          </cell>
          <cell r="N1046">
            <v>0</v>
          </cell>
          <cell r="O1046">
            <v>0</v>
          </cell>
        </row>
        <row r="1047">
          <cell r="A1047" t="str">
            <v>01</v>
          </cell>
          <cell r="F1047" t="str">
            <v>本月合计</v>
          </cell>
          <cell r="G1047">
            <v>0</v>
          </cell>
          <cell r="H1047">
            <v>800</v>
          </cell>
          <cell r="I1047">
            <v>31567.55</v>
          </cell>
          <cell r="J1047">
            <v>800</v>
          </cell>
          <cell r="K1047">
            <v>31567.55</v>
          </cell>
          <cell r="L1047" t="str">
            <v>平</v>
          </cell>
          <cell r="M1047">
            <v>0</v>
          </cell>
          <cell r="N1047">
            <v>0</v>
          </cell>
          <cell r="O1047">
            <v>0</v>
          </cell>
        </row>
        <row r="1048">
          <cell r="A1048" t="str">
            <v>01</v>
          </cell>
          <cell r="F1048" t="str">
            <v>累    计</v>
          </cell>
          <cell r="G1048">
            <v>0</v>
          </cell>
          <cell r="H1048">
            <v>800</v>
          </cell>
          <cell r="I1048">
            <v>31567.55</v>
          </cell>
          <cell r="J1048">
            <v>800</v>
          </cell>
          <cell r="K1048">
            <v>31567.55</v>
          </cell>
          <cell r="L1048" t="str">
            <v>平</v>
          </cell>
          <cell r="M1048">
            <v>0</v>
          </cell>
          <cell r="N1048">
            <v>0</v>
          </cell>
          <cell r="O1048">
            <v>0</v>
          </cell>
        </row>
        <row r="1049">
          <cell r="A1049" t="str">
            <v>02</v>
          </cell>
          <cell r="B1049" t="str">
            <v>28</v>
          </cell>
          <cell r="C1049" t="str">
            <v>记-0060</v>
          </cell>
          <cell r="D1049" t="str">
            <v>061</v>
          </cell>
          <cell r="E1049" t="str">
            <v>棉兰白燕盏</v>
          </cell>
          <cell r="F1049" t="str">
            <v>结转成本</v>
          </cell>
          <cell r="G1049">
            <v>44.782640000000001</v>
          </cell>
          <cell r="H1049">
            <v>0</v>
          </cell>
          <cell r="I1049">
            <v>0</v>
          </cell>
          <cell r="J1049">
            <v>250</v>
          </cell>
          <cell r="K1049">
            <v>11195.66</v>
          </cell>
          <cell r="L1049" t="str">
            <v>贷</v>
          </cell>
          <cell r="M1049">
            <v>250</v>
          </cell>
          <cell r="N1049">
            <v>0</v>
          </cell>
          <cell r="O1049">
            <v>11195.66</v>
          </cell>
        </row>
        <row r="1050">
          <cell r="A1050" t="str">
            <v>02</v>
          </cell>
          <cell r="B1050" t="str">
            <v>28</v>
          </cell>
          <cell r="C1050" t="str">
            <v>记-0061</v>
          </cell>
          <cell r="D1050" t="str">
            <v>061</v>
          </cell>
          <cell r="E1050" t="str">
            <v>棉兰白燕盏</v>
          </cell>
          <cell r="F1050" t="str">
            <v>结转成本</v>
          </cell>
          <cell r="G1050">
            <v>37.685029999999998</v>
          </cell>
          <cell r="H1050">
            <v>0</v>
          </cell>
          <cell r="I1050">
            <v>0</v>
          </cell>
          <cell r="J1050">
            <v>1500</v>
          </cell>
          <cell r="K1050">
            <v>56527.54</v>
          </cell>
          <cell r="L1050" t="str">
            <v>贷</v>
          </cell>
          <cell r="M1050">
            <v>1750</v>
          </cell>
          <cell r="N1050">
            <v>0</v>
          </cell>
          <cell r="O1050">
            <v>67723.199999999997</v>
          </cell>
        </row>
        <row r="1051">
          <cell r="A1051" t="str">
            <v>02</v>
          </cell>
          <cell r="B1051" t="str">
            <v>28</v>
          </cell>
          <cell r="C1051" t="str">
            <v>记-0065</v>
          </cell>
          <cell r="D1051" t="str">
            <v>061</v>
          </cell>
          <cell r="E1051" t="str">
            <v>棉兰白燕盏</v>
          </cell>
          <cell r="F1051" t="str">
            <v>收购产品</v>
          </cell>
          <cell r="G1051">
            <v>37.685029999999998</v>
          </cell>
          <cell r="H1051">
            <v>1500</v>
          </cell>
          <cell r="I1051">
            <v>56527.54</v>
          </cell>
          <cell r="J1051">
            <v>0</v>
          </cell>
          <cell r="K1051">
            <v>0</v>
          </cell>
          <cell r="L1051" t="str">
            <v>贷</v>
          </cell>
          <cell r="M1051">
            <v>250</v>
          </cell>
          <cell r="N1051">
            <v>0</v>
          </cell>
          <cell r="O1051">
            <v>11195.66</v>
          </cell>
        </row>
        <row r="1052">
          <cell r="A1052" t="str">
            <v>02</v>
          </cell>
          <cell r="B1052" t="str">
            <v>28</v>
          </cell>
          <cell r="C1052" t="str">
            <v>记-0067</v>
          </cell>
          <cell r="D1052" t="str">
            <v>061</v>
          </cell>
          <cell r="E1052" t="str">
            <v>棉兰白燕盏</v>
          </cell>
          <cell r="F1052" t="str">
            <v>收购产品</v>
          </cell>
          <cell r="G1052">
            <v>44.782640000000001</v>
          </cell>
          <cell r="H1052">
            <v>250</v>
          </cell>
          <cell r="I1052">
            <v>11195.66</v>
          </cell>
          <cell r="J1052">
            <v>0</v>
          </cell>
          <cell r="K1052">
            <v>0</v>
          </cell>
          <cell r="L1052" t="str">
            <v>平</v>
          </cell>
          <cell r="M1052">
            <v>0</v>
          </cell>
          <cell r="N1052">
            <v>0</v>
          </cell>
          <cell r="O1052">
            <v>0</v>
          </cell>
        </row>
        <row r="1053">
          <cell r="A1053" t="str">
            <v>02</v>
          </cell>
          <cell r="F1053" t="str">
            <v>本月合计</v>
          </cell>
          <cell r="G1053">
            <v>0</v>
          </cell>
          <cell r="H1053">
            <v>1750</v>
          </cell>
          <cell r="I1053">
            <v>67723.199999999997</v>
          </cell>
          <cell r="J1053">
            <v>1750</v>
          </cell>
          <cell r="K1053">
            <v>67723.199999999997</v>
          </cell>
          <cell r="L1053" t="str">
            <v>平</v>
          </cell>
          <cell r="M1053">
            <v>0</v>
          </cell>
          <cell r="N1053">
            <v>0</v>
          </cell>
          <cell r="O1053">
            <v>0</v>
          </cell>
        </row>
        <row r="1054">
          <cell r="A1054" t="str">
            <v>02</v>
          </cell>
          <cell r="F1054" t="str">
            <v>累    计</v>
          </cell>
          <cell r="G1054">
            <v>0</v>
          </cell>
          <cell r="H1054">
            <v>2550</v>
          </cell>
          <cell r="I1054">
            <v>99290.75</v>
          </cell>
          <cell r="J1054">
            <v>2550</v>
          </cell>
          <cell r="K1054">
            <v>99290.75</v>
          </cell>
          <cell r="L1054" t="str">
            <v>平</v>
          </cell>
          <cell r="M1054">
            <v>0</v>
          </cell>
          <cell r="N1054">
            <v>0</v>
          </cell>
          <cell r="O1054">
            <v>0</v>
          </cell>
        </row>
        <row r="1055">
          <cell r="A1055" t="str">
            <v>04</v>
          </cell>
          <cell r="B1055" t="str">
            <v>30</v>
          </cell>
          <cell r="C1055" t="str">
            <v>记-0042</v>
          </cell>
          <cell r="D1055" t="str">
            <v>061</v>
          </cell>
          <cell r="E1055" t="str">
            <v>棉兰白燕盏</v>
          </cell>
          <cell r="F1055" t="str">
            <v>收购产品</v>
          </cell>
          <cell r="G1055">
            <v>38.023000000000003</v>
          </cell>
          <cell r="H1055">
            <v>230</v>
          </cell>
          <cell r="I1055">
            <v>8745.2900000000009</v>
          </cell>
          <cell r="J1055">
            <v>0</v>
          </cell>
          <cell r="K1055">
            <v>0</v>
          </cell>
          <cell r="L1055" t="str">
            <v>借</v>
          </cell>
          <cell r="M1055">
            <v>230</v>
          </cell>
          <cell r="N1055">
            <v>0</v>
          </cell>
          <cell r="O1055">
            <v>8745.2900000000009</v>
          </cell>
        </row>
        <row r="1056">
          <cell r="A1056" t="str">
            <v>04</v>
          </cell>
          <cell r="B1056" t="str">
            <v>30</v>
          </cell>
          <cell r="C1056" t="str">
            <v>记-0043</v>
          </cell>
          <cell r="D1056" t="str">
            <v>061</v>
          </cell>
          <cell r="E1056" t="str">
            <v>棉兰白燕盏</v>
          </cell>
          <cell r="F1056" t="str">
            <v>收购产品</v>
          </cell>
          <cell r="G1056">
            <v>44.78266</v>
          </cell>
          <cell r="H1056">
            <v>900</v>
          </cell>
          <cell r="I1056">
            <v>40304.39</v>
          </cell>
          <cell r="J1056">
            <v>0</v>
          </cell>
          <cell r="K1056">
            <v>0</v>
          </cell>
          <cell r="L1056" t="str">
            <v>借</v>
          </cell>
          <cell r="M1056">
            <v>1130</v>
          </cell>
          <cell r="N1056">
            <v>0</v>
          </cell>
          <cell r="O1056">
            <v>49049.68</v>
          </cell>
        </row>
        <row r="1057">
          <cell r="A1057" t="str">
            <v>04</v>
          </cell>
          <cell r="B1057" t="str">
            <v>30</v>
          </cell>
          <cell r="C1057" t="str">
            <v>记-0043</v>
          </cell>
          <cell r="D1057" t="str">
            <v>061</v>
          </cell>
          <cell r="E1057" t="str">
            <v>棉兰白燕盏</v>
          </cell>
          <cell r="F1057" t="str">
            <v>收购产品</v>
          </cell>
          <cell r="G1057">
            <v>19.433979999999998</v>
          </cell>
          <cell r="H1057">
            <v>1000</v>
          </cell>
          <cell r="I1057">
            <v>19433.98</v>
          </cell>
          <cell r="J1057">
            <v>0</v>
          </cell>
          <cell r="K1057">
            <v>0</v>
          </cell>
          <cell r="L1057" t="str">
            <v>借</v>
          </cell>
          <cell r="M1057">
            <v>2130</v>
          </cell>
          <cell r="N1057">
            <v>0</v>
          </cell>
          <cell r="O1057">
            <v>68483.66</v>
          </cell>
        </row>
        <row r="1058">
          <cell r="A1058" t="str">
            <v>04</v>
          </cell>
          <cell r="B1058" t="str">
            <v>30</v>
          </cell>
          <cell r="C1058" t="str">
            <v>记-0043</v>
          </cell>
          <cell r="D1058" t="str">
            <v>061</v>
          </cell>
          <cell r="E1058" t="str">
            <v>棉兰白燕盏</v>
          </cell>
          <cell r="F1058" t="str">
            <v>收购产品</v>
          </cell>
          <cell r="G1058">
            <v>39.712919999999997</v>
          </cell>
          <cell r="H1058">
            <v>901</v>
          </cell>
          <cell r="I1058">
            <v>35781.339999999997</v>
          </cell>
          <cell r="J1058">
            <v>0</v>
          </cell>
          <cell r="K1058">
            <v>0</v>
          </cell>
          <cell r="L1058" t="str">
            <v>借</v>
          </cell>
          <cell r="M1058">
            <v>3031</v>
          </cell>
          <cell r="N1058">
            <v>0</v>
          </cell>
          <cell r="O1058">
            <v>104265</v>
          </cell>
        </row>
        <row r="1059">
          <cell r="A1059" t="str">
            <v>04</v>
          </cell>
          <cell r="B1059" t="str">
            <v>30</v>
          </cell>
          <cell r="C1059" t="str">
            <v>记-0044</v>
          </cell>
          <cell r="D1059" t="str">
            <v>061</v>
          </cell>
          <cell r="E1059" t="str">
            <v>棉兰白燕盏</v>
          </cell>
          <cell r="F1059" t="str">
            <v>转成本</v>
          </cell>
          <cell r="G1059">
            <v>38.023000000000003</v>
          </cell>
          <cell r="H1059">
            <v>0</v>
          </cell>
          <cell r="I1059">
            <v>0</v>
          </cell>
          <cell r="J1059">
            <v>230</v>
          </cell>
          <cell r="K1059">
            <v>8745.2900000000009</v>
          </cell>
          <cell r="L1059" t="str">
            <v>借</v>
          </cell>
          <cell r="M1059">
            <v>2801</v>
          </cell>
          <cell r="N1059">
            <v>0</v>
          </cell>
          <cell r="O1059">
            <v>95519.71</v>
          </cell>
        </row>
        <row r="1060">
          <cell r="A1060" t="str">
            <v>04</v>
          </cell>
          <cell r="F1060" t="str">
            <v>本月合计</v>
          </cell>
          <cell r="G1060">
            <v>0</v>
          </cell>
          <cell r="H1060">
            <v>3031</v>
          </cell>
          <cell r="I1060">
            <v>104265</v>
          </cell>
          <cell r="J1060">
            <v>230</v>
          </cell>
          <cell r="K1060">
            <v>8745.2900000000009</v>
          </cell>
          <cell r="L1060" t="str">
            <v>借</v>
          </cell>
          <cell r="M1060">
            <v>2801</v>
          </cell>
          <cell r="N1060">
            <v>34.101999999999997</v>
          </cell>
          <cell r="O1060">
            <v>95519.71</v>
          </cell>
        </row>
        <row r="1061">
          <cell r="A1061" t="str">
            <v>04</v>
          </cell>
          <cell r="F1061" t="str">
            <v>累    计</v>
          </cell>
          <cell r="G1061">
            <v>0</v>
          </cell>
          <cell r="H1061">
            <v>5581</v>
          </cell>
          <cell r="I1061">
            <v>203555.75</v>
          </cell>
          <cell r="J1061">
            <v>2780</v>
          </cell>
          <cell r="K1061">
            <v>108036.04</v>
          </cell>
          <cell r="L1061" t="str">
            <v>借</v>
          </cell>
          <cell r="M1061">
            <v>2801</v>
          </cell>
          <cell r="N1061">
            <v>34.101999999999997</v>
          </cell>
          <cell r="O1061">
            <v>95519.71</v>
          </cell>
        </row>
        <row r="1062">
          <cell r="A1062" t="str">
            <v>07</v>
          </cell>
          <cell r="B1062" t="str">
            <v>22</v>
          </cell>
          <cell r="C1062" t="str">
            <v>记-0047</v>
          </cell>
          <cell r="D1062" t="str">
            <v>061</v>
          </cell>
          <cell r="E1062" t="str">
            <v>棉兰白燕盏</v>
          </cell>
          <cell r="F1062" t="str">
            <v>结转成本</v>
          </cell>
          <cell r="G1062">
            <v>0</v>
          </cell>
          <cell r="H1062">
            <v>0</v>
          </cell>
          <cell r="I1062">
            <v>0</v>
          </cell>
          <cell r="J1062">
            <v>0</v>
          </cell>
          <cell r="K1062">
            <v>11406.9</v>
          </cell>
          <cell r="L1062" t="str">
            <v>借</v>
          </cell>
          <cell r="M1062">
            <v>2801</v>
          </cell>
          <cell r="N1062">
            <v>0</v>
          </cell>
          <cell r="O1062">
            <v>84112.81</v>
          </cell>
        </row>
        <row r="1063">
          <cell r="A1063" t="str">
            <v>07</v>
          </cell>
          <cell r="F1063" t="str">
            <v>本月合计</v>
          </cell>
          <cell r="G1063">
            <v>0</v>
          </cell>
          <cell r="H1063">
            <v>0</v>
          </cell>
          <cell r="I1063">
            <v>0</v>
          </cell>
          <cell r="J1063">
            <v>0</v>
          </cell>
          <cell r="K1063">
            <v>11406.9</v>
          </cell>
          <cell r="L1063" t="str">
            <v>借</v>
          </cell>
          <cell r="M1063">
            <v>2801</v>
          </cell>
          <cell r="N1063">
            <v>30.02956</v>
          </cell>
          <cell r="O1063">
            <v>84112.81</v>
          </cell>
        </row>
        <row r="1064">
          <cell r="A1064" t="str">
            <v>07</v>
          </cell>
          <cell r="F1064" t="str">
            <v>累    计</v>
          </cell>
          <cell r="G1064">
            <v>0</v>
          </cell>
          <cell r="H1064">
            <v>5581</v>
          </cell>
          <cell r="I1064">
            <v>203555.75</v>
          </cell>
          <cell r="J1064">
            <v>2780</v>
          </cell>
          <cell r="K1064">
            <v>119442.94</v>
          </cell>
          <cell r="L1064" t="str">
            <v>借</v>
          </cell>
          <cell r="M1064">
            <v>2801</v>
          </cell>
          <cell r="N1064">
            <v>30.02956</v>
          </cell>
          <cell r="O1064">
            <v>84112.81</v>
          </cell>
        </row>
        <row r="1065">
          <cell r="A1065" t="str">
            <v>12</v>
          </cell>
          <cell r="B1065" t="str">
            <v>31</v>
          </cell>
          <cell r="C1065" t="str">
            <v>记-0175</v>
          </cell>
          <cell r="D1065" t="str">
            <v>061</v>
          </cell>
          <cell r="E1065" t="str">
            <v>棉兰白燕盏</v>
          </cell>
          <cell r="F1065" t="str">
            <v>调整4月43号凭</v>
          </cell>
          <cell r="G1065">
            <v>19.433979999999998</v>
          </cell>
          <cell r="H1065">
            <v>-1000</v>
          </cell>
          <cell r="I1065">
            <v>-19433.98</v>
          </cell>
          <cell r="J1065">
            <v>0</v>
          </cell>
          <cell r="K1065">
            <v>0</v>
          </cell>
          <cell r="L1065" t="str">
            <v>借</v>
          </cell>
          <cell r="M1065">
            <v>1801</v>
          </cell>
          <cell r="N1065">
            <v>0</v>
          </cell>
          <cell r="O1065">
            <v>64678.83</v>
          </cell>
        </row>
        <row r="1066">
          <cell r="A1066" t="str">
            <v>12</v>
          </cell>
          <cell r="B1066" t="str">
            <v>31</v>
          </cell>
          <cell r="C1066" t="str">
            <v>记-0177</v>
          </cell>
          <cell r="D1066" t="str">
            <v>061</v>
          </cell>
          <cell r="E1066" t="str">
            <v>棉兰白燕盏</v>
          </cell>
          <cell r="F1066" t="str">
            <v>调整4月47号凭</v>
          </cell>
          <cell r="G1066">
            <v>0</v>
          </cell>
          <cell r="H1066">
            <v>0</v>
          </cell>
          <cell r="I1066">
            <v>0</v>
          </cell>
          <cell r="J1066">
            <v>0</v>
          </cell>
          <cell r="K1066">
            <v>-11406.9</v>
          </cell>
          <cell r="L1066" t="str">
            <v>借</v>
          </cell>
          <cell r="M1066">
            <v>1801</v>
          </cell>
          <cell r="N1066">
            <v>0</v>
          </cell>
          <cell r="O1066">
            <v>76085.73</v>
          </cell>
        </row>
        <row r="1067">
          <cell r="A1067" t="str">
            <v>12</v>
          </cell>
          <cell r="B1067" t="str">
            <v>31</v>
          </cell>
          <cell r="C1067" t="str">
            <v>记-0178</v>
          </cell>
          <cell r="D1067" t="str">
            <v>061</v>
          </cell>
          <cell r="E1067" t="str">
            <v>棉兰白燕盏</v>
          </cell>
          <cell r="F1067" t="str">
            <v>合并名称</v>
          </cell>
          <cell r="G1067">
            <v>42.246380000000002</v>
          </cell>
          <cell r="H1067">
            <v>-1801</v>
          </cell>
          <cell r="I1067">
            <v>-76085.73</v>
          </cell>
          <cell r="J1067">
            <v>0</v>
          </cell>
          <cell r="K1067">
            <v>0</v>
          </cell>
          <cell r="L1067" t="str">
            <v>平</v>
          </cell>
          <cell r="M1067">
            <v>0</v>
          </cell>
          <cell r="N1067">
            <v>0</v>
          </cell>
          <cell r="O1067">
            <v>0</v>
          </cell>
        </row>
        <row r="1068">
          <cell r="A1068" t="str">
            <v>12</v>
          </cell>
          <cell r="F1068" t="str">
            <v>本月合计</v>
          </cell>
          <cell r="G1068">
            <v>0</v>
          </cell>
          <cell r="H1068">
            <v>-2801</v>
          </cell>
          <cell r="I1068">
            <v>-95519.71</v>
          </cell>
          <cell r="J1068">
            <v>0</v>
          </cell>
          <cell r="K1068">
            <v>-11406.9</v>
          </cell>
          <cell r="L1068" t="str">
            <v>平</v>
          </cell>
          <cell r="M1068">
            <v>0</v>
          </cell>
          <cell r="N1068">
            <v>0</v>
          </cell>
          <cell r="O1068">
            <v>0</v>
          </cell>
        </row>
        <row r="1069">
          <cell r="A1069" t="str">
            <v>12</v>
          </cell>
          <cell r="E1069" t="str">
            <v>棉兰白燕盏</v>
          </cell>
          <cell r="F1069" t="str">
            <v>本年累计</v>
          </cell>
          <cell r="G1069">
            <v>0</v>
          </cell>
          <cell r="H1069">
            <v>2780</v>
          </cell>
          <cell r="I1069">
            <v>108036.04</v>
          </cell>
          <cell r="J1069">
            <v>2780</v>
          </cell>
          <cell r="K1069">
            <v>108036.04</v>
          </cell>
          <cell r="L1069" t="str">
            <v>平</v>
          </cell>
          <cell r="M1069">
            <v>0</v>
          </cell>
          <cell r="N1069">
            <v>0</v>
          </cell>
          <cell r="O1069">
            <v>0</v>
          </cell>
        </row>
        <row r="1070">
          <cell r="A1070" t="str">
            <v>01</v>
          </cell>
          <cell r="B1070" t="str">
            <v>31</v>
          </cell>
          <cell r="C1070" t="str">
            <v>记-0029</v>
          </cell>
          <cell r="D1070" t="str">
            <v>062</v>
          </cell>
          <cell r="E1070" t="str">
            <v>龙标血燕盏</v>
          </cell>
          <cell r="F1070" t="str">
            <v>收购产品</v>
          </cell>
          <cell r="G1070">
            <v>76.721980000000002</v>
          </cell>
          <cell r="H1070">
            <v>560</v>
          </cell>
          <cell r="I1070">
            <v>42964.31</v>
          </cell>
          <cell r="J1070">
            <v>0</v>
          </cell>
          <cell r="K1070">
            <v>0</v>
          </cell>
          <cell r="L1070" t="str">
            <v>借</v>
          </cell>
          <cell r="M1070">
            <v>560</v>
          </cell>
          <cell r="N1070">
            <v>0</v>
          </cell>
          <cell r="O1070">
            <v>42964.31</v>
          </cell>
        </row>
        <row r="1071">
          <cell r="A1071" t="str">
            <v>01</v>
          </cell>
          <cell r="B1071" t="str">
            <v>31</v>
          </cell>
          <cell r="C1071" t="str">
            <v>记-0043</v>
          </cell>
          <cell r="D1071" t="str">
            <v>062</v>
          </cell>
          <cell r="E1071" t="str">
            <v>龙标血燕盏</v>
          </cell>
          <cell r="F1071" t="str">
            <v>结转销售成本</v>
          </cell>
          <cell r="G1071">
            <v>76.721999999999994</v>
          </cell>
          <cell r="H1071">
            <v>0</v>
          </cell>
          <cell r="I1071">
            <v>0</v>
          </cell>
          <cell r="J1071">
            <v>560</v>
          </cell>
          <cell r="K1071">
            <v>42964.32</v>
          </cell>
          <cell r="L1071" t="str">
            <v>贷</v>
          </cell>
          <cell r="M1071">
            <v>0</v>
          </cell>
          <cell r="N1071">
            <v>0</v>
          </cell>
          <cell r="O1071">
            <v>0.01</v>
          </cell>
        </row>
        <row r="1072">
          <cell r="A1072" t="str">
            <v>01</v>
          </cell>
          <cell r="F1072" t="str">
            <v>本月合计</v>
          </cell>
          <cell r="G1072">
            <v>0</v>
          </cell>
          <cell r="H1072">
            <v>560</v>
          </cell>
          <cell r="I1072">
            <v>42964.31</v>
          </cell>
          <cell r="J1072">
            <v>560</v>
          </cell>
          <cell r="K1072">
            <v>42964.32</v>
          </cell>
          <cell r="L1072" t="str">
            <v>贷</v>
          </cell>
          <cell r="M1072">
            <v>0</v>
          </cell>
          <cell r="N1072">
            <v>0</v>
          </cell>
          <cell r="O1072">
            <v>0.01</v>
          </cell>
        </row>
        <row r="1073">
          <cell r="A1073" t="str">
            <v>01</v>
          </cell>
          <cell r="F1073" t="str">
            <v>累    计</v>
          </cell>
          <cell r="G1073">
            <v>0</v>
          </cell>
          <cell r="H1073">
            <v>560</v>
          </cell>
          <cell r="I1073">
            <v>42964.31</v>
          </cell>
          <cell r="J1073">
            <v>560</v>
          </cell>
          <cell r="K1073">
            <v>42964.32</v>
          </cell>
          <cell r="L1073" t="str">
            <v>贷</v>
          </cell>
          <cell r="M1073">
            <v>0</v>
          </cell>
          <cell r="N1073">
            <v>0</v>
          </cell>
          <cell r="O1073">
            <v>0.01</v>
          </cell>
        </row>
        <row r="1074">
          <cell r="A1074" t="str">
            <v>02</v>
          </cell>
          <cell r="B1074" t="str">
            <v>28</v>
          </cell>
          <cell r="C1074" t="str">
            <v>记-0061</v>
          </cell>
          <cell r="D1074" t="str">
            <v>062</v>
          </cell>
          <cell r="E1074" t="str">
            <v>龙标血燕盏</v>
          </cell>
          <cell r="F1074" t="str">
            <v>结转成本</v>
          </cell>
          <cell r="G1074">
            <v>76.721980000000002</v>
          </cell>
          <cell r="H1074">
            <v>0</v>
          </cell>
          <cell r="I1074">
            <v>0</v>
          </cell>
          <cell r="J1074">
            <v>1000</v>
          </cell>
          <cell r="K1074">
            <v>76721.98</v>
          </cell>
          <cell r="L1074" t="str">
            <v>贷</v>
          </cell>
          <cell r="M1074">
            <v>1000</v>
          </cell>
          <cell r="N1074">
            <v>0</v>
          </cell>
          <cell r="O1074">
            <v>76721.990000000005</v>
          </cell>
        </row>
        <row r="1075">
          <cell r="A1075" t="str">
            <v>02</v>
          </cell>
          <cell r="B1075" t="str">
            <v>28</v>
          </cell>
          <cell r="C1075" t="str">
            <v>记-0065</v>
          </cell>
          <cell r="D1075" t="str">
            <v>062</v>
          </cell>
          <cell r="E1075" t="str">
            <v>龙标血燕盏</v>
          </cell>
          <cell r="F1075" t="str">
            <v>收购产品</v>
          </cell>
          <cell r="G1075">
            <v>76.721980000000002</v>
          </cell>
          <cell r="H1075">
            <v>1000</v>
          </cell>
          <cell r="I1075">
            <v>76721.98</v>
          </cell>
          <cell r="J1075">
            <v>0</v>
          </cell>
          <cell r="K1075">
            <v>0</v>
          </cell>
          <cell r="L1075" t="str">
            <v>贷</v>
          </cell>
          <cell r="M1075">
            <v>0</v>
          </cell>
          <cell r="N1075">
            <v>0</v>
          </cell>
          <cell r="O1075">
            <v>0.01</v>
          </cell>
        </row>
        <row r="1076">
          <cell r="A1076" t="str">
            <v>02</v>
          </cell>
          <cell r="F1076" t="str">
            <v>本月合计</v>
          </cell>
          <cell r="G1076">
            <v>0</v>
          </cell>
          <cell r="H1076">
            <v>1000</v>
          </cell>
          <cell r="I1076">
            <v>76721.98</v>
          </cell>
          <cell r="J1076">
            <v>1000</v>
          </cell>
          <cell r="K1076">
            <v>76721.98</v>
          </cell>
          <cell r="L1076" t="str">
            <v>贷</v>
          </cell>
          <cell r="M1076">
            <v>0</v>
          </cell>
          <cell r="N1076">
            <v>0</v>
          </cell>
          <cell r="O1076">
            <v>0.01</v>
          </cell>
        </row>
        <row r="1077">
          <cell r="A1077" t="str">
            <v>02</v>
          </cell>
          <cell r="F1077" t="str">
            <v>累    计</v>
          </cell>
          <cell r="G1077">
            <v>0</v>
          </cell>
          <cell r="H1077">
            <v>1560</v>
          </cell>
          <cell r="I1077">
            <v>119686.29</v>
          </cell>
          <cell r="J1077">
            <v>1560</v>
          </cell>
          <cell r="K1077">
            <v>119686.3</v>
          </cell>
          <cell r="L1077" t="str">
            <v>贷</v>
          </cell>
          <cell r="M1077">
            <v>0</v>
          </cell>
          <cell r="N1077">
            <v>0</v>
          </cell>
          <cell r="O1077">
            <v>0.01</v>
          </cell>
        </row>
        <row r="1078">
          <cell r="A1078" t="str">
            <v>04</v>
          </cell>
          <cell r="B1078" t="str">
            <v>30</v>
          </cell>
          <cell r="C1078" t="str">
            <v>记-0042</v>
          </cell>
          <cell r="D1078" t="str">
            <v>062</v>
          </cell>
          <cell r="E1078" t="str">
            <v>龙标血燕盏</v>
          </cell>
          <cell r="F1078" t="str">
            <v>收购产品</v>
          </cell>
          <cell r="G1078">
            <v>77.735900000000001</v>
          </cell>
          <cell r="H1078">
            <v>100</v>
          </cell>
          <cell r="I1078">
            <v>7773.59</v>
          </cell>
          <cell r="J1078">
            <v>0</v>
          </cell>
          <cell r="K1078">
            <v>0</v>
          </cell>
          <cell r="L1078" t="str">
            <v>借</v>
          </cell>
          <cell r="M1078">
            <v>100</v>
          </cell>
          <cell r="N1078">
            <v>0</v>
          </cell>
          <cell r="O1078">
            <v>7773.58</v>
          </cell>
        </row>
        <row r="1079">
          <cell r="A1079" t="str">
            <v>04</v>
          </cell>
          <cell r="B1079" t="str">
            <v>30</v>
          </cell>
          <cell r="C1079" t="str">
            <v>记-0044</v>
          </cell>
          <cell r="D1079" t="str">
            <v>062</v>
          </cell>
          <cell r="E1079" t="str">
            <v>龙标血燕盏</v>
          </cell>
          <cell r="F1079" t="str">
            <v>转成本</v>
          </cell>
          <cell r="G1079">
            <v>77.735900000000001</v>
          </cell>
          <cell r="H1079">
            <v>0</v>
          </cell>
          <cell r="I1079">
            <v>0</v>
          </cell>
          <cell r="J1079">
            <v>100</v>
          </cell>
          <cell r="K1079">
            <v>7773.59</v>
          </cell>
          <cell r="L1079" t="str">
            <v>贷</v>
          </cell>
          <cell r="M1079">
            <v>0</v>
          </cell>
          <cell r="N1079">
            <v>0</v>
          </cell>
          <cell r="O1079">
            <v>0.01</v>
          </cell>
        </row>
        <row r="1080">
          <cell r="A1080" t="str">
            <v>04</v>
          </cell>
          <cell r="F1080" t="str">
            <v>本月合计</v>
          </cell>
          <cell r="G1080">
            <v>0</v>
          </cell>
          <cell r="H1080">
            <v>100</v>
          </cell>
          <cell r="I1080">
            <v>7773.59</v>
          </cell>
          <cell r="J1080">
            <v>100</v>
          </cell>
          <cell r="K1080">
            <v>7773.59</v>
          </cell>
          <cell r="L1080" t="str">
            <v>贷</v>
          </cell>
          <cell r="M1080">
            <v>0</v>
          </cell>
          <cell r="N1080">
            <v>0</v>
          </cell>
          <cell r="O1080">
            <v>0.01</v>
          </cell>
        </row>
        <row r="1081">
          <cell r="A1081" t="str">
            <v>04</v>
          </cell>
          <cell r="F1081" t="str">
            <v>累    计</v>
          </cell>
          <cell r="G1081">
            <v>0</v>
          </cell>
          <cell r="H1081">
            <v>1660</v>
          </cell>
          <cell r="I1081">
            <v>127459.88</v>
          </cell>
          <cell r="J1081">
            <v>1660</v>
          </cell>
          <cell r="K1081">
            <v>127459.89</v>
          </cell>
          <cell r="L1081" t="str">
            <v>贷</v>
          </cell>
          <cell r="M1081">
            <v>0</v>
          </cell>
          <cell r="N1081">
            <v>0</v>
          </cell>
          <cell r="O1081">
            <v>0.01</v>
          </cell>
        </row>
        <row r="1082">
          <cell r="A1082" t="str">
            <v>07</v>
          </cell>
          <cell r="B1082" t="str">
            <v>22</v>
          </cell>
          <cell r="C1082" t="str">
            <v>记-0047</v>
          </cell>
          <cell r="D1082" t="str">
            <v>062</v>
          </cell>
          <cell r="E1082" t="str">
            <v>龙标血燕盏</v>
          </cell>
          <cell r="F1082" t="str">
            <v>结转成本</v>
          </cell>
          <cell r="G1082">
            <v>77.735929999999996</v>
          </cell>
          <cell r="H1082">
            <v>0</v>
          </cell>
          <cell r="I1082">
            <v>0</v>
          </cell>
          <cell r="J1082">
            <v>300</v>
          </cell>
          <cell r="K1082">
            <v>23320.78</v>
          </cell>
          <cell r="L1082" t="str">
            <v>贷</v>
          </cell>
          <cell r="M1082">
            <v>300</v>
          </cell>
          <cell r="N1082">
            <v>0</v>
          </cell>
          <cell r="O1082">
            <v>23320.79</v>
          </cell>
        </row>
        <row r="1083">
          <cell r="A1083" t="str">
            <v>07</v>
          </cell>
          <cell r="B1083" t="str">
            <v>22</v>
          </cell>
          <cell r="C1083" t="str">
            <v>记-0058</v>
          </cell>
          <cell r="D1083" t="str">
            <v>062</v>
          </cell>
          <cell r="E1083" t="str">
            <v>龙标血燕盏</v>
          </cell>
          <cell r="F1083" t="str">
            <v>收购产品</v>
          </cell>
          <cell r="G1083">
            <v>77.735929999999996</v>
          </cell>
          <cell r="H1083">
            <v>300</v>
          </cell>
          <cell r="I1083">
            <v>23320.78</v>
          </cell>
          <cell r="J1083">
            <v>0</v>
          </cell>
          <cell r="K1083">
            <v>0</v>
          </cell>
          <cell r="L1083" t="str">
            <v>贷</v>
          </cell>
          <cell r="M1083">
            <v>0</v>
          </cell>
          <cell r="N1083">
            <v>0</v>
          </cell>
          <cell r="O1083">
            <v>0.01</v>
          </cell>
        </row>
        <row r="1084">
          <cell r="A1084" t="str">
            <v>07</v>
          </cell>
          <cell r="F1084" t="str">
            <v>本月合计</v>
          </cell>
          <cell r="G1084">
            <v>0</v>
          </cell>
          <cell r="H1084">
            <v>300</v>
          </cell>
          <cell r="I1084">
            <v>23320.78</v>
          </cell>
          <cell r="J1084">
            <v>300</v>
          </cell>
          <cell r="K1084">
            <v>23320.78</v>
          </cell>
          <cell r="L1084" t="str">
            <v>贷</v>
          </cell>
          <cell r="M1084">
            <v>0</v>
          </cell>
          <cell r="N1084">
            <v>0</v>
          </cell>
          <cell r="O1084">
            <v>0.01</v>
          </cell>
        </row>
        <row r="1085">
          <cell r="A1085" t="str">
            <v>07</v>
          </cell>
          <cell r="F1085" t="str">
            <v>累    计</v>
          </cell>
          <cell r="G1085">
            <v>0</v>
          </cell>
          <cell r="H1085">
            <v>1960</v>
          </cell>
          <cell r="I1085">
            <v>150780.66</v>
          </cell>
          <cell r="J1085">
            <v>1960</v>
          </cell>
          <cell r="K1085">
            <v>150780.67000000001</v>
          </cell>
          <cell r="L1085" t="str">
            <v>贷</v>
          </cell>
          <cell r="M1085">
            <v>0</v>
          </cell>
          <cell r="N1085">
            <v>0</v>
          </cell>
          <cell r="O1085">
            <v>0.01</v>
          </cell>
        </row>
        <row r="1086">
          <cell r="A1086" t="str">
            <v>12</v>
          </cell>
          <cell r="B1086" t="str">
            <v>11</v>
          </cell>
          <cell r="C1086" t="str">
            <v>记-0017</v>
          </cell>
          <cell r="D1086" t="str">
            <v>062</v>
          </cell>
          <cell r="E1086" t="str">
            <v>龙标血燕盏</v>
          </cell>
          <cell r="F1086" t="str">
            <v>收购产品</v>
          </cell>
          <cell r="G1086">
            <v>76.721990000000005</v>
          </cell>
          <cell r="H1086">
            <v>468</v>
          </cell>
          <cell r="I1086">
            <v>35905.89</v>
          </cell>
          <cell r="J1086">
            <v>0</v>
          </cell>
          <cell r="K1086">
            <v>0</v>
          </cell>
          <cell r="L1086" t="str">
            <v>借</v>
          </cell>
          <cell r="M1086">
            <v>468</v>
          </cell>
          <cell r="N1086">
            <v>0</v>
          </cell>
          <cell r="O1086">
            <v>35905.879999999997</v>
          </cell>
        </row>
        <row r="1087">
          <cell r="A1087" t="str">
            <v>12</v>
          </cell>
          <cell r="B1087" t="str">
            <v>11</v>
          </cell>
          <cell r="C1087" t="str">
            <v>记-0025</v>
          </cell>
          <cell r="D1087" t="str">
            <v>062</v>
          </cell>
          <cell r="E1087" t="str">
            <v>龙标血燕盏</v>
          </cell>
          <cell r="F1087" t="str">
            <v>收购产品</v>
          </cell>
          <cell r="G1087">
            <v>76.721969999999999</v>
          </cell>
          <cell r="H1087">
            <v>390</v>
          </cell>
          <cell r="I1087">
            <v>29921.57</v>
          </cell>
          <cell r="J1087">
            <v>0</v>
          </cell>
          <cell r="K1087">
            <v>0</v>
          </cell>
          <cell r="L1087" t="str">
            <v>借</v>
          </cell>
          <cell r="M1087">
            <v>858</v>
          </cell>
          <cell r="N1087">
            <v>0</v>
          </cell>
          <cell r="O1087">
            <v>65827.45</v>
          </cell>
        </row>
        <row r="1088">
          <cell r="A1088" t="str">
            <v>12</v>
          </cell>
          <cell r="B1088" t="str">
            <v>11</v>
          </cell>
          <cell r="C1088" t="str">
            <v>记-0034</v>
          </cell>
          <cell r="D1088" t="str">
            <v>062</v>
          </cell>
          <cell r="E1088" t="str">
            <v>龙标血燕盏</v>
          </cell>
          <cell r="F1088" t="str">
            <v>结转成本</v>
          </cell>
          <cell r="G1088">
            <v>76.721969999999999</v>
          </cell>
          <cell r="H1088">
            <v>0</v>
          </cell>
          <cell r="I1088">
            <v>0</v>
          </cell>
          <cell r="J1088">
            <v>390</v>
          </cell>
          <cell r="K1088">
            <v>29921.57</v>
          </cell>
          <cell r="L1088" t="str">
            <v>借</v>
          </cell>
          <cell r="M1088">
            <v>468</v>
          </cell>
          <cell r="N1088">
            <v>0</v>
          </cell>
          <cell r="O1088">
            <v>35905.879999999997</v>
          </cell>
        </row>
        <row r="1089">
          <cell r="A1089" t="str">
            <v>12</v>
          </cell>
          <cell r="B1089" t="str">
            <v>11</v>
          </cell>
          <cell r="C1089" t="str">
            <v>记-0036</v>
          </cell>
          <cell r="D1089" t="str">
            <v>062</v>
          </cell>
          <cell r="E1089" t="str">
            <v>龙标血燕盏</v>
          </cell>
          <cell r="F1089" t="str">
            <v>结转成本</v>
          </cell>
          <cell r="G1089">
            <v>76.721990000000005</v>
          </cell>
          <cell r="H1089">
            <v>0</v>
          </cell>
          <cell r="I1089">
            <v>0</v>
          </cell>
          <cell r="J1089">
            <v>468</v>
          </cell>
          <cell r="K1089">
            <v>35905.89</v>
          </cell>
          <cell r="L1089" t="str">
            <v>贷</v>
          </cell>
          <cell r="M1089">
            <v>0</v>
          </cell>
          <cell r="N1089">
            <v>0</v>
          </cell>
          <cell r="O1089">
            <v>0.01</v>
          </cell>
        </row>
        <row r="1090">
          <cell r="A1090" t="str">
            <v>12</v>
          </cell>
          <cell r="B1090" t="str">
            <v>31</v>
          </cell>
          <cell r="C1090" t="str">
            <v>记-0165</v>
          </cell>
          <cell r="D1090" t="str">
            <v>062</v>
          </cell>
          <cell r="E1090" t="str">
            <v>龙标血燕盏</v>
          </cell>
          <cell r="F1090" t="str">
            <v>调整1月31号凭</v>
          </cell>
          <cell r="G1090">
            <v>0</v>
          </cell>
          <cell r="H1090">
            <v>0</v>
          </cell>
          <cell r="I1090">
            <v>0.01</v>
          </cell>
          <cell r="J1090">
            <v>0</v>
          </cell>
          <cell r="K1090">
            <v>0</v>
          </cell>
          <cell r="L1090" t="str">
            <v>平</v>
          </cell>
          <cell r="M1090">
            <v>0</v>
          </cell>
          <cell r="N1090">
            <v>0</v>
          </cell>
          <cell r="O1090">
            <v>0</v>
          </cell>
        </row>
        <row r="1091">
          <cell r="A1091" t="str">
            <v>12</v>
          </cell>
          <cell r="F1091" t="str">
            <v>本月合计</v>
          </cell>
          <cell r="G1091">
            <v>0</v>
          </cell>
          <cell r="H1091">
            <v>858</v>
          </cell>
          <cell r="I1091">
            <v>65827.47</v>
          </cell>
          <cell r="J1091">
            <v>858</v>
          </cell>
          <cell r="K1091">
            <v>65827.460000000006</v>
          </cell>
          <cell r="L1091" t="str">
            <v>平</v>
          </cell>
          <cell r="M1091">
            <v>0</v>
          </cell>
          <cell r="N1091">
            <v>0</v>
          </cell>
          <cell r="O1091">
            <v>0</v>
          </cell>
        </row>
        <row r="1092">
          <cell r="A1092" t="str">
            <v>12</v>
          </cell>
          <cell r="E1092" t="str">
            <v>龙标血燕盏</v>
          </cell>
          <cell r="F1092" t="str">
            <v>本年累计</v>
          </cell>
          <cell r="G1092">
            <v>0</v>
          </cell>
          <cell r="H1092">
            <v>2818</v>
          </cell>
          <cell r="I1092">
            <v>216608.13</v>
          </cell>
          <cell r="J1092">
            <v>2818</v>
          </cell>
          <cell r="K1092">
            <v>216608.13</v>
          </cell>
          <cell r="L1092" t="str">
            <v>平</v>
          </cell>
          <cell r="M1092">
            <v>0</v>
          </cell>
          <cell r="N1092">
            <v>0</v>
          </cell>
          <cell r="O1092">
            <v>0</v>
          </cell>
        </row>
        <row r="1093">
          <cell r="A1093" t="str">
            <v>01</v>
          </cell>
          <cell r="B1093" t="str">
            <v>31</v>
          </cell>
          <cell r="C1093" t="str">
            <v>记-0029</v>
          </cell>
          <cell r="D1093" t="str">
            <v>063</v>
          </cell>
          <cell r="E1093" t="str">
            <v>黄燕盏</v>
          </cell>
          <cell r="F1093" t="str">
            <v>收购产品</v>
          </cell>
          <cell r="G1093">
            <v>32.530799999999999</v>
          </cell>
          <cell r="H1093">
            <v>1200</v>
          </cell>
          <cell r="I1093">
            <v>39036.959999999999</v>
          </cell>
          <cell r="J1093">
            <v>0</v>
          </cell>
          <cell r="K1093">
            <v>0</v>
          </cell>
          <cell r="L1093" t="str">
            <v>借</v>
          </cell>
          <cell r="M1093">
            <v>1200</v>
          </cell>
          <cell r="N1093">
            <v>0</v>
          </cell>
          <cell r="O1093">
            <v>39036.959999999999</v>
          </cell>
        </row>
        <row r="1094">
          <cell r="A1094" t="str">
            <v>01</v>
          </cell>
          <cell r="B1094" t="str">
            <v>31</v>
          </cell>
          <cell r="C1094" t="str">
            <v>记-0043</v>
          </cell>
          <cell r="D1094" t="str">
            <v>063</v>
          </cell>
          <cell r="E1094" t="str">
            <v>黄燕盏</v>
          </cell>
          <cell r="F1094" t="str">
            <v>结转销售成本</v>
          </cell>
          <cell r="G1094">
            <v>32.530799999999999</v>
          </cell>
          <cell r="H1094">
            <v>0</v>
          </cell>
          <cell r="I1094">
            <v>0</v>
          </cell>
          <cell r="J1094">
            <v>1200</v>
          </cell>
          <cell r="K1094">
            <v>39036.959999999999</v>
          </cell>
          <cell r="L1094" t="str">
            <v>平</v>
          </cell>
          <cell r="M1094">
            <v>0</v>
          </cell>
          <cell r="N1094">
            <v>0</v>
          </cell>
          <cell r="O1094">
            <v>0</v>
          </cell>
        </row>
        <row r="1095">
          <cell r="A1095" t="str">
            <v>01</v>
          </cell>
          <cell r="F1095" t="str">
            <v>本月合计</v>
          </cell>
          <cell r="G1095">
            <v>0</v>
          </cell>
          <cell r="H1095">
            <v>1200</v>
          </cell>
          <cell r="I1095">
            <v>39036.959999999999</v>
          </cell>
          <cell r="J1095">
            <v>1200</v>
          </cell>
          <cell r="K1095">
            <v>39036.959999999999</v>
          </cell>
          <cell r="L1095" t="str">
            <v>平</v>
          </cell>
          <cell r="M1095">
            <v>0</v>
          </cell>
          <cell r="N1095">
            <v>0</v>
          </cell>
          <cell r="O1095">
            <v>0</v>
          </cell>
        </row>
        <row r="1096">
          <cell r="A1096" t="str">
            <v>01</v>
          </cell>
          <cell r="F1096" t="str">
            <v>累    计</v>
          </cell>
          <cell r="G1096">
            <v>0</v>
          </cell>
          <cell r="H1096">
            <v>1200</v>
          </cell>
          <cell r="I1096">
            <v>39036.959999999999</v>
          </cell>
          <cell r="J1096">
            <v>1200</v>
          </cell>
          <cell r="K1096">
            <v>39036.959999999999</v>
          </cell>
          <cell r="L1096" t="str">
            <v>平</v>
          </cell>
          <cell r="M1096">
            <v>0</v>
          </cell>
          <cell r="N1096">
            <v>0</v>
          </cell>
          <cell r="O1096">
            <v>0</v>
          </cell>
        </row>
        <row r="1097">
          <cell r="A1097" t="str">
            <v>04</v>
          </cell>
          <cell r="B1097" t="str">
            <v>30</v>
          </cell>
          <cell r="C1097" t="str">
            <v>记-0046</v>
          </cell>
          <cell r="D1097" t="str">
            <v>063</v>
          </cell>
          <cell r="E1097" t="str">
            <v>黄燕盏</v>
          </cell>
          <cell r="F1097" t="str">
            <v>转成本</v>
          </cell>
          <cell r="G1097">
            <v>53.232219999999998</v>
          </cell>
          <cell r="H1097">
            <v>0</v>
          </cell>
          <cell r="I1097">
            <v>0</v>
          </cell>
          <cell r="J1097">
            <v>581</v>
          </cell>
          <cell r="K1097">
            <v>30927.919999999998</v>
          </cell>
          <cell r="L1097" t="str">
            <v>贷</v>
          </cell>
          <cell r="M1097">
            <v>581</v>
          </cell>
          <cell r="N1097">
            <v>0</v>
          </cell>
          <cell r="O1097">
            <v>30927.919999999998</v>
          </cell>
        </row>
        <row r="1098">
          <cell r="A1098" t="str">
            <v>04</v>
          </cell>
          <cell r="F1098" t="str">
            <v>本月合计</v>
          </cell>
          <cell r="G1098">
            <v>0</v>
          </cell>
          <cell r="H1098">
            <v>0</v>
          </cell>
          <cell r="I1098">
            <v>0</v>
          </cell>
          <cell r="J1098">
            <v>581</v>
          </cell>
          <cell r="K1098">
            <v>30927.919999999998</v>
          </cell>
          <cell r="L1098" t="str">
            <v>贷</v>
          </cell>
          <cell r="M1098">
            <v>581</v>
          </cell>
          <cell r="N1098">
            <v>53.232219999999998</v>
          </cell>
          <cell r="O1098">
            <v>30927.919999999998</v>
          </cell>
        </row>
        <row r="1099">
          <cell r="A1099" t="str">
            <v>04</v>
          </cell>
          <cell r="F1099" t="str">
            <v>累    计</v>
          </cell>
          <cell r="G1099">
            <v>0</v>
          </cell>
          <cell r="H1099">
            <v>1200</v>
          </cell>
          <cell r="I1099">
            <v>39036.959999999999</v>
          </cell>
          <cell r="J1099">
            <v>1781</v>
          </cell>
          <cell r="K1099">
            <v>69964.88</v>
          </cell>
          <cell r="L1099" t="str">
            <v>贷</v>
          </cell>
          <cell r="M1099">
            <v>581</v>
          </cell>
          <cell r="N1099">
            <v>53.232219999999998</v>
          </cell>
          <cell r="O1099">
            <v>30927.919999999998</v>
          </cell>
        </row>
        <row r="1100">
          <cell r="A1100" t="str">
            <v>07</v>
          </cell>
          <cell r="B1100" t="str">
            <v>22</v>
          </cell>
          <cell r="C1100" t="str">
            <v>记-0047</v>
          </cell>
          <cell r="D1100" t="str">
            <v>063</v>
          </cell>
          <cell r="E1100" t="str">
            <v>黄燕盏</v>
          </cell>
          <cell r="F1100" t="str">
            <v>结转成本</v>
          </cell>
          <cell r="G1100">
            <v>39.712919999999997</v>
          </cell>
          <cell r="H1100">
            <v>0</v>
          </cell>
          <cell r="I1100">
            <v>0</v>
          </cell>
          <cell r="J1100">
            <v>295</v>
          </cell>
          <cell r="K1100">
            <v>11715.31</v>
          </cell>
          <cell r="L1100" t="str">
            <v>贷</v>
          </cell>
          <cell r="M1100">
            <v>876</v>
          </cell>
          <cell r="N1100">
            <v>0</v>
          </cell>
          <cell r="O1100">
            <v>42643.23</v>
          </cell>
        </row>
        <row r="1101">
          <cell r="A1101" t="str">
            <v>07</v>
          </cell>
          <cell r="B1101" t="str">
            <v>22</v>
          </cell>
          <cell r="C1101" t="str">
            <v>记-0052</v>
          </cell>
          <cell r="D1101" t="str">
            <v>063</v>
          </cell>
          <cell r="E1101" t="str">
            <v>黄燕盏</v>
          </cell>
          <cell r="F1101" t="str">
            <v>结转成本</v>
          </cell>
          <cell r="G1101">
            <v>33.798229999999997</v>
          </cell>
          <cell r="H1101">
            <v>0</v>
          </cell>
          <cell r="I1101">
            <v>0</v>
          </cell>
          <cell r="J1101">
            <v>900</v>
          </cell>
          <cell r="K1101">
            <v>30418.41</v>
          </cell>
          <cell r="L1101" t="str">
            <v>贷</v>
          </cell>
          <cell r="M1101">
            <v>1776</v>
          </cell>
          <cell r="N1101">
            <v>0</v>
          </cell>
          <cell r="O1101">
            <v>73061.64</v>
          </cell>
        </row>
        <row r="1102">
          <cell r="A1102" t="str">
            <v>07</v>
          </cell>
          <cell r="B1102" t="str">
            <v>22</v>
          </cell>
          <cell r="C1102" t="str">
            <v>记-0052</v>
          </cell>
          <cell r="D1102" t="str">
            <v>063</v>
          </cell>
          <cell r="E1102" t="str">
            <v>黄燕盏</v>
          </cell>
          <cell r="F1102" t="str">
            <v>结转成本</v>
          </cell>
          <cell r="G1102">
            <v>59.146900000000002</v>
          </cell>
          <cell r="H1102">
            <v>0</v>
          </cell>
          <cell r="I1102">
            <v>0</v>
          </cell>
          <cell r="J1102">
            <v>600</v>
          </cell>
          <cell r="K1102">
            <v>35488.14</v>
          </cell>
          <cell r="L1102" t="str">
            <v>贷</v>
          </cell>
          <cell r="M1102">
            <v>2376</v>
          </cell>
          <cell r="N1102">
            <v>0</v>
          </cell>
          <cell r="O1102">
            <v>108549.78</v>
          </cell>
        </row>
        <row r="1103">
          <cell r="A1103" t="str">
            <v>07</v>
          </cell>
          <cell r="B1103" t="str">
            <v>22</v>
          </cell>
          <cell r="C1103" t="str">
            <v>记-0054</v>
          </cell>
          <cell r="D1103" t="str">
            <v>063</v>
          </cell>
          <cell r="E1103" t="str">
            <v>黄燕盏</v>
          </cell>
          <cell r="F1103" t="str">
            <v>收购产品</v>
          </cell>
          <cell r="G1103">
            <v>33.798229999999997</v>
          </cell>
          <cell r="H1103">
            <v>900</v>
          </cell>
          <cell r="I1103">
            <v>30418.41</v>
          </cell>
          <cell r="J1103">
            <v>0</v>
          </cell>
          <cell r="K1103">
            <v>0</v>
          </cell>
          <cell r="L1103" t="str">
            <v>贷</v>
          </cell>
          <cell r="M1103">
            <v>1476</v>
          </cell>
          <cell r="N1103">
            <v>0</v>
          </cell>
          <cell r="O1103">
            <v>78131.37</v>
          </cell>
        </row>
        <row r="1104">
          <cell r="A1104" t="str">
            <v>07</v>
          </cell>
          <cell r="B1104" t="str">
            <v>22</v>
          </cell>
          <cell r="C1104" t="str">
            <v>记-0054</v>
          </cell>
          <cell r="D1104" t="str">
            <v>063</v>
          </cell>
          <cell r="E1104" t="str">
            <v>黄燕盏</v>
          </cell>
          <cell r="F1104" t="str">
            <v>收购产品</v>
          </cell>
          <cell r="G1104">
            <v>59.146900000000002</v>
          </cell>
          <cell r="H1104">
            <v>600</v>
          </cell>
          <cell r="I1104">
            <v>35488.14</v>
          </cell>
          <cell r="J1104">
            <v>0</v>
          </cell>
          <cell r="K1104">
            <v>0</v>
          </cell>
          <cell r="L1104" t="str">
            <v>贷</v>
          </cell>
          <cell r="M1104">
            <v>876</v>
          </cell>
          <cell r="N1104">
            <v>0</v>
          </cell>
          <cell r="O1104">
            <v>42643.23</v>
          </cell>
        </row>
        <row r="1105">
          <cell r="A1105" t="str">
            <v>07</v>
          </cell>
          <cell r="B1105" t="str">
            <v>22</v>
          </cell>
          <cell r="C1105" t="str">
            <v>记-0058</v>
          </cell>
          <cell r="D1105" t="str">
            <v>063</v>
          </cell>
          <cell r="E1105" t="str">
            <v>黄燕盏</v>
          </cell>
          <cell r="F1105" t="str">
            <v>收购产品</v>
          </cell>
          <cell r="G1105">
            <v>39.712919999999997</v>
          </cell>
          <cell r="H1105">
            <v>295</v>
          </cell>
          <cell r="I1105">
            <v>11715.31</v>
          </cell>
          <cell r="J1105">
            <v>0</v>
          </cell>
          <cell r="K1105">
            <v>0</v>
          </cell>
          <cell r="L1105" t="str">
            <v>贷</v>
          </cell>
          <cell r="M1105">
            <v>581</v>
          </cell>
          <cell r="N1105">
            <v>0</v>
          </cell>
          <cell r="O1105">
            <v>30927.919999999998</v>
          </cell>
        </row>
        <row r="1106">
          <cell r="A1106" t="str">
            <v>07</v>
          </cell>
          <cell r="F1106" t="str">
            <v>本月合计</v>
          </cell>
          <cell r="G1106">
            <v>0</v>
          </cell>
          <cell r="H1106">
            <v>1795</v>
          </cell>
          <cell r="I1106">
            <v>77621.86</v>
          </cell>
          <cell r="J1106">
            <v>1795</v>
          </cell>
          <cell r="K1106">
            <v>77621.86</v>
          </cell>
          <cell r="L1106" t="str">
            <v>贷</v>
          </cell>
          <cell r="M1106">
            <v>581</v>
          </cell>
          <cell r="N1106">
            <v>53.232219999999998</v>
          </cell>
          <cell r="O1106">
            <v>30927.919999999998</v>
          </cell>
        </row>
        <row r="1107">
          <cell r="A1107" t="str">
            <v>07</v>
          </cell>
          <cell r="F1107" t="str">
            <v>累    计</v>
          </cell>
          <cell r="G1107">
            <v>0</v>
          </cell>
          <cell r="H1107">
            <v>2995</v>
          </cell>
          <cell r="I1107">
            <v>116658.82</v>
          </cell>
          <cell r="J1107">
            <v>3576</v>
          </cell>
          <cell r="K1107">
            <v>147586.74</v>
          </cell>
          <cell r="L1107" t="str">
            <v>贷</v>
          </cell>
          <cell r="M1107">
            <v>581</v>
          </cell>
          <cell r="N1107">
            <v>53.232219999999998</v>
          </cell>
          <cell r="O1107">
            <v>30927.919999999998</v>
          </cell>
        </row>
        <row r="1108">
          <cell r="A1108" t="str">
            <v>09</v>
          </cell>
          <cell r="B1108" t="str">
            <v>22</v>
          </cell>
          <cell r="C1108" t="str">
            <v>记-0035</v>
          </cell>
          <cell r="D1108" t="str">
            <v>063</v>
          </cell>
          <cell r="E1108" t="str">
            <v>黄燕盏</v>
          </cell>
          <cell r="F1108" t="str">
            <v>结转成本</v>
          </cell>
          <cell r="G1108">
            <v>39.712899999999998</v>
          </cell>
          <cell r="H1108">
            <v>0</v>
          </cell>
          <cell r="I1108">
            <v>0</v>
          </cell>
          <cell r="J1108">
            <v>200</v>
          </cell>
          <cell r="K1108">
            <v>7942.58</v>
          </cell>
          <cell r="L1108" t="str">
            <v>贷</v>
          </cell>
          <cell r="M1108">
            <v>781</v>
          </cell>
          <cell r="N1108">
            <v>0</v>
          </cell>
          <cell r="O1108">
            <v>38870.5</v>
          </cell>
        </row>
        <row r="1109">
          <cell r="A1109" t="str">
            <v>09</v>
          </cell>
          <cell r="B1109" t="str">
            <v>22</v>
          </cell>
          <cell r="C1109" t="str">
            <v>记-0035</v>
          </cell>
          <cell r="D1109" t="str">
            <v>063</v>
          </cell>
          <cell r="E1109" t="str">
            <v>黄燕盏</v>
          </cell>
          <cell r="F1109" t="str">
            <v>结转成本</v>
          </cell>
          <cell r="G1109">
            <v>19.433990000000001</v>
          </cell>
          <cell r="H1109">
            <v>0</v>
          </cell>
          <cell r="I1109">
            <v>0</v>
          </cell>
          <cell r="J1109">
            <v>419</v>
          </cell>
          <cell r="K1109">
            <v>8142.84</v>
          </cell>
          <cell r="L1109" t="str">
            <v>贷</v>
          </cell>
          <cell r="M1109">
            <v>1200</v>
          </cell>
          <cell r="N1109">
            <v>0</v>
          </cell>
          <cell r="O1109">
            <v>47013.34</v>
          </cell>
        </row>
        <row r="1110">
          <cell r="A1110" t="str">
            <v>09</v>
          </cell>
          <cell r="B1110" t="str">
            <v>22</v>
          </cell>
          <cell r="C1110" t="str">
            <v>记-0039</v>
          </cell>
          <cell r="D1110" t="str">
            <v>063</v>
          </cell>
          <cell r="E1110" t="str">
            <v>黄燕盏</v>
          </cell>
          <cell r="F1110" t="str">
            <v>收购产品</v>
          </cell>
          <cell r="G1110">
            <v>39.712899999999998</v>
          </cell>
          <cell r="H1110">
            <v>200</v>
          </cell>
          <cell r="I1110">
            <v>7942.58</v>
          </cell>
          <cell r="J1110">
            <v>0</v>
          </cell>
          <cell r="K1110">
            <v>0</v>
          </cell>
          <cell r="L1110" t="str">
            <v>贷</v>
          </cell>
          <cell r="M1110">
            <v>1000</v>
          </cell>
          <cell r="N1110">
            <v>0</v>
          </cell>
          <cell r="O1110">
            <v>39070.76</v>
          </cell>
        </row>
        <row r="1111">
          <cell r="A1111" t="str">
            <v>09</v>
          </cell>
          <cell r="B1111" t="str">
            <v>22</v>
          </cell>
          <cell r="C1111" t="str">
            <v>记-0039</v>
          </cell>
          <cell r="D1111" t="str">
            <v>063</v>
          </cell>
          <cell r="E1111" t="str">
            <v>黄燕盏</v>
          </cell>
          <cell r="F1111" t="str">
            <v>收购产品</v>
          </cell>
          <cell r="G1111">
            <v>19.433990000000001</v>
          </cell>
          <cell r="H1111">
            <v>419</v>
          </cell>
          <cell r="I1111">
            <v>8142.84</v>
          </cell>
          <cell r="J1111">
            <v>0</v>
          </cell>
          <cell r="K1111">
            <v>0</v>
          </cell>
          <cell r="L1111" t="str">
            <v>贷</v>
          </cell>
          <cell r="M1111">
            <v>581</v>
          </cell>
          <cell r="N1111">
            <v>0</v>
          </cell>
          <cell r="O1111">
            <v>30927.919999999998</v>
          </cell>
        </row>
        <row r="1112">
          <cell r="A1112" t="str">
            <v>09</v>
          </cell>
          <cell r="B1112" t="str">
            <v>22</v>
          </cell>
          <cell r="C1112" t="str">
            <v>记-0049</v>
          </cell>
          <cell r="D1112" t="str">
            <v>063</v>
          </cell>
          <cell r="E1112" t="str">
            <v>黄燕盏</v>
          </cell>
          <cell r="F1112" t="str">
            <v>结转成本</v>
          </cell>
          <cell r="G1112">
            <v>51.542310000000001</v>
          </cell>
          <cell r="H1112">
            <v>0</v>
          </cell>
          <cell r="I1112">
            <v>0</v>
          </cell>
          <cell r="J1112">
            <v>680</v>
          </cell>
          <cell r="K1112">
            <v>35048.769999999997</v>
          </cell>
          <cell r="L1112" t="str">
            <v>贷</v>
          </cell>
          <cell r="M1112">
            <v>1261</v>
          </cell>
          <cell r="N1112">
            <v>0</v>
          </cell>
          <cell r="O1112">
            <v>65976.69</v>
          </cell>
        </row>
        <row r="1113">
          <cell r="A1113" t="str">
            <v>09</v>
          </cell>
          <cell r="B1113" t="str">
            <v>22</v>
          </cell>
          <cell r="C1113" t="str">
            <v>记-0050</v>
          </cell>
          <cell r="D1113" t="str">
            <v>063</v>
          </cell>
          <cell r="E1113" t="str">
            <v>黄燕盏</v>
          </cell>
          <cell r="F1113" t="str">
            <v>结转成本</v>
          </cell>
          <cell r="G1113">
            <v>51.542299999999997</v>
          </cell>
          <cell r="H1113">
            <v>0</v>
          </cell>
          <cell r="I1113">
            <v>0</v>
          </cell>
          <cell r="J1113">
            <v>730</v>
          </cell>
          <cell r="K1113">
            <v>37625.879999999997</v>
          </cell>
          <cell r="L1113" t="str">
            <v>贷</v>
          </cell>
          <cell r="M1113">
            <v>1991</v>
          </cell>
          <cell r="N1113">
            <v>0</v>
          </cell>
          <cell r="O1113">
            <v>103602.57</v>
          </cell>
        </row>
        <row r="1114">
          <cell r="A1114" t="str">
            <v>09</v>
          </cell>
          <cell r="B1114" t="str">
            <v>22</v>
          </cell>
          <cell r="C1114" t="str">
            <v>记-0051</v>
          </cell>
          <cell r="D1114" t="str">
            <v>063</v>
          </cell>
          <cell r="E1114" t="str">
            <v>黄燕盏</v>
          </cell>
          <cell r="F1114" t="str">
            <v>收购产品</v>
          </cell>
          <cell r="G1114">
            <v>51.542299999999997</v>
          </cell>
          <cell r="H1114">
            <v>730</v>
          </cell>
          <cell r="I1114">
            <v>37625.879999999997</v>
          </cell>
          <cell r="J1114">
            <v>0</v>
          </cell>
          <cell r="K1114">
            <v>0</v>
          </cell>
          <cell r="L1114" t="str">
            <v>贷</v>
          </cell>
          <cell r="M1114">
            <v>1261</v>
          </cell>
          <cell r="N1114">
            <v>0</v>
          </cell>
          <cell r="O1114">
            <v>65976.69</v>
          </cell>
        </row>
        <row r="1115">
          <cell r="A1115" t="str">
            <v>09</v>
          </cell>
          <cell r="B1115" t="str">
            <v>22</v>
          </cell>
          <cell r="C1115" t="str">
            <v>记-0052</v>
          </cell>
          <cell r="D1115" t="str">
            <v>063</v>
          </cell>
          <cell r="E1115" t="str">
            <v>黄燕盏</v>
          </cell>
          <cell r="F1115" t="str">
            <v>收购产品</v>
          </cell>
          <cell r="G1115">
            <v>51.542310000000001</v>
          </cell>
          <cell r="H1115">
            <v>680</v>
          </cell>
          <cell r="I1115">
            <v>35048.769999999997</v>
          </cell>
          <cell r="J1115">
            <v>0</v>
          </cell>
          <cell r="K1115">
            <v>0</v>
          </cell>
          <cell r="L1115" t="str">
            <v>贷</v>
          </cell>
          <cell r="M1115">
            <v>581</v>
          </cell>
          <cell r="N1115">
            <v>0</v>
          </cell>
          <cell r="O1115">
            <v>30927.919999999998</v>
          </cell>
        </row>
        <row r="1116">
          <cell r="A1116" t="str">
            <v>09</v>
          </cell>
          <cell r="F1116" t="str">
            <v>本月合计</v>
          </cell>
          <cell r="G1116">
            <v>0</v>
          </cell>
          <cell r="H1116">
            <v>2029</v>
          </cell>
          <cell r="I1116">
            <v>88760.07</v>
          </cell>
          <cell r="J1116">
            <v>2029</v>
          </cell>
          <cell r="K1116">
            <v>88760.07</v>
          </cell>
          <cell r="L1116" t="str">
            <v>贷</v>
          </cell>
          <cell r="M1116">
            <v>581</v>
          </cell>
          <cell r="N1116">
            <v>53.232219999999998</v>
          </cell>
          <cell r="O1116">
            <v>30927.919999999998</v>
          </cell>
        </row>
        <row r="1117">
          <cell r="A1117" t="str">
            <v>09</v>
          </cell>
          <cell r="F1117" t="str">
            <v>累    计</v>
          </cell>
          <cell r="G1117">
            <v>0</v>
          </cell>
          <cell r="H1117">
            <v>5024</v>
          </cell>
          <cell r="I1117">
            <v>205418.89</v>
          </cell>
          <cell r="J1117">
            <v>5605</v>
          </cell>
          <cell r="K1117">
            <v>236346.81</v>
          </cell>
          <cell r="L1117" t="str">
            <v>贷</v>
          </cell>
          <cell r="M1117">
            <v>581</v>
          </cell>
          <cell r="N1117">
            <v>53.232219999999998</v>
          </cell>
          <cell r="O1117">
            <v>30927.919999999998</v>
          </cell>
        </row>
        <row r="1118">
          <cell r="A1118" t="str">
            <v>12</v>
          </cell>
          <cell r="B1118" t="str">
            <v>11</v>
          </cell>
          <cell r="C1118" t="str">
            <v>记-0017</v>
          </cell>
          <cell r="D1118" t="str">
            <v>063</v>
          </cell>
          <cell r="E1118" t="str">
            <v>黄燕盏</v>
          </cell>
          <cell r="F1118" t="str">
            <v>收购产品</v>
          </cell>
          <cell r="G1118">
            <v>50.697330000000001</v>
          </cell>
          <cell r="H1118">
            <v>300</v>
          </cell>
          <cell r="I1118">
            <v>15209.2</v>
          </cell>
          <cell r="J1118">
            <v>0</v>
          </cell>
          <cell r="K1118">
            <v>0</v>
          </cell>
          <cell r="L1118" t="str">
            <v>贷</v>
          </cell>
          <cell r="M1118">
            <v>281</v>
          </cell>
          <cell r="N1118">
            <v>0</v>
          </cell>
          <cell r="O1118">
            <v>15718.72</v>
          </cell>
        </row>
        <row r="1119">
          <cell r="A1119" t="str">
            <v>12</v>
          </cell>
          <cell r="B1119" t="str">
            <v>11</v>
          </cell>
          <cell r="C1119" t="str">
            <v>记-0019</v>
          </cell>
          <cell r="D1119" t="str">
            <v>063</v>
          </cell>
          <cell r="E1119" t="str">
            <v>黄燕盏</v>
          </cell>
          <cell r="F1119" t="str">
            <v>收购产品</v>
          </cell>
          <cell r="G1119">
            <v>50.697330000000001</v>
          </cell>
          <cell r="H1119">
            <v>180</v>
          </cell>
          <cell r="I1119">
            <v>9125.52</v>
          </cell>
          <cell r="J1119">
            <v>0</v>
          </cell>
          <cell r="K1119">
            <v>0</v>
          </cell>
          <cell r="L1119" t="str">
            <v>贷</v>
          </cell>
          <cell r="M1119">
            <v>101</v>
          </cell>
          <cell r="N1119">
            <v>0</v>
          </cell>
          <cell r="O1119">
            <v>6593.2</v>
          </cell>
        </row>
        <row r="1120">
          <cell r="A1120" t="str">
            <v>12</v>
          </cell>
          <cell r="B1120" t="str">
            <v>11</v>
          </cell>
          <cell r="C1120" t="str">
            <v>记-0020</v>
          </cell>
          <cell r="D1120" t="str">
            <v>063</v>
          </cell>
          <cell r="E1120" t="str">
            <v>黄燕盏</v>
          </cell>
          <cell r="F1120" t="str">
            <v>收购产品</v>
          </cell>
          <cell r="G1120">
            <v>18.605920000000001</v>
          </cell>
          <cell r="H1120">
            <v>2203</v>
          </cell>
          <cell r="I1120">
            <v>40988.85</v>
          </cell>
          <cell r="J1120">
            <v>0</v>
          </cell>
          <cell r="K1120">
            <v>0</v>
          </cell>
          <cell r="L1120" t="str">
            <v>借</v>
          </cell>
          <cell r="M1120">
            <v>2102</v>
          </cell>
          <cell r="N1120">
            <v>0</v>
          </cell>
          <cell r="O1120">
            <v>34395.65</v>
          </cell>
        </row>
        <row r="1121">
          <cell r="A1121" t="str">
            <v>12</v>
          </cell>
          <cell r="B1121" t="str">
            <v>11</v>
          </cell>
          <cell r="C1121" t="str">
            <v>记-0025</v>
          </cell>
          <cell r="D1121" t="str">
            <v>063</v>
          </cell>
          <cell r="E1121" t="str">
            <v>黄燕盏</v>
          </cell>
          <cell r="F1121" t="str">
            <v>收购产品</v>
          </cell>
          <cell r="G1121">
            <v>50.697339999999997</v>
          </cell>
          <cell r="H1121">
            <v>380</v>
          </cell>
          <cell r="I1121">
            <v>19264.990000000002</v>
          </cell>
          <cell r="J1121">
            <v>0</v>
          </cell>
          <cell r="K1121">
            <v>0</v>
          </cell>
          <cell r="L1121" t="str">
            <v>借</v>
          </cell>
          <cell r="M1121">
            <v>2482</v>
          </cell>
          <cell r="N1121">
            <v>0</v>
          </cell>
          <cell r="O1121">
            <v>53660.639999999999</v>
          </cell>
        </row>
        <row r="1122">
          <cell r="A1122" t="str">
            <v>12</v>
          </cell>
          <cell r="B1122" t="str">
            <v>11</v>
          </cell>
          <cell r="C1122" t="str">
            <v>记-0027</v>
          </cell>
          <cell r="D1122" t="str">
            <v>063</v>
          </cell>
          <cell r="E1122" t="str">
            <v>黄燕盏</v>
          </cell>
          <cell r="F1122" t="str">
            <v>结转成本</v>
          </cell>
          <cell r="G1122">
            <v>50.697330000000001</v>
          </cell>
          <cell r="H1122">
            <v>0</v>
          </cell>
          <cell r="I1122">
            <v>0</v>
          </cell>
          <cell r="J1122">
            <v>180</v>
          </cell>
          <cell r="K1122">
            <v>9125.52</v>
          </cell>
          <cell r="L1122" t="str">
            <v>借</v>
          </cell>
          <cell r="M1122">
            <v>2302</v>
          </cell>
          <cell r="N1122">
            <v>0</v>
          </cell>
          <cell r="O1122">
            <v>44535.12</v>
          </cell>
        </row>
        <row r="1123">
          <cell r="A1123" t="str">
            <v>12</v>
          </cell>
          <cell r="B1123" t="str">
            <v>11</v>
          </cell>
          <cell r="C1123" t="str">
            <v>记-0028</v>
          </cell>
          <cell r="D1123" t="str">
            <v>063</v>
          </cell>
          <cell r="E1123" t="str">
            <v>黄燕盏</v>
          </cell>
          <cell r="F1123" t="str">
            <v>结转成本</v>
          </cell>
          <cell r="G1123">
            <v>18.605920000000001</v>
          </cell>
          <cell r="H1123">
            <v>0</v>
          </cell>
          <cell r="I1123">
            <v>0</v>
          </cell>
          <cell r="J1123">
            <v>2203</v>
          </cell>
          <cell r="K1123">
            <v>40988.85</v>
          </cell>
          <cell r="L1123" t="str">
            <v>借</v>
          </cell>
          <cell r="M1123">
            <v>99</v>
          </cell>
          <cell r="N1123">
            <v>0</v>
          </cell>
          <cell r="O1123">
            <v>3546.27</v>
          </cell>
        </row>
        <row r="1124">
          <cell r="A1124" t="str">
            <v>12</v>
          </cell>
          <cell r="B1124" t="str">
            <v>11</v>
          </cell>
          <cell r="C1124" t="str">
            <v>记-0034</v>
          </cell>
          <cell r="D1124" t="str">
            <v>063</v>
          </cell>
          <cell r="E1124" t="str">
            <v>黄燕盏</v>
          </cell>
          <cell r="F1124" t="str">
            <v>结转成本</v>
          </cell>
          <cell r="G1124">
            <v>50.697339999999997</v>
          </cell>
          <cell r="H1124">
            <v>0</v>
          </cell>
          <cell r="I1124">
            <v>0</v>
          </cell>
          <cell r="J1124">
            <v>380</v>
          </cell>
          <cell r="K1124">
            <v>19264.990000000002</v>
          </cell>
          <cell r="L1124" t="str">
            <v>贷</v>
          </cell>
          <cell r="M1124">
            <v>281</v>
          </cell>
          <cell r="N1124">
            <v>0</v>
          </cell>
          <cell r="O1124">
            <v>15718.72</v>
          </cell>
        </row>
        <row r="1125">
          <cell r="A1125" t="str">
            <v>12</v>
          </cell>
          <cell r="B1125" t="str">
            <v>11</v>
          </cell>
          <cell r="C1125" t="str">
            <v>记-0036</v>
          </cell>
          <cell r="D1125" t="str">
            <v>063</v>
          </cell>
          <cell r="E1125" t="str">
            <v>黄燕盏</v>
          </cell>
          <cell r="F1125" t="str">
            <v>结转成本</v>
          </cell>
          <cell r="G1125">
            <v>50.697330000000001</v>
          </cell>
          <cell r="H1125">
            <v>0</v>
          </cell>
          <cell r="I1125">
            <v>0</v>
          </cell>
          <cell r="J1125">
            <v>300</v>
          </cell>
          <cell r="K1125">
            <v>15209.2</v>
          </cell>
          <cell r="L1125" t="str">
            <v>贷</v>
          </cell>
          <cell r="M1125">
            <v>581</v>
          </cell>
          <cell r="N1125">
            <v>0</v>
          </cell>
          <cell r="O1125">
            <v>30927.919999999998</v>
          </cell>
        </row>
        <row r="1126">
          <cell r="A1126" t="str">
            <v>12</v>
          </cell>
          <cell r="B1126" t="str">
            <v>31</v>
          </cell>
          <cell r="C1126" t="str">
            <v>记-0176</v>
          </cell>
          <cell r="D1126" t="str">
            <v>063</v>
          </cell>
          <cell r="E1126" t="str">
            <v>黄燕盏</v>
          </cell>
          <cell r="F1126" t="str">
            <v>调整4月43号凭</v>
          </cell>
          <cell r="G1126">
            <v>53.232219999999998</v>
          </cell>
          <cell r="H1126">
            <v>581</v>
          </cell>
          <cell r="I1126">
            <v>30927.919999999998</v>
          </cell>
          <cell r="J1126">
            <v>0</v>
          </cell>
          <cell r="K1126">
            <v>0</v>
          </cell>
          <cell r="L1126" t="str">
            <v>平</v>
          </cell>
          <cell r="M1126">
            <v>0</v>
          </cell>
          <cell r="N1126">
            <v>0</v>
          </cell>
          <cell r="O1126">
            <v>0</v>
          </cell>
        </row>
        <row r="1127">
          <cell r="A1127" t="str">
            <v>12</v>
          </cell>
          <cell r="F1127" t="str">
            <v>本月合计</v>
          </cell>
          <cell r="G1127">
            <v>0</v>
          </cell>
          <cell r="H1127">
            <v>3644</v>
          </cell>
          <cell r="I1127">
            <v>115516.48</v>
          </cell>
          <cell r="J1127">
            <v>3063</v>
          </cell>
          <cell r="K1127">
            <v>84588.56</v>
          </cell>
          <cell r="L1127" t="str">
            <v>平</v>
          </cell>
          <cell r="M1127">
            <v>0</v>
          </cell>
          <cell r="N1127">
            <v>0</v>
          </cell>
          <cell r="O1127">
            <v>0</v>
          </cell>
        </row>
        <row r="1128">
          <cell r="A1128" t="str">
            <v>12</v>
          </cell>
          <cell r="E1128" t="str">
            <v>黄燕盏</v>
          </cell>
          <cell r="F1128" t="str">
            <v>本年累计</v>
          </cell>
          <cell r="G1128">
            <v>0</v>
          </cell>
          <cell r="H1128">
            <v>8668</v>
          </cell>
          <cell r="I1128">
            <v>320935.37</v>
          </cell>
          <cell r="J1128">
            <v>8668</v>
          </cell>
          <cell r="K1128">
            <v>320935.37</v>
          </cell>
          <cell r="L1128" t="str">
            <v>平</v>
          </cell>
          <cell r="M1128">
            <v>0</v>
          </cell>
          <cell r="N1128">
            <v>0</v>
          </cell>
          <cell r="O1128">
            <v>0</v>
          </cell>
        </row>
        <row r="1129">
          <cell r="A1129" t="str">
            <v>01</v>
          </cell>
          <cell r="B1129" t="str">
            <v>31</v>
          </cell>
          <cell r="C1129" t="str">
            <v>记-0029</v>
          </cell>
          <cell r="D1129" t="str">
            <v>064</v>
          </cell>
          <cell r="E1129" t="str">
            <v>金丝燕盏</v>
          </cell>
          <cell r="F1129" t="str">
            <v>收购产品</v>
          </cell>
          <cell r="G1129">
            <v>57.203499999999998</v>
          </cell>
          <cell r="H1129">
            <v>800</v>
          </cell>
          <cell r="I1129">
            <v>45762.8</v>
          </cell>
          <cell r="J1129">
            <v>0</v>
          </cell>
          <cell r="K1129">
            <v>0</v>
          </cell>
          <cell r="L1129" t="str">
            <v>借</v>
          </cell>
          <cell r="M1129">
            <v>800</v>
          </cell>
          <cell r="N1129">
            <v>0</v>
          </cell>
          <cell r="O1129">
            <v>45762.8</v>
          </cell>
        </row>
        <row r="1130">
          <cell r="A1130" t="str">
            <v>01</v>
          </cell>
          <cell r="B1130" t="str">
            <v>31</v>
          </cell>
          <cell r="C1130" t="str">
            <v>记-0043</v>
          </cell>
          <cell r="D1130" t="str">
            <v>064</v>
          </cell>
          <cell r="E1130" t="str">
            <v>金丝燕盏</v>
          </cell>
          <cell r="F1130" t="str">
            <v>结转销售成本</v>
          </cell>
          <cell r="G1130">
            <v>57.203499999999998</v>
          </cell>
          <cell r="H1130">
            <v>0</v>
          </cell>
          <cell r="I1130">
            <v>0</v>
          </cell>
          <cell r="J1130">
            <v>800</v>
          </cell>
          <cell r="K1130">
            <v>45762.8</v>
          </cell>
          <cell r="L1130" t="str">
            <v>平</v>
          </cell>
          <cell r="M1130">
            <v>0</v>
          </cell>
          <cell r="N1130">
            <v>0</v>
          </cell>
          <cell r="O1130">
            <v>0</v>
          </cell>
        </row>
        <row r="1131">
          <cell r="A1131" t="str">
            <v>01</v>
          </cell>
          <cell r="F1131" t="str">
            <v>本月合计</v>
          </cell>
          <cell r="G1131">
            <v>0</v>
          </cell>
          <cell r="H1131">
            <v>800</v>
          </cell>
          <cell r="I1131">
            <v>45762.8</v>
          </cell>
          <cell r="J1131">
            <v>800</v>
          </cell>
          <cell r="K1131">
            <v>45762.8</v>
          </cell>
          <cell r="L1131" t="str">
            <v>平</v>
          </cell>
          <cell r="M1131">
            <v>0</v>
          </cell>
          <cell r="N1131">
            <v>0</v>
          </cell>
          <cell r="O1131">
            <v>0</v>
          </cell>
        </row>
        <row r="1132">
          <cell r="A1132" t="str">
            <v>01</v>
          </cell>
          <cell r="F1132" t="str">
            <v>累    计</v>
          </cell>
          <cell r="G1132">
            <v>0</v>
          </cell>
          <cell r="H1132">
            <v>800</v>
          </cell>
          <cell r="I1132">
            <v>45762.8</v>
          </cell>
          <cell r="J1132">
            <v>800</v>
          </cell>
          <cell r="K1132">
            <v>45762.8</v>
          </cell>
          <cell r="L1132" t="str">
            <v>平</v>
          </cell>
          <cell r="M1132">
            <v>0</v>
          </cell>
          <cell r="N1132">
            <v>0</v>
          </cell>
          <cell r="O1132">
            <v>0</v>
          </cell>
        </row>
        <row r="1133">
          <cell r="A1133" t="str">
            <v>09</v>
          </cell>
          <cell r="B1133" t="str">
            <v>22</v>
          </cell>
          <cell r="C1133" t="str">
            <v>记-0035</v>
          </cell>
          <cell r="D1133" t="str">
            <v>064</v>
          </cell>
          <cell r="E1133" t="str">
            <v>金丝燕盏</v>
          </cell>
          <cell r="F1133" t="str">
            <v>结转成本</v>
          </cell>
          <cell r="G1133">
            <v>55.76708</v>
          </cell>
          <cell r="H1133">
            <v>0</v>
          </cell>
          <cell r="I1133">
            <v>0</v>
          </cell>
          <cell r="J1133">
            <v>250</v>
          </cell>
          <cell r="K1133">
            <v>13941.77</v>
          </cell>
          <cell r="L1133" t="str">
            <v>贷</v>
          </cell>
          <cell r="M1133">
            <v>250</v>
          </cell>
          <cell r="N1133">
            <v>0</v>
          </cell>
          <cell r="O1133">
            <v>13941.77</v>
          </cell>
        </row>
        <row r="1134">
          <cell r="A1134" t="str">
            <v>09</v>
          </cell>
          <cell r="B1134" t="str">
            <v>22</v>
          </cell>
          <cell r="C1134" t="str">
            <v>记-0039</v>
          </cell>
          <cell r="D1134" t="str">
            <v>064</v>
          </cell>
          <cell r="E1134" t="str">
            <v>金丝燕盏</v>
          </cell>
          <cell r="F1134" t="str">
            <v>收购产品</v>
          </cell>
          <cell r="G1134">
            <v>55.76708</v>
          </cell>
          <cell r="H1134">
            <v>250</v>
          </cell>
          <cell r="I1134">
            <v>13941.77</v>
          </cell>
          <cell r="J1134">
            <v>0</v>
          </cell>
          <cell r="K1134">
            <v>0</v>
          </cell>
          <cell r="L1134" t="str">
            <v>平</v>
          </cell>
          <cell r="M1134">
            <v>0</v>
          </cell>
          <cell r="N1134">
            <v>0</v>
          </cell>
          <cell r="O1134">
            <v>0</v>
          </cell>
        </row>
        <row r="1135">
          <cell r="A1135" t="str">
            <v>09</v>
          </cell>
          <cell r="B1135" t="str">
            <v>22</v>
          </cell>
          <cell r="C1135" t="str">
            <v>记-0049</v>
          </cell>
          <cell r="D1135" t="str">
            <v>064</v>
          </cell>
          <cell r="E1135" t="str">
            <v>金丝燕盏</v>
          </cell>
          <cell r="F1135" t="str">
            <v>结转成本</v>
          </cell>
          <cell r="G1135">
            <v>55.76708</v>
          </cell>
          <cell r="H1135">
            <v>0</v>
          </cell>
          <cell r="I1135">
            <v>0</v>
          </cell>
          <cell r="J1135">
            <v>800</v>
          </cell>
          <cell r="K1135">
            <v>44613.66</v>
          </cell>
          <cell r="L1135" t="str">
            <v>贷</v>
          </cell>
          <cell r="M1135">
            <v>800</v>
          </cell>
          <cell r="N1135">
            <v>0</v>
          </cell>
          <cell r="O1135">
            <v>44613.66</v>
          </cell>
        </row>
        <row r="1136">
          <cell r="A1136" t="str">
            <v>09</v>
          </cell>
          <cell r="B1136" t="str">
            <v>22</v>
          </cell>
          <cell r="C1136" t="str">
            <v>记-0052</v>
          </cell>
          <cell r="D1136" t="str">
            <v>064</v>
          </cell>
          <cell r="E1136" t="str">
            <v>金丝燕盏</v>
          </cell>
          <cell r="F1136" t="str">
            <v>收购产品</v>
          </cell>
          <cell r="G1136">
            <v>55.76708</v>
          </cell>
          <cell r="H1136">
            <v>800</v>
          </cell>
          <cell r="I1136">
            <v>44613.66</v>
          </cell>
          <cell r="J1136">
            <v>0</v>
          </cell>
          <cell r="K1136">
            <v>0</v>
          </cell>
          <cell r="L1136" t="str">
            <v>平</v>
          </cell>
          <cell r="M1136">
            <v>0</v>
          </cell>
          <cell r="N1136">
            <v>0</v>
          </cell>
          <cell r="O1136">
            <v>0</v>
          </cell>
        </row>
        <row r="1137">
          <cell r="A1137" t="str">
            <v>09</v>
          </cell>
          <cell r="F1137" t="str">
            <v>本月合计</v>
          </cell>
          <cell r="G1137">
            <v>0</v>
          </cell>
          <cell r="H1137">
            <v>1050</v>
          </cell>
          <cell r="I1137">
            <v>58555.43</v>
          </cell>
          <cell r="J1137">
            <v>1050</v>
          </cell>
          <cell r="K1137">
            <v>58555.43</v>
          </cell>
          <cell r="L1137" t="str">
            <v>平</v>
          </cell>
          <cell r="M1137">
            <v>0</v>
          </cell>
          <cell r="N1137">
            <v>0</v>
          </cell>
          <cell r="O1137">
            <v>0</v>
          </cell>
        </row>
        <row r="1138">
          <cell r="A1138" t="str">
            <v>09</v>
          </cell>
          <cell r="F1138" t="str">
            <v>累    计</v>
          </cell>
          <cell r="G1138">
            <v>0</v>
          </cell>
          <cell r="H1138">
            <v>1850</v>
          </cell>
          <cell r="I1138">
            <v>104318.23</v>
          </cell>
          <cell r="J1138">
            <v>1850</v>
          </cell>
          <cell r="K1138">
            <v>104318.23</v>
          </cell>
          <cell r="L1138" t="str">
            <v>平</v>
          </cell>
          <cell r="M1138">
            <v>0</v>
          </cell>
          <cell r="N1138">
            <v>0</v>
          </cell>
          <cell r="O1138">
            <v>0</v>
          </cell>
        </row>
        <row r="1139">
          <cell r="A1139" t="str">
            <v>12</v>
          </cell>
          <cell r="B1139" t="str">
            <v>11</v>
          </cell>
          <cell r="C1139" t="str">
            <v>记-0017</v>
          </cell>
          <cell r="D1139" t="str">
            <v>064</v>
          </cell>
          <cell r="E1139" t="str">
            <v>金丝燕盏</v>
          </cell>
          <cell r="F1139" t="str">
            <v>收购产品</v>
          </cell>
          <cell r="G1139">
            <v>57.203499999999998</v>
          </cell>
          <cell r="H1139">
            <v>660</v>
          </cell>
          <cell r="I1139">
            <v>37754.31</v>
          </cell>
          <cell r="J1139">
            <v>0</v>
          </cell>
          <cell r="K1139">
            <v>0</v>
          </cell>
          <cell r="L1139" t="str">
            <v>借</v>
          </cell>
          <cell r="M1139">
            <v>660</v>
          </cell>
          <cell r="N1139">
            <v>0</v>
          </cell>
          <cell r="O1139">
            <v>37754.31</v>
          </cell>
        </row>
        <row r="1140">
          <cell r="A1140" t="str">
            <v>12</v>
          </cell>
          <cell r="B1140" t="str">
            <v>11</v>
          </cell>
          <cell r="C1140" t="str">
            <v>记-0036</v>
          </cell>
          <cell r="D1140" t="str">
            <v>064</v>
          </cell>
          <cell r="E1140" t="str">
            <v>金丝燕盏</v>
          </cell>
          <cell r="F1140" t="str">
            <v>结转成本</v>
          </cell>
          <cell r="G1140">
            <v>57.203499999999998</v>
          </cell>
          <cell r="H1140">
            <v>0</v>
          </cell>
          <cell r="I1140">
            <v>0</v>
          </cell>
          <cell r="J1140">
            <v>660</v>
          </cell>
          <cell r="K1140">
            <v>37754.31</v>
          </cell>
          <cell r="L1140" t="str">
            <v>平</v>
          </cell>
          <cell r="M1140">
            <v>0</v>
          </cell>
          <cell r="N1140">
            <v>0</v>
          </cell>
          <cell r="O1140">
            <v>0</v>
          </cell>
        </row>
        <row r="1141">
          <cell r="A1141" t="str">
            <v>12</v>
          </cell>
          <cell r="F1141" t="str">
            <v>本月合计</v>
          </cell>
          <cell r="G1141">
            <v>0</v>
          </cell>
          <cell r="H1141">
            <v>660</v>
          </cell>
          <cell r="I1141">
            <v>37754.31</v>
          </cell>
          <cell r="J1141">
            <v>660</v>
          </cell>
          <cell r="K1141">
            <v>37754.31</v>
          </cell>
          <cell r="L1141" t="str">
            <v>平</v>
          </cell>
          <cell r="M1141">
            <v>0</v>
          </cell>
          <cell r="N1141">
            <v>0</v>
          </cell>
          <cell r="O1141">
            <v>0</v>
          </cell>
        </row>
        <row r="1142">
          <cell r="A1142" t="str">
            <v>12</v>
          </cell>
          <cell r="E1142" t="str">
            <v>金丝燕盏</v>
          </cell>
          <cell r="F1142" t="str">
            <v>本年累计</v>
          </cell>
          <cell r="G1142">
            <v>0</v>
          </cell>
          <cell r="H1142">
            <v>2510</v>
          </cell>
          <cell r="I1142">
            <v>142072.54</v>
          </cell>
          <cell r="J1142">
            <v>2510</v>
          </cell>
          <cell r="K1142">
            <v>142072.54</v>
          </cell>
          <cell r="L1142" t="str">
            <v>平</v>
          </cell>
          <cell r="M1142">
            <v>0</v>
          </cell>
          <cell r="N1142">
            <v>0</v>
          </cell>
          <cell r="O1142">
            <v>0</v>
          </cell>
        </row>
        <row r="1143">
          <cell r="A1143" t="str">
            <v>01</v>
          </cell>
          <cell r="B1143" t="str">
            <v>31</v>
          </cell>
          <cell r="C1143" t="str">
            <v>记-0030</v>
          </cell>
          <cell r="D1143" t="str">
            <v>065</v>
          </cell>
          <cell r="E1143" t="str">
            <v>燕盏肉</v>
          </cell>
          <cell r="F1143" t="str">
            <v>收购产品</v>
          </cell>
          <cell r="G1143">
            <v>22.053380000000001</v>
          </cell>
          <cell r="H1143">
            <v>105.1</v>
          </cell>
          <cell r="I1143">
            <v>2317.81</v>
          </cell>
          <cell r="J1143">
            <v>0</v>
          </cell>
          <cell r="K1143">
            <v>0</v>
          </cell>
          <cell r="L1143" t="str">
            <v>借</v>
          </cell>
          <cell r="M1143">
            <v>105.1</v>
          </cell>
          <cell r="N1143">
            <v>0</v>
          </cell>
          <cell r="O1143">
            <v>2317.81</v>
          </cell>
        </row>
        <row r="1144">
          <cell r="A1144" t="str">
            <v>01</v>
          </cell>
          <cell r="B1144" t="str">
            <v>31</v>
          </cell>
          <cell r="C1144" t="str">
            <v>记-0044</v>
          </cell>
          <cell r="D1144" t="str">
            <v>065</v>
          </cell>
          <cell r="E1144" t="str">
            <v>燕盏肉</v>
          </cell>
          <cell r="F1144" t="str">
            <v>结转销售成本</v>
          </cell>
          <cell r="G1144">
            <v>22.053380000000001</v>
          </cell>
          <cell r="H1144">
            <v>0</v>
          </cell>
          <cell r="I1144">
            <v>0</v>
          </cell>
          <cell r="J1144">
            <v>105.1</v>
          </cell>
          <cell r="K1144">
            <v>2317.81</v>
          </cell>
          <cell r="L1144" t="str">
            <v>平</v>
          </cell>
          <cell r="M1144">
            <v>0</v>
          </cell>
          <cell r="N1144">
            <v>0</v>
          </cell>
          <cell r="O1144">
            <v>0</v>
          </cell>
        </row>
        <row r="1145">
          <cell r="A1145" t="str">
            <v>01</v>
          </cell>
          <cell r="F1145" t="str">
            <v>本月合计</v>
          </cell>
          <cell r="G1145">
            <v>0</v>
          </cell>
          <cell r="H1145">
            <v>105.1</v>
          </cell>
          <cell r="I1145">
            <v>2317.81</v>
          </cell>
          <cell r="J1145">
            <v>105.1</v>
          </cell>
          <cell r="K1145">
            <v>2317.81</v>
          </cell>
          <cell r="L1145" t="str">
            <v>平</v>
          </cell>
          <cell r="M1145">
            <v>0</v>
          </cell>
          <cell r="N1145">
            <v>0</v>
          </cell>
          <cell r="O1145">
            <v>0</v>
          </cell>
        </row>
        <row r="1146">
          <cell r="A1146" t="str">
            <v>01</v>
          </cell>
          <cell r="F1146" t="str">
            <v>累    计</v>
          </cell>
          <cell r="G1146">
            <v>0</v>
          </cell>
          <cell r="H1146">
            <v>105.1</v>
          </cell>
          <cell r="I1146">
            <v>2317.81</v>
          </cell>
          <cell r="J1146">
            <v>105.1</v>
          </cell>
          <cell r="K1146">
            <v>2317.81</v>
          </cell>
          <cell r="L1146" t="str">
            <v>平</v>
          </cell>
          <cell r="M1146">
            <v>0</v>
          </cell>
          <cell r="N1146">
            <v>0</v>
          </cell>
          <cell r="O1146">
            <v>0</v>
          </cell>
        </row>
        <row r="1147">
          <cell r="A1147" t="str">
            <v>02</v>
          </cell>
          <cell r="B1147" t="str">
            <v>28</v>
          </cell>
          <cell r="C1147" t="str">
            <v>记-0060</v>
          </cell>
          <cell r="D1147" t="str">
            <v>065</v>
          </cell>
          <cell r="E1147" t="str">
            <v>燕盏肉</v>
          </cell>
          <cell r="F1147" t="str">
            <v>销售商品</v>
          </cell>
          <cell r="G1147">
            <v>21.96885</v>
          </cell>
          <cell r="H1147">
            <v>0</v>
          </cell>
          <cell r="I1147">
            <v>0</v>
          </cell>
          <cell r="J1147">
            <v>400</v>
          </cell>
          <cell r="K1147">
            <v>8787.5400000000009</v>
          </cell>
          <cell r="L1147" t="str">
            <v>贷</v>
          </cell>
          <cell r="M1147">
            <v>400</v>
          </cell>
          <cell r="N1147">
            <v>0</v>
          </cell>
          <cell r="O1147">
            <v>8787.5400000000009</v>
          </cell>
        </row>
        <row r="1148">
          <cell r="A1148" t="str">
            <v>02</v>
          </cell>
          <cell r="B1148" t="str">
            <v>28</v>
          </cell>
          <cell r="C1148" t="str">
            <v>记-0067</v>
          </cell>
          <cell r="D1148" t="str">
            <v>065</v>
          </cell>
          <cell r="E1148" t="str">
            <v>燕盏肉</v>
          </cell>
          <cell r="F1148" t="str">
            <v>收购产品</v>
          </cell>
          <cell r="G1148">
            <v>21.96885</v>
          </cell>
          <cell r="H1148">
            <v>400</v>
          </cell>
          <cell r="I1148">
            <v>8787.5400000000009</v>
          </cell>
          <cell r="J1148">
            <v>0</v>
          </cell>
          <cell r="K1148">
            <v>0</v>
          </cell>
          <cell r="L1148" t="str">
            <v>平</v>
          </cell>
          <cell r="M1148">
            <v>0</v>
          </cell>
          <cell r="N1148">
            <v>0</v>
          </cell>
          <cell r="O1148">
            <v>0</v>
          </cell>
        </row>
        <row r="1149">
          <cell r="A1149" t="str">
            <v>02</v>
          </cell>
          <cell r="F1149" t="str">
            <v>本月合计</v>
          </cell>
          <cell r="G1149">
            <v>0</v>
          </cell>
          <cell r="H1149">
            <v>400</v>
          </cell>
          <cell r="I1149">
            <v>8787.5400000000009</v>
          </cell>
          <cell r="J1149">
            <v>400</v>
          </cell>
          <cell r="K1149">
            <v>8787.5400000000009</v>
          </cell>
          <cell r="L1149" t="str">
            <v>平</v>
          </cell>
          <cell r="M1149">
            <v>0</v>
          </cell>
          <cell r="N1149">
            <v>0</v>
          </cell>
          <cell r="O1149">
            <v>0</v>
          </cell>
        </row>
        <row r="1150">
          <cell r="A1150" t="str">
            <v>02</v>
          </cell>
          <cell r="F1150" t="str">
            <v>累    计</v>
          </cell>
          <cell r="G1150">
            <v>0</v>
          </cell>
          <cell r="H1150">
            <v>505.1</v>
          </cell>
          <cell r="I1150">
            <v>11105.35</v>
          </cell>
          <cell r="J1150">
            <v>505.1</v>
          </cell>
          <cell r="K1150">
            <v>11105.35</v>
          </cell>
          <cell r="L1150" t="str">
            <v>平</v>
          </cell>
          <cell r="M1150">
            <v>0</v>
          </cell>
          <cell r="N1150">
            <v>0</v>
          </cell>
          <cell r="O1150">
            <v>0</v>
          </cell>
        </row>
        <row r="1151">
          <cell r="A1151" t="str">
            <v>04</v>
          </cell>
          <cell r="B1151" t="str">
            <v>30</v>
          </cell>
          <cell r="C1151" t="str">
            <v>记-0041</v>
          </cell>
          <cell r="D1151" t="str">
            <v>065</v>
          </cell>
          <cell r="E1151" t="str">
            <v>燕盏肉</v>
          </cell>
          <cell r="F1151" t="str">
            <v>收购产品</v>
          </cell>
          <cell r="G1151">
            <v>21.461880000000001</v>
          </cell>
          <cell r="H1151">
            <v>520</v>
          </cell>
          <cell r="I1151">
            <v>11160.18</v>
          </cell>
          <cell r="J1151">
            <v>0</v>
          </cell>
          <cell r="K1151">
            <v>0</v>
          </cell>
          <cell r="L1151" t="str">
            <v>借</v>
          </cell>
          <cell r="M1151">
            <v>520</v>
          </cell>
          <cell r="N1151">
            <v>0</v>
          </cell>
          <cell r="O1151">
            <v>11160.18</v>
          </cell>
        </row>
        <row r="1152">
          <cell r="A1152" t="str">
            <v>04</v>
          </cell>
          <cell r="B1152" t="str">
            <v>30</v>
          </cell>
          <cell r="C1152" t="str">
            <v>记-0042</v>
          </cell>
          <cell r="D1152" t="str">
            <v>065</v>
          </cell>
          <cell r="E1152" t="str">
            <v>燕盏肉</v>
          </cell>
          <cell r="F1152" t="str">
            <v>收购产品</v>
          </cell>
          <cell r="G1152">
            <v>19.349489999999999</v>
          </cell>
          <cell r="H1152">
            <v>400.1</v>
          </cell>
          <cell r="I1152">
            <v>7741.73</v>
          </cell>
          <cell r="J1152">
            <v>0</v>
          </cell>
          <cell r="K1152">
            <v>0</v>
          </cell>
          <cell r="L1152" t="str">
            <v>借</v>
          </cell>
          <cell r="M1152">
            <v>920.1</v>
          </cell>
          <cell r="N1152">
            <v>0</v>
          </cell>
          <cell r="O1152">
            <v>18901.91</v>
          </cell>
        </row>
        <row r="1153">
          <cell r="A1153" t="str">
            <v>04</v>
          </cell>
          <cell r="B1153" t="str">
            <v>30</v>
          </cell>
          <cell r="C1153" t="str">
            <v>记-0043</v>
          </cell>
          <cell r="D1153" t="str">
            <v>065</v>
          </cell>
          <cell r="E1153" t="str">
            <v>燕盏肉</v>
          </cell>
          <cell r="F1153" t="str">
            <v>收购产品</v>
          </cell>
          <cell r="G1153">
            <v>21.123899999999999</v>
          </cell>
          <cell r="H1153">
            <v>1200</v>
          </cell>
          <cell r="I1153">
            <v>25348.68</v>
          </cell>
          <cell r="J1153">
            <v>0</v>
          </cell>
          <cell r="K1153">
            <v>0</v>
          </cell>
          <cell r="L1153" t="str">
            <v>借</v>
          </cell>
          <cell r="M1153">
            <v>2120.1</v>
          </cell>
          <cell r="N1153">
            <v>0</v>
          </cell>
          <cell r="O1153">
            <v>44250.59</v>
          </cell>
        </row>
        <row r="1154">
          <cell r="A1154" t="str">
            <v>04</v>
          </cell>
          <cell r="B1154" t="str">
            <v>30</v>
          </cell>
          <cell r="C1154" t="str">
            <v>记-0044</v>
          </cell>
          <cell r="D1154" t="str">
            <v>065</v>
          </cell>
          <cell r="E1154" t="str">
            <v>燕盏肉</v>
          </cell>
          <cell r="F1154" t="str">
            <v>转成本</v>
          </cell>
          <cell r="G1154">
            <v>19.349489999999999</v>
          </cell>
          <cell r="H1154">
            <v>0</v>
          </cell>
          <cell r="I1154">
            <v>0</v>
          </cell>
          <cell r="J1154">
            <v>400.1</v>
          </cell>
          <cell r="K1154">
            <v>7741.73</v>
          </cell>
          <cell r="L1154" t="str">
            <v>借</v>
          </cell>
          <cell r="M1154">
            <v>1720</v>
          </cell>
          <cell r="N1154">
            <v>0</v>
          </cell>
          <cell r="O1154">
            <v>36508.86</v>
          </cell>
        </row>
        <row r="1155">
          <cell r="A1155" t="str">
            <v>04</v>
          </cell>
          <cell r="B1155" t="str">
            <v>30</v>
          </cell>
          <cell r="C1155" t="str">
            <v>记-0045</v>
          </cell>
          <cell r="D1155" t="str">
            <v>065</v>
          </cell>
          <cell r="E1155" t="str">
            <v>燕盏肉</v>
          </cell>
          <cell r="F1155" t="str">
            <v>转成本</v>
          </cell>
          <cell r="G1155">
            <v>21.461880000000001</v>
          </cell>
          <cell r="H1155">
            <v>0</v>
          </cell>
          <cell r="I1155">
            <v>0</v>
          </cell>
          <cell r="J1155">
            <v>520</v>
          </cell>
          <cell r="K1155">
            <v>11160.18</v>
          </cell>
          <cell r="L1155" t="str">
            <v>借</v>
          </cell>
          <cell r="M1155">
            <v>1200</v>
          </cell>
          <cell r="N1155">
            <v>0</v>
          </cell>
          <cell r="O1155">
            <v>25348.68</v>
          </cell>
        </row>
        <row r="1156">
          <cell r="A1156" t="str">
            <v>04</v>
          </cell>
          <cell r="B1156" t="str">
            <v>30</v>
          </cell>
          <cell r="C1156" t="str">
            <v>记-0046</v>
          </cell>
          <cell r="D1156" t="str">
            <v>065</v>
          </cell>
          <cell r="E1156" t="str">
            <v>燕盏肉</v>
          </cell>
          <cell r="F1156" t="str">
            <v>转成本</v>
          </cell>
          <cell r="G1156">
            <v>21.123899999999999</v>
          </cell>
          <cell r="H1156">
            <v>0</v>
          </cell>
          <cell r="I1156">
            <v>0</v>
          </cell>
          <cell r="J1156">
            <v>1200</v>
          </cell>
          <cell r="K1156">
            <v>25348.68</v>
          </cell>
          <cell r="L1156" t="str">
            <v>平</v>
          </cell>
          <cell r="M1156">
            <v>0</v>
          </cell>
          <cell r="N1156">
            <v>0</v>
          </cell>
          <cell r="O1156">
            <v>0</v>
          </cell>
        </row>
        <row r="1157">
          <cell r="A1157" t="str">
            <v>04</v>
          </cell>
          <cell r="F1157" t="str">
            <v>本月合计</v>
          </cell>
          <cell r="G1157">
            <v>0</v>
          </cell>
          <cell r="H1157">
            <v>2120.1</v>
          </cell>
          <cell r="I1157">
            <v>44250.59</v>
          </cell>
          <cell r="J1157">
            <v>2120.1</v>
          </cell>
          <cell r="K1157">
            <v>44250.59</v>
          </cell>
          <cell r="L1157" t="str">
            <v>平</v>
          </cell>
          <cell r="M1157">
            <v>0</v>
          </cell>
          <cell r="N1157">
            <v>0</v>
          </cell>
          <cell r="O1157">
            <v>0</v>
          </cell>
        </row>
        <row r="1158">
          <cell r="A1158" t="str">
            <v>04</v>
          </cell>
          <cell r="F1158" t="str">
            <v>累    计</v>
          </cell>
          <cell r="G1158">
            <v>0</v>
          </cell>
          <cell r="H1158">
            <v>2625.2</v>
          </cell>
          <cell r="I1158">
            <v>55355.94</v>
          </cell>
          <cell r="J1158">
            <v>2625.2</v>
          </cell>
          <cell r="K1158">
            <v>55355.94</v>
          </cell>
          <cell r="L1158" t="str">
            <v>平</v>
          </cell>
          <cell r="M1158">
            <v>0</v>
          </cell>
          <cell r="N1158">
            <v>0</v>
          </cell>
          <cell r="O1158">
            <v>0</v>
          </cell>
        </row>
        <row r="1159">
          <cell r="A1159" t="str">
            <v>05</v>
          </cell>
          <cell r="B1159" t="str">
            <v>31</v>
          </cell>
          <cell r="C1159" t="str">
            <v>记-0084</v>
          </cell>
          <cell r="D1159" t="str">
            <v>065</v>
          </cell>
          <cell r="E1159" t="str">
            <v>燕盏肉</v>
          </cell>
          <cell r="F1159" t="str">
            <v>调整4月41号凭</v>
          </cell>
          <cell r="G1159">
            <v>21.461880000000001</v>
          </cell>
          <cell r="H1159">
            <v>-520</v>
          </cell>
          <cell r="I1159">
            <v>-11160.18</v>
          </cell>
          <cell r="J1159">
            <v>0</v>
          </cell>
          <cell r="K1159">
            <v>0</v>
          </cell>
          <cell r="L1159" t="str">
            <v>贷</v>
          </cell>
          <cell r="M1159">
            <v>520</v>
          </cell>
          <cell r="N1159">
            <v>0</v>
          </cell>
          <cell r="O1159">
            <v>11160.18</v>
          </cell>
        </row>
        <row r="1160">
          <cell r="A1160" t="str">
            <v>05</v>
          </cell>
          <cell r="B1160" t="str">
            <v>31</v>
          </cell>
          <cell r="C1160" t="str">
            <v>记-0085</v>
          </cell>
          <cell r="D1160" t="str">
            <v>065</v>
          </cell>
          <cell r="E1160" t="str">
            <v>燕盏肉</v>
          </cell>
          <cell r="F1160" t="str">
            <v>调整4月41号凭</v>
          </cell>
          <cell r="G1160">
            <v>21.461880000000001</v>
          </cell>
          <cell r="H1160">
            <v>520</v>
          </cell>
          <cell r="I1160">
            <v>11160.18</v>
          </cell>
          <cell r="J1160">
            <v>0</v>
          </cell>
          <cell r="K1160">
            <v>0</v>
          </cell>
          <cell r="L1160" t="str">
            <v>平</v>
          </cell>
          <cell r="M1160">
            <v>0</v>
          </cell>
          <cell r="N1160">
            <v>0</v>
          </cell>
          <cell r="O1160">
            <v>0</v>
          </cell>
        </row>
        <row r="1161">
          <cell r="A1161" t="str">
            <v>05</v>
          </cell>
          <cell r="F1161" t="str">
            <v>本月合计</v>
          </cell>
          <cell r="G1161">
            <v>0</v>
          </cell>
          <cell r="H1161">
            <v>0</v>
          </cell>
          <cell r="I1161">
            <v>0</v>
          </cell>
          <cell r="J1161">
            <v>0</v>
          </cell>
          <cell r="K1161">
            <v>0</v>
          </cell>
          <cell r="L1161" t="str">
            <v>平</v>
          </cell>
          <cell r="M1161">
            <v>0</v>
          </cell>
          <cell r="N1161">
            <v>0</v>
          </cell>
          <cell r="O1161">
            <v>0</v>
          </cell>
        </row>
        <row r="1162">
          <cell r="A1162" t="str">
            <v>05</v>
          </cell>
          <cell r="F1162" t="str">
            <v>累    计</v>
          </cell>
          <cell r="G1162">
            <v>0</v>
          </cell>
          <cell r="H1162">
            <v>2625.2</v>
          </cell>
          <cell r="I1162">
            <v>55355.94</v>
          </cell>
          <cell r="J1162">
            <v>2625.2</v>
          </cell>
          <cell r="K1162">
            <v>55355.94</v>
          </cell>
          <cell r="L1162" t="str">
            <v>平</v>
          </cell>
          <cell r="M1162">
            <v>0</v>
          </cell>
          <cell r="N1162">
            <v>0</v>
          </cell>
          <cell r="O1162">
            <v>0</v>
          </cell>
        </row>
        <row r="1163">
          <cell r="A1163" t="str">
            <v>07</v>
          </cell>
          <cell r="B1163" t="str">
            <v>22</v>
          </cell>
          <cell r="C1163" t="str">
            <v>记-0047</v>
          </cell>
          <cell r="D1163" t="str">
            <v>065</v>
          </cell>
          <cell r="E1163" t="str">
            <v>燕盏肉</v>
          </cell>
          <cell r="F1163" t="str">
            <v>结转成本</v>
          </cell>
          <cell r="G1163">
            <v>0</v>
          </cell>
          <cell r="H1163">
            <v>0</v>
          </cell>
          <cell r="I1163">
            <v>0</v>
          </cell>
          <cell r="J1163">
            <v>0</v>
          </cell>
          <cell r="K1163">
            <v>8787.5400000000009</v>
          </cell>
          <cell r="L1163" t="str">
            <v>贷</v>
          </cell>
          <cell r="M1163">
            <v>0</v>
          </cell>
          <cell r="N1163">
            <v>0</v>
          </cell>
          <cell r="O1163">
            <v>8787.5400000000009</v>
          </cell>
        </row>
        <row r="1164">
          <cell r="A1164" t="str">
            <v>07</v>
          </cell>
          <cell r="B1164" t="str">
            <v>22</v>
          </cell>
          <cell r="C1164" t="str">
            <v>记-0052</v>
          </cell>
          <cell r="D1164" t="str">
            <v>065</v>
          </cell>
          <cell r="E1164" t="str">
            <v>燕盏肉</v>
          </cell>
          <cell r="F1164" t="str">
            <v>结转成本</v>
          </cell>
          <cell r="G1164">
            <v>18.927009999999999</v>
          </cell>
          <cell r="H1164">
            <v>0</v>
          </cell>
          <cell r="I1164">
            <v>0</v>
          </cell>
          <cell r="J1164">
            <v>500.1</v>
          </cell>
          <cell r="K1164">
            <v>9465.4</v>
          </cell>
          <cell r="L1164" t="str">
            <v>贷</v>
          </cell>
          <cell r="M1164">
            <v>500.1</v>
          </cell>
          <cell r="N1164">
            <v>0</v>
          </cell>
          <cell r="O1164">
            <v>18252.939999999999</v>
          </cell>
        </row>
        <row r="1165">
          <cell r="A1165" t="str">
            <v>07</v>
          </cell>
          <cell r="B1165" t="str">
            <v>22</v>
          </cell>
          <cell r="C1165" t="str">
            <v>记-0054</v>
          </cell>
          <cell r="D1165" t="str">
            <v>065</v>
          </cell>
          <cell r="E1165" t="str">
            <v>燕盏肉</v>
          </cell>
          <cell r="F1165" t="str">
            <v>收购产品</v>
          </cell>
          <cell r="G1165">
            <v>18.927009999999999</v>
          </cell>
          <cell r="H1165">
            <v>500.1</v>
          </cell>
          <cell r="I1165">
            <v>9465.4</v>
          </cell>
          <cell r="J1165">
            <v>0</v>
          </cell>
          <cell r="K1165">
            <v>0</v>
          </cell>
          <cell r="L1165" t="str">
            <v>贷</v>
          </cell>
          <cell r="M1165">
            <v>0</v>
          </cell>
          <cell r="N1165">
            <v>0</v>
          </cell>
          <cell r="O1165">
            <v>8787.5400000000009</v>
          </cell>
        </row>
        <row r="1166">
          <cell r="A1166" t="str">
            <v>07</v>
          </cell>
          <cell r="B1166" t="str">
            <v>22</v>
          </cell>
          <cell r="C1166" t="str">
            <v>记-0058</v>
          </cell>
          <cell r="D1166" t="str">
            <v>065</v>
          </cell>
          <cell r="E1166" t="str">
            <v>燕盏肉</v>
          </cell>
          <cell r="F1166" t="str">
            <v>收购产品</v>
          </cell>
          <cell r="G1166">
            <v>21.96885</v>
          </cell>
          <cell r="H1166">
            <v>400</v>
          </cell>
          <cell r="I1166">
            <v>8787.5400000000009</v>
          </cell>
          <cell r="J1166">
            <v>0</v>
          </cell>
          <cell r="K1166">
            <v>0</v>
          </cell>
          <cell r="L1166" t="str">
            <v>平</v>
          </cell>
          <cell r="M1166">
            <v>400</v>
          </cell>
          <cell r="N1166">
            <v>0</v>
          </cell>
          <cell r="O1166">
            <v>0</v>
          </cell>
        </row>
        <row r="1167">
          <cell r="A1167" t="str">
            <v>07</v>
          </cell>
          <cell r="F1167" t="str">
            <v>本月合计</v>
          </cell>
          <cell r="G1167">
            <v>0</v>
          </cell>
          <cell r="H1167">
            <v>900.1</v>
          </cell>
          <cell r="I1167">
            <v>18252.939999999999</v>
          </cell>
          <cell r="J1167">
            <v>500.1</v>
          </cell>
          <cell r="K1167">
            <v>18252.939999999999</v>
          </cell>
          <cell r="L1167" t="str">
            <v>平</v>
          </cell>
          <cell r="M1167">
            <v>400</v>
          </cell>
          <cell r="N1167">
            <v>0</v>
          </cell>
          <cell r="O1167">
            <v>0</v>
          </cell>
        </row>
        <row r="1168">
          <cell r="A1168" t="str">
            <v>07</v>
          </cell>
          <cell r="F1168" t="str">
            <v>累    计</v>
          </cell>
          <cell r="G1168">
            <v>0</v>
          </cell>
          <cell r="H1168">
            <v>3525.3</v>
          </cell>
          <cell r="I1168">
            <v>73608.88</v>
          </cell>
          <cell r="J1168">
            <v>3125.3</v>
          </cell>
          <cell r="K1168">
            <v>73608.88</v>
          </cell>
          <cell r="L1168" t="str">
            <v>平</v>
          </cell>
          <cell r="M1168">
            <v>400</v>
          </cell>
          <cell r="N1168">
            <v>0</v>
          </cell>
          <cell r="O1168">
            <v>0</v>
          </cell>
        </row>
        <row r="1169">
          <cell r="A1169" t="str">
            <v>09</v>
          </cell>
          <cell r="B1169" t="str">
            <v>22</v>
          </cell>
          <cell r="C1169" t="str">
            <v>记-0035</v>
          </cell>
          <cell r="D1169" t="str">
            <v>065</v>
          </cell>
          <cell r="E1169" t="str">
            <v>燕盏肉</v>
          </cell>
          <cell r="F1169" t="str">
            <v>结转成本</v>
          </cell>
          <cell r="G1169">
            <v>29.9114</v>
          </cell>
          <cell r="H1169">
            <v>0</v>
          </cell>
          <cell r="I1169">
            <v>0</v>
          </cell>
          <cell r="J1169">
            <v>100</v>
          </cell>
          <cell r="K1169">
            <v>2991.14</v>
          </cell>
          <cell r="L1169" t="str">
            <v>贷</v>
          </cell>
          <cell r="M1169">
            <v>-300</v>
          </cell>
          <cell r="N1169">
            <v>0</v>
          </cell>
          <cell r="O1169">
            <v>2991.14</v>
          </cell>
        </row>
        <row r="1170">
          <cell r="A1170" t="str">
            <v>09</v>
          </cell>
          <cell r="B1170" t="str">
            <v>22</v>
          </cell>
          <cell r="C1170" t="str">
            <v>记-0039</v>
          </cell>
          <cell r="D1170" t="str">
            <v>065</v>
          </cell>
          <cell r="E1170" t="str">
            <v>燕盏肉</v>
          </cell>
          <cell r="F1170" t="str">
            <v>收购产品</v>
          </cell>
          <cell r="G1170">
            <v>29.9114</v>
          </cell>
          <cell r="H1170">
            <v>100</v>
          </cell>
          <cell r="I1170">
            <v>2991.14</v>
          </cell>
          <cell r="J1170">
            <v>0</v>
          </cell>
          <cell r="K1170">
            <v>0</v>
          </cell>
          <cell r="L1170" t="str">
            <v>平</v>
          </cell>
          <cell r="M1170">
            <v>400</v>
          </cell>
          <cell r="N1170">
            <v>0</v>
          </cell>
          <cell r="O1170">
            <v>0</v>
          </cell>
        </row>
        <row r="1171">
          <cell r="A1171" t="str">
            <v>09</v>
          </cell>
          <cell r="B1171" t="str">
            <v>22</v>
          </cell>
          <cell r="C1171" t="str">
            <v>记-0049</v>
          </cell>
          <cell r="D1171" t="str">
            <v>065</v>
          </cell>
          <cell r="E1171" t="str">
            <v>燕盏肉</v>
          </cell>
          <cell r="F1171" t="str">
            <v>结转成本</v>
          </cell>
          <cell r="G1171">
            <v>21.968859999999999</v>
          </cell>
          <cell r="H1171">
            <v>0</v>
          </cell>
          <cell r="I1171">
            <v>0</v>
          </cell>
          <cell r="J1171">
            <v>210</v>
          </cell>
          <cell r="K1171">
            <v>4613.46</v>
          </cell>
          <cell r="L1171" t="str">
            <v>贷</v>
          </cell>
          <cell r="M1171">
            <v>-190</v>
          </cell>
          <cell r="N1171">
            <v>0</v>
          </cell>
          <cell r="O1171">
            <v>4613.46</v>
          </cell>
        </row>
        <row r="1172">
          <cell r="A1172" t="str">
            <v>09</v>
          </cell>
          <cell r="B1172" t="str">
            <v>22</v>
          </cell>
          <cell r="C1172" t="str">
            <v>记-0050</v>
          </cell>
          <cell r="D1172" t="str">
            <v>065</v>
          </cell>
          <cell r="E1172" t="str">
            <v>燕盏肉</v>
          </cell>
          <cell r="F1172" t="str">
            <v>结转成本</v>
          </cell>
          <cell r="G1172">
            <v>21.96884</v>
          </cell>
          <cell r="H1172">
            <v>0</v>
          </cell>
          <cell r="I1172">
            <v>0</v>
          </cell>
          <cell r="J1172">
            <v>250</v>
          </cell>
          <cell r="K1172">
            <v>5492.21</v>
          </cell>
          <cell r="L1172" t="str">
            <v>贷</v>
          </cell>
          <cell r="M1172">
            <v>60</v>
          </cell>
          <cell r="N1172">
            <v>0</v>
          </cell>
          <cell r="O1172">
            <v>10105.67</v>
          </cell>
        </row>
        <row r="1173">
          <cell r="A1173" t="str">
            <v>09</v>
          </cell>
          <cell r="B1173" t="str">
            <v>22</v>
          </cell>
          <cell r="C1173" t="str">
            <v>记-0051</v>
          </cell>
          <cell r="D1173" t="str">
            <v>065</v>
          </cell>
          <cell r="E1173" t="str">
            <v>燕盏肉</v>
          </cell>
          <cell r="F1173" t="str">
            <v>收购产品</v>
          </cell>
          <cell r="G1173">
            <v>21.96884</v>
          </cell>
          <cell r="H1173">
            <v>250</v>
          </cell>
          <cell r="I1173">
            <v>5492.21</v>
          </cell>
          <cell r="J1173">
            <v>0</v>
          </cell>
          <cell r="K1173">
            <v>0</v>
          </cell>
          <cell r="L1173" t="str">
            <v>贷</v>
          </cell>
          <cell r="M1173">
            <v>-190</v>
          </cell>
          <cell r="N1173">
            <v>0</v>
          </cell>
          <cell r="O1173">
            <v>4613.46</v>
          </cell>
        </row>
        <row r="1174">
          <cell r="A1174" t="str">
            <v>09</v>
          </cell>
          <cell r="B1174" t="str">
            <v>22</v>
          </cell>
          <cell r="C1174" t="str">
            <v>记-0052</v>
          </cell>
          <cell r="D1174" t="str">
            <v>065</v>
          </cell>
          <cell r="E1174" t="str">
            <v>燕盏肉</v>
          </cell>
          <cell r="F1174" t="str">
            <v>收购产品</v>
          </cell>
          <cell r="G1174">
            <v>21.968859999999999</v>
          </cell>
          <cell r="H1174">
            <v>210</v>
          </cell>
          <cell r="I1174">
            <v>4613.46</v>
          </cell>
          <cell r="J1174">
            <v>0</v>
          </cell>
          <cell r="K1174">
            <v>0</v>
          </cell>
          <cell r="L1174" t="str">
            <v>平</v>
          </cell>
          <cell r="M1174">
            <v>400</v>
          </cell>
          <cell r="N1174">
            <v>0</v>
          </cell>
          <cell r="O1174">
            <v>0</v>
          </cell>
        </row>
        <row r="1175">
          <cell r="A1175" t="str">
            <v>09</v>
          </cell>
          <cell r="F1175" t="str">
            <v>本月合计</v>
          </cell>
          <cell r="G1175">
            <v>0</v>
          </cell>
          <cell r="H1175">
            <v>560</v>
          </cell>
          <cell r="I1175">
            <v>13096.81</v>
          </cell>
          <cell r="J1175">
            <v>560</v>
          </cell>
          <cell r="K1175">
            <v>13096.81</v>
          </cell>
          <cell r="L1175" t="str">
            <v>平</v>
          </cell>
          <cell r="M1175">
            <v>400</v>
          </cell>
          <cell r="N1175">
            <v>0</v>
          </cell>
          <cell r="O1175">
            <v>0</v>
          </cell>
        </row>
        <row r="1176">
          <cell r="A1176" t="str">
            <v>09</v>
          </cell>
          <cell r="F1176" t="str">
            <v>累    计</v>
          </cell>
          <cell r="G1176">
            <v>0</v>
          </cell>
          <cell r="H1176">
            <v>4085.3</v>
          </cell>
          <cell r="I1176">
            <v>86705.69</v>
          </cell>
          <cell r="J1176">
            <v>3685.3</v>
          </cell>
          <cell r="K1176">
            <v>86705.69</v>
          </cell>
          <cell r="L1176" t="str">
            <v>平</v>
          </cell>
          <cell r="M1176">
            <v>400</v>
          </cell>
          <cell r="N1176">
            <v>0</v>
          </cell>
          <cell r="O1176">
            <v>0</v>
          </cell>
        </row>
        <row r="1177">
          <cell r="A1177" t="str">
            <v>12</v>
          </cell>
          <cell r="B1177" t="str">
            <v>11</v>
          </cell>
          <cell r="C1177" t="str">
            <v>记-0017</v>
          </cell>
          <cell r="D1177" t="str">
            <v>065</v>
          </cell>
          <cell r="E1177" t="str">
            <v>燕盏肉</v>
          </cell>
          <cell r="F1177" t="str">
            <v>收购产品</v>
          </cell>
          <cell r="G1177">
            <v>21.123899999999999</v>
          </cell>
          <cell r="H1177">
            <v>911</v>
          </cell>
          <cell r="I1177">
            <v>19243.87</v>
          </cell>
          <cell r="J1177">
            <v>0</v>
          </cell>
          <cell r="K1177">
            <v>0</v>
          </cell>
          <cell r="L1177" t="str">
            <v>借</v>
          </cell>
          <cell r="M1177">
            <v>1311</v>
          </cell>
          <cell r="N1177">
            <v>0</v>
          </cell>
          <cell r="O1177">
            <v>19243.87</v>
          </cell>
        </row>
        <row r="1178">
          <cell r="A1178" t="str">
            <v>12</v>
          </cell>
          <cell r="B1178" t="str">
            <v>11</v>
          </cell>
          <cell r="C1178" t="str">
            <v>记-0019</v>
          </cell>
          <cell r="D1178" t="str">
            <v>065</v>
          </cell>
          <cell r="E1178" t="str">
            <v>燕盏肉</v>
          </cell>
          <cell r="F1178" t="str">
            <v>收购产品</v>
          </cell>
          <cell r="G1178">
            <v>21.12388</v>
          </cell>
          <cell r="H1178">
            <v>497.4</v>
          </cell>
          <cell r="I1178">
            <v>10507.02</v>
          </cell>
          <cell r="J1178">
            <v>0</v>
          </cell>
          <cell r="K1178">
            <v>0</v>
          </cell>
          <cell r="L1178" t="str">
            <v>借</v>
          </cell>
          <cell r="M1178">
            <v>1808.4</v>
          </cell>
          <cell r="N1178">
            <v>0</v>
          </cell>
          <cell r="O1178">
            <v>29750.89</v>
          </cell>
        </row>
        <row r="1179">
          <cell r="A1179" t="str">
            <v>12</v>
          </cell>
          <cell r="B1179" t="str">
            <v>11</v>
          </cell>
          <cell r="C1179" t="str">
            <v>记-0025</v>
          </cell>
          <cell r="D1179" t="str">
            <v>065</v>
          </cell>
          <cell r="E1179" t="str">
            <v>燕盏肉</v>
          </cell>
          <cell r="F1179" t="str">
            <v>收购产品</v>
          </cell>
          <cell r="G1179">
            <v>21.123889999999999</v>
          </cell>
          <cell r="H1179">
            <v>1008</v>
          </cell>
          <cell r="I1179">
            <v>21292.880000000001</v>
          </cell>
          <cell r="J1179">
            <v>0</v>
          </cell>
          <cell r="K1179">
            <v>0</v>
          </cell>
          <cell r="L1179" t="str">
            <v>借</v>
          </cell>
          <cell r="M1179">
            <v>2816.4</v>
          </cell>
          <cell r="N1179">
            <v>0</v>
          </cell>
          <cell r="O1179">
            <v>51043.77</v>
          </cell>
        </row>
        <row r="1180">
          <cell r="A1180" t="str">
            <v>12</v>
          </cell>
          <cell r="B1180" t="str">
            <v>11</v>
          </cell>
          <cell r="C1180" t="str">
            <v>记-0027</v>
          </cell>
          <cell r="D1180" t="str">
            <v>065</v>
          </cell>
          <cell r="E1180" t="str">
            <v>燕盏肉</v>
          </cell>
          <cell r="F1180" t="str">
            <v>结转成本</v>
          </cell>
          <cell r="G1180">
            <v>21.12388</v>
          </cell>
          <cell r="H1180">
            <v>0</v>
          </cell>
          <cell r="I1180">
            <v>0</v>
          </cell>
          <cell r="J1180">
            <v>497.4</v>
          </cell>
          <cell r="K1180">
            <v>10507.02</v>
          </cell>
          <cell r="L1180" t="str">
            <v>借</v>
          </cell>
          <cell r="M1180">
            <v>2319</v>
          </cell>
          <cell r="N1180">
            <v>0</v>
          </cell>
          <cell r="O1180">
            <v>40536.75</v>
          </cell>
        </row>
        <row r="1181">
          <cell r="A1181" t="str">
            <v>12</v>
          </cell>
          <cell r="B1181" t="str">
            <v>11</v>
          </cell>
          <cell r="C1181" t="str">
            <v>记-0034</v>
          </cell>
          <cell r="D1181" t="str">
            <v>065</v>
          </cell>
          <cell r="E1181" t="str">
            <v>燕盏肉</v>
          </cell>
          <cell r="F1181" t="str">
            <v>结转成本</v>
          </cell>
          <cell r="G1181">
            <v>21.123889999999999</v>
          </cell>
          <cell r="H1181">
            <v>0</v>
          </cell>
          <cell r="I1181">
            <v>0</v>
          </cell>
          <cell r="J1181">
            <v>1008</v>
          </cell>
          <cell r="K1181">
            <v>21292.880000000001</v>
          </cell>
          <cell r="L1181" t="str">
            <v>借</v>
          </cell>
          <cell r="M1181">
            <v>1311</v>
          </cell>
          <cell r="N1181">
            <v>0</v>
          </cell>
          <cell r="O1181">
            <v>19243.87</v>
          </cell>
        </row>
        <row r="1182">
          <cell r="A1182" t="str">
            <v>12</v>
          </cell>
          <cell r="B1182" t="str">
            <v>11</v>
          </cell>
          <cell r="C1182" t="str">
            <v>记-0036</v>
          </cell>
          <cell r="D1182" t="str">
            <v>065</v>
          </cell>
          <cell r="E1182" t="str">
            <v>燕盏肉</v>
          </cell>
          <cell r="F1182" t="str">
            <v>结转成本</v>
          </cell>
          <cell r="G1182">
            <v>21.123899999999999</v>
          </cell>
          <cell r="H1182">
            <v>0</v>
          </cell>
          <cell r="I1182">
            <v>0</v>
          </cell>
          <cell r="J1182">
            <v>911</v>
          </cell>
          <cell r="K1182">
            <v>19243.87</v>
          </cell>
          <cell r="L1182" t="str">
            <v>平</v>
          </cell>
          <cell r="M1182">
            <v>400</v>
          </cell>
          <cell r="N1182">
            <v>0</v>
          </cell>
          <cell r="O1182">
            <v>0</v>
          </cell>
        </row>
        <row r="1183">
          <cell r="A1183" t="str">
            <v>12</v>
          </cell>
          <cell r="B1183" t="str">
            <v>31</v>
          </cell>
          <cell r="C1183" t="str">
            <v>记-0166</v>
          </cell>
          <cell r="D1183" t="str">
            <v>065</v>
          </cell>
          <cell r="E1183" t="str">
            <v>燕盏肉</v>
          </cell>
          <cell r="F1183" t="str">
            <v>调整7月47号凭</v>
          </cell>
          <cell r="G1183">
            <v>0</v>
          </cell>
          <cell r="H1183">
            <v>0</v>
          </cell>
          <cell r="I1183">
            <v>0</v>
          </cell>
          <cell r="J1183">
            <v>0</v>
          </cell>
          <cell r="K1183">
            <v>-8787.5400000000009</v>
          </cell>
          <cell r="L1183" t="str">
            <v>借</v>
          </cell>
          <cell r="M1183">
            <v>400</v>
          </cell>
          <cell r="N1183">
            <v>0</v>
          </cell>
          <cell r="O1183">
            <v>8787.5400000000009</v>
          </cell>
        </row>
        <row r="1184">
          <cell r="A1184" t="str">
            <v>12</v>
          </cell>
          <cell r="B1184" t="str">
            <v>31</v>
          </cell>
          <cell r="C1184" t="str">
            <v>记-0166</v>
          </cell>
          <cell r="D1184" t="str">
            <v>065</v>
          </cell>
          <cell r="E1184" t="str">
            <v>燕盏肉</v>
          </cell>
          <cell r="F1184" t="str">
            <v>调整7月47号凭</v>
          </cell>
          <cell r="G1184">
            <v>21.96885</v>
          </cell>
          <cell r="H1184">
            <v>0</v>
          </cell>
          <cell r="I1184">
            <v>0</v>
          </cell>
          <cell r="J1184">
            <v>400</v>
          </cell>
          <cell r="K1184">
            <v>8787.5400000000009</v>
          </cell>
          <cell r="L1184" t="str">
            <v>平</v>
          </cell>
          <cell r="M1184">
            <v>0</v>
          </cell>
          <cell r="N1184">
            <v>0</v>
          </cell>
          <cell r="O1184">
            <v>0</v>
          </cell>
        </row>
        <row r="1185">
          <cell r="A1185" t="str">
            <v>12</v>
          </cell>
          <cell r="F1185" t="str">
            <v>本月合计</v>
          </cell>
          <cell r="G1185">
            <v>0</v>
          </cell>
          <cell r="H1185">
            <v>2416.4</v>
          </cell>
          <cell r="I1185">
            <v>51043.77</v>
          </cell>
          <cell r="J1185">
            <v>2816.4</v>
          </cell>
          <cell r="K1185">
            <v>51043.77</v>
          </cell>
          <cell r="L1185" t="str">
            <v>平</v>
          </cell>
          <cell r="M1185">
            <v>0</v>
          </cell>
          <cell r="N1185">
            <v>0</v>
          </cell>
          <cell r="O1185">
            <v>0</v>
          </cell>
        </row>
        <row r="1186">
          <cell r="A1186" t="str">
            <v>12</v>
          </cell>
          <cell r="E1186" t="str">
            <v>燕盏肉</v>
          </cell>
          <cell r="F1186" t="str">
            <v>本年累计</v>
          </cell>
          <cell r="G1186">
            <v>0</v>
          </cell>
          <cell r="H1186">
            <v>6501.7</v>
          </cell>
          <cell r="I1186">
            <v>137749.46</v>
          </cell>
          <cell r="J1186">
            <v>6501.7</v>
          </cell>
          <cell r="K1186">
            <v>137749.46</v>
          </cell>
          <cell r="L1186" t="str">
            <v>平</v>
          </cell>
          <cell r="M1186">
            <v>0</v>
          </cell>
          <cell r="N1186">
            <v>0</v>
          </cell>
          <cell r="O1186">
            <v>0</v>
          </cell>
        </row>
        <row r="1187">
          <cell r="A1187" t="str">
            <v>01</v>
          </cell>
          <cell r="B1187" t="str">
            <v>31</v>
          </cell>
          <cell r="C1187" t="str">
            <v>记-0030</v>
          </cell>
          <cell r="D1187" t="str">
            <v>066</v>
          </cell>
          <cell r="E1187" t="str">
            <v>龙牙燕条</v>
          </cell>
          <cell r="F1187" t="str">
            <v>收购产品</v>
          </cell>
          <cell r="G1187">
            <v>33.798279999999998</v>
          </cell>
          <cell r="H1187">
            <v>87</v>
          </cell>
          <cell r="I1187">
            <v>2940.45</v>
          </cell>
          <cell r="J1187">
            <v>0</v>
          </cell>
          <cell r="K1187">
            <v>0</v>
          </cell>
          <cell r="L1187" t="str">
            <v>借</v>
          </cell>
          <cell r="M1187">
            <v>87</v>
          </cell>
          <cell r="N1187">
            <v>0</v>
          </cell>
          <cell r="O1187">
            <v>2940.45</v>
          </cell>
        </row>
        <row r="1188">
          <cell r="A1188" t="str">
            <v>01</v>
          </cell>
          <cell r="B1188" t="str">
            <v>31</v>
          </cell>
          <cell r="C1188" t="str">
            <v>记-0044</v>
          </cell>
          <cell r="D1188" t="str">
            <v>066</v>
          </cell>
          <cell r="E1188" t="str">
            <v>龙牙燕条</v>
          </cell>
          <cell r="F1188" t="str">
            <v>结转销售成本</v>
          </cell>
          <cell r="G1188">
            <v>33.798279999999998</v>
          </cell>
          <cell r="H1188">
            <v>0</v>
          </cell>
          <cell r="I1188">
            <v>0</v>
          </cell>
          <cell r="J1188">
            <v>87</v>
          </cell>
          <cell r="K1188">
            <v>2940.45</v>
          </cell>
          <cell r="L1188" t="str">
            <v>平</v>
          </cell>
          <cell r="M1188">
            <v>0</v>
          </cell>
          <cell r="N1188">
            <v>0</v>
          </cell>
          <cell r="O1188">
            <v>0</v>
          </cell>
        </row>
        <row r="1189">
          <cell r="A1189" t="str">
            <v>01</v>
          </cell>
          <cell r="F1189" t="str">
            <v>本月合计</v>
          </cell>
          <cell r="G1189">
            <v>0</v>
          </cell>
          <cell r="H1189">
            <v>87</v>
          </cell>
          <cell r="I1189">
            <v>2940.45</v>
          </cell>
          <cell r="J1189">
            <v>87</v>
          </cell>
          <cell r="K1189">
            <v>2940.45</v>
          </cell>
          <cell r="L1189" t="str">
            <v>平</v>
          </cell>
          <cell r="M1189">
            <v>0</v>
          </cell>
          <cell r="N1189">
            <v>0</v>
          </cell>
          <cell r="O1189">
            <v>0</v>
          </cell>
        </row>
        <row r="1190">
          <cell r="A1190" t="str">
            <v>01</v>
          </cell>
          <cell r="F1190" t="str">
            <v>累    计</v>
          </cell>
          <cell r="G1190">
            <v>0</v>
          </cell>
          <cell r="H1190">
            <v>87</v>
          </cell>
          <cell r="I1190">
            <v>2940.45</v>
          </cell>
          <cell r="J1190">
            <v>87</v>
          </cell>
          <cell r="K1190">
            <v>2940.45</v>
          </cell>
          <cell r="L1190" t="str">
            <v>平</v>
          </cell>
          <cell r="M1190">
            <v>0</v>
          </cell>
          <cell r="N1190">
            <v>0</v>
          </cell>
          <cell r="O1190">
            <v>0</v>
          </cell>
        </row>
        <row r="1191">
          <cell r="A1191" t="str">
            <v>02</v>
          </cell>
          <cell r="B1191" t="str">
            <v>28</v>
          </cell>
          <cell r="C1191" t="str">
            <v>记-0060</v>
          </cell>
          <cell r="D1191" t="str">
            <v>066</v>
          </cell>
          <cell r="E1191" t="str">
            <v>龙牙燕条</v>
          </cell>
          <cell r="F1191" t="str">
            <v>结转成本</v>
          </cell>
          <cell r="G1191">
            <v>29.319970000000001</v>
          </cell>
          <cell r="H1191">
            <v>0</v>
          </cell>
          <cell r="I1191">
            <v>0</v>
          </cell>
          <cell r="J1191">
            <v>1320.1</v>
          </cell>
          <cell r="K1191">
            <v>38705.29</v>
          </cell>
          <cell r="L1191" t="str">
            <v>贷</v>
          </cell>
          <cell r="M1191">
            <v>1320.1</v>
          </cell>
          <cell r="N1191">
            <v>0</v>
          </cell>
          <cell r="O1191">
            <v>38705.29</v>
          </cell>
        </row>
        <row r="1192">
          <cell r="A1192" t="str">
            <v>02</v>
          </cell>
          <cell r="B1192" t="str">
            <v>28</v>
          </cell>
          <cell r="C1192" t="str">
            <v>记-0060</v>
          </cell>
          <cell r="D1192" t="str">
            <v>066</v>
          </cell>
          <cell r="E1192" t="str">
            <v>龙牙燕条</v>
          </cell>
          <cell r="F1192" t="str">
            <v>销售商品</v>
          </cell>
          <cell r="G1192">
            <v>28.7285</v>
          </cell>
          <cell r="H1192">
            <v>0</v>
          </cell>
          <cell r="I1192">
            <v>0</v>
          </cell>
          <cell r="J1192">
            <v>200</v>
          </cell>
          <cell r="K1192">
            <v>5745.7</v>
          </cell>
          <cell r="L1192" t="str">
            <v>贷</v>
          </cell>
          <cell r="M1192">
            <v>1520.1</v>
          </cell>
          <cell r="N1192">
            <v>0</v>
          </cell>
          <cell r="O1192">
            <v>44450.99</v>
          </cell>
        </row>
        <row r="1193">
          <cell r="A1193" t="str">
            <v>02</v>
          </cell>
          <cell r="B1193" t="str">
            <v>28</v>
          </cell>
          <cell r="C1193" t="str">
            <v>记-0067</v>
          </cell>
          <cell r="D1193" t="str">
            <v>066</v>
          </cell>
          <cell r="E1193" t="str">
            <v>龙牙燕条</v>
          </cell>
          <cell r="F1193" t="str">
            <v>收购产品</v>
          </cell>
          <cell r="G1193">
            <v>29.319970000000001</v>
          </cell>
          <cell r="H1193">
            <v>1320.1</v>
          </cell>
          <cell r="I1193">
            <v>38705.29</v>
          </cell>
          <cell r="J1193">
            <v>0</v>
          </cell>
          <cell r="K1193">
            <v>0</v>
          </cell>
          <cell r="L1193" t="str">
            <v>贷</v>
          </cell>
          <cell r="M1193">
            <v>200</v>
          </cell>
          <cell r="N1193">
            <v>0</v>
          </cell>
          <cell r="O1193">
            <v>5745.7</v>
          </cell>
        </row>
        <row r="1194">
          <cell r="A1194" t="str">
            <v>02</v>
          </cell>
          <cell r="B1194" t="str">
            <v>28</v>
          </cell>
          <cell r="C1194" t="str">
            <v>记-0067</v>
          </cell>
          <cell r="D1194" t="str">
            <v>066</v>
          </cell>
          <cell r="E1194" t="str">
            <v>龙牙燕条</v>
          </cell>
          <cell r="F1194" t="str">
            <v>收购产品</v>
          </cell>
          <cell r="G1194">
            <v>28.7285</v>
          </cell>
          <cell r="H1194">
            <v>200</v>
          </cell>
          <cell r="I1194">
            <v>5745.7</v>
          </cell>
          <cell r="J1194">
            <v>0</v>
          </cell>
          <cell r="K1194">
            <v>0</v>
          </cell>
          <cell r="L1194" t="str">
            <v>平</v>
          </cell>
          <cell r="M1194">
            <v>0</v>
          </cell>
          <cell r="N1194">
            <v>0</v>
          </cell>
          <cell r="O1194">
            <v>0</v>
          </cell>
        </row>
        <row r="1195">
          <cell r="A1195" t="str">
            <v>02</v>
          </cell>
          <cell r="F1195" t="str">
            <v>本月合计</v>
          </cell>
          <cell r="G1195">
            <v>0</v>
          </cell>
          <cell r="H1195">
            <v>1520.1</v>
          </cell>
          <cell r="I1195">
            <v>44450.99</v>
          </cell>
          <cell r="J1195">
            <v>1520.1</v>
          </cell>
          <cell r="K1195">
            <v>44450.99</v>
          </cell>
          <cell r="L1195" t="str">
            <v>平</v>
          </cell>
          <cell r="M1195">
            <v>0</v>
          </cell>
          <cell r="N1195">
            <v>0</v>
          </cell>
          <cell r="O1195">
            <v>0</v>
          </cell>
        </row>
        <row r="1196">
          <cell r="A1196" t="str">
            <v>02</v>
          </cell>
          <cell r="F1196" t="str">
            <v>累    计</v>
          </cell>
          <cell r="G1196">
            <v>0</v>
          </cell>
          <cell r="H1196">
            <v>1607.1</v>
          </cell>
          <cell r="I1196">
            <v>47391.44</v>
          </cell>
          <cell r="J1196">
            <v>1607.1</v>
          </cell>
          <cell r="K1196">
            <v>47391.44</v>
          </cell>
          <cell r="L1196" t="str">
            <v>平</v>
          </cell>
          <cell r="M1196">
            <v>0</v>
          </cell>
          <cell r="N1196">
            <v>0</v>
          </cell>
          <cell r="O1196">
            <v>0</v>
          </cell>
        </row>
        <row r="1197">
          <cell r="A1197" t="str">
            <v>04</v>
          </cell>
          <cell r="B1197" t="str">
            <v>30</v>
          </cell>
          <cell r="C1197" t="str">
            <v>记-0041</v>
          </cell>
          <cell r="D1197" t="str">
            <v>066</v>
          </cell>
          <cell r="E1197" t="str">
            <v>龙牙燕条</v>
          </cell>
          <cell r="F1197" t="str">
            <v>收购产品</v>
          </cell>
          <cell r="G1197">
            <v>28.7285</v>
          </cell>
          <cell r="H1197">
            <v>1000</v>
          </cell>
          <cell r="I1197">
            <v>28728.5</v>
          </cell>
          <cell r="J1197">
            <v>0</v>
          </cell>
          <cell r="K1197">
            <v>0</v>
          </cell>
          <cell r="L1197" t="str">
            <v>借</v>
          </cell>
          <cell r="M1197">
            <v>1000</v>
          </cell>
          <cell r="N1197">
            <v>0</v>
          </cell>
          <cell r="O1197">
            <v>28728.5</v>
          </cell>
        </row>
        <row r="1198">
          <cell r="A1198" t="str">
            <v>04</v>
          </cell>
          <cell r="B1198" t="str">
            <v>30</v>
          </cell>
          <cell r="C1198" t="str">
            <v>记-0042</v>
          </cell>
          <cell r="D1198" t="str">
            <v>066</v>
          </cell>
          <cell r="E1198" t="str">
            <v>龙牙燕条</v>
          </cell>
          <cell r="F1198" t="str">
            <v>收购产品</v>
          </cell>
          <cell r="G1198">
            <v>30.418420000000001</v>
          </cell>
          <cell r="H1198">
            <v>303</v>
          </cell>
          <cell r="I1198">
            <v>9216.7800000000007</v>
          </cell>
          <cell r="J1198">
            <v>0</v>
          </cell>
          <cell r="K1198">
            <v>0</v>
          </cell>
          <cell r="L1198" t="str">
            <v>借</v>
          </cell>
          <cell r="M1198">
            <v>1303</v>
          </cell>
          <cell r="N1198">
            <v>0</v>
          </cell>
          <cell r="O1198">
            <v>37945.279999999999</v>
          </cell>
        </row>
        <row r="1199">
          <cell r="A1199" t="str">
            <v>04</v>
          </cell>
          <cell r="B1199" t="str">
            <v>30</v>
          </cell>
          <cell r="C1199" t="str">
            <v>记-0043</v>
          </cell>
          <cell r="D1199" t="str">
            <v>066</v>
          </cell>
          <cell r="E1199" t="str">
            <v>龙牙燕条</v>
          </cell>
          <cell r="F1199" t="str">
            <v>收购产品</v>
          </cell>
          <cell r="G1199">
            <v>28.7285</v>
          </cell>
          <cell r="H1199">
            <v>800</v>
          </cell>
          <cell r="I1199">
            <v>22982.799999999999</v>
          </cell>
          <cell r="J1199">
            <v>0</v>
          </cell>
          <cell r="K1199">
            <v>0</v>
          </cell>
          <cell r="L1199" t="str">
            <v>借</v>
          </cell>
          <cell r="M1199">
            <v>2103</v>
          </cell>
          <cell r="N1199">
            <v>0</v>
          </cell>
          <cell r="O1199">
            <v>60928.08</v>
          </cell>
        </row>
        <row r="1200">
          <cell r="A1200" t="str">
            <v>04</v>
          </cell>
          <cell r="B1200" t="str">
            <v>30</v>
          </cell>
          <cell r="C1200" t="str">
            <v>记-0044</v>
          </cell>
          <cell r="D1200" t="str">
            <v>066</v>
          </cell>
          <cell r="E1200" t="str">
            <v>龙牙燕条</v>
          </cell>
          <cell r="F1200" t="str">
            <v>转成本</v>
          </cell>
          <cell r="G1200">
            <v>30.418420000000001</v>
          </cell>
          <cell r="H1200">
            <v>0</v>
          </cell>
          <cell r="I1200">
            <v>0</v>
          </cell>
          <cell r="J1200">
            <v>303</v>
          </cell>
          <cell r="K1200">
            <v>9216.7800000000007</v>
          </cell>
          <cell r="L1200" t="str">
            <v>借</v>
          </cell>
          <cell r="M1200">
            <v>1800</v>
          </cell>
          <cell r="N1200">
            <v>0</v>
          </cell>
          <cell r="O1200">
            <v>51711.3</v>
          </cell>
        </row>
        <row r="1201">
          <cell r="A1201" t="str">
            <v>04</v>
          </cell>
          <cell r="B1201" t="str">
            <v>30</v>
          </cell>
          <cell r="C1201" t="str">
            <v>记-0045</v>
          </cell>
          <cell r="D1201" t="str">
            <v>066</v>
          </cell>
          <cell r="E1201" t="str">
            <v>龙牙燕条</v>
          </cell>
          <cell r="F1201" t="str">
            <v>转成本</v>
          </cell>
          <cell r="G1201">
            <v>28.7285</v>
          </cell>
          <cell r="H1201">
            <v>0</v>
          </cell>
          <cell r="I1201">
            <v>0</v>
          </cell>
          <cell r="J1201">
            <v>1000</v>
          </cell>
          <cell r="K1201">
            <v>28728.5</v>
          </cell>
          <cell r="L1201" t="str">
            <v>借</v>
          </cell>
          <cell r="M1201">
            <v>800</v>
          </cell>
          <cell r="N1201">
            <v>0</v>
          </cell>
          <cell r="O1201">
            <v>22982.799999999999</v>
          </cell>
        </row>
        <row r="1202">
          <cell r="A1202" t="str">
            <v>04</v>
          </cell>
          <cell r="B1202" t="str">
            <v>30</v>
          </cell>
          <cell r="C1202" t="str">
            <v>记-0046</v>
          </cell>
          <cell r="D1202" t="str">
            <v>066</v>
          </cell>
          <cell r="E1202" t="str">
            <v>龙牙燕条</v>
          </cell>
          <cell r="F1202" t="str">
            <v>转成本</v>
          </cell>
          <cell r="G1202">
            <v>28.7285</v>
          </cell>
          <cell r="H1202">
            <v>0</v>
          </cell>
          <cell r="I1202">
            <v>0</v>
          </cell>
          <cell r="J1202">
            <v>800</v>
          </cell>
          <cell r="K1202">
            <v>22982.799999999999</v>
          </cell>
          <cell r="L1202" t="str">
            <v>平</v>
          </cell>
          <cell r="M1202">
            <v>0</v>
          </cell>
          <cell r="N1202">
            <v>0</v>
          </cell>
          <cell r="O1202">
            <v>0</v>
          </cell>
        </row>
        <row r="1203">
          <cell r="A1203" t="str">
            <v>04</v>
          </cell>
          <cell r="F1203" t="str">
            <v>本月合计</v>
          </cell>
          <cell r="G1203">
            <v>0</v>
          </cell>
          <cell r="H1203">
            <v>2103</v>
          </cell>
          <cell r="I1203">
            <v>60928.08</v>
          </cell>
          <cell r="J1203">
            <v>2103</v>
          </cell>
          <cell r="K1203">
            <v>60928.08</v>
          </cell>
          <cell r="L1203" t="str">
            <v>平</v>
          </cell>
          <cell r="M1203">
            <v>0</v>
          </cell>
          <cell r="N1203">
            <v>0</v>
          </cell>
          <cell r="O1203">
            <v>0</v>
          </cell>
        </row>
        <row r="1204">
          <cell r="A1204" t="str">
            <v>04</v>
          </cell>
          <cell r="F1204" t="str">
            <v>累    计</v>
          </cell>
          <cell r="G1204">
            <v>0</v>
          </cell>
          <cell r="H1204">
            <v>3710.1</v>
          </cell>
          <cell r="I1204">
            <v>108319.52</v>
          </cell>
          <cell r="J1204">
            <v>3710.1</v>
          </cell>
          <cell r="K1204">
            <v>108319.52</v>
          </cell>
          <cell r="L1204" t="str">
            <v>平</v>
          </cell>
          <cell r="M1204">
            <v>0</v>
          </cell>
          <cell r="N1204">
            <v>0</v>
          </cell>
          <cell r="O1204">
            <v>0</v>
          </cell>
        </row>
        <row r="1205">
          <cell r="A1205" t="str">
            <v>05</v>
          </cell>
          <cell r="B1205" t="str">
            <v>31</v>
          </cell>
          <cell r="C1205" t="str">
            <v>记-0084</v>
          </cell>
          <cell r="D1205" t="str">
            <v>066</v>
          </cell>
          <cell r="E1205" t="str">
            <v>龙牙燕条</v>
          </cell>
          <cell r="F1205" t="str">
            <v>调整4月41号凭</v>
          </cell>
          <cell r="G1205">
            <v>28.7285</v>
          </cell>
          <cell r="H1205">
            <v>-1000</v>
          </cell>
          <cell r="I1205">
            <v>-28728.5</v>
          </cell>
          <cell r="J1205">
            <v>0</v>
          </cell>
          <cell r="K1205">
            <v>0</v>
          </cell>
          <cell r="L1205" t="str">
            <v>贷</v>
          </cell>
          <cell r="M1205">
            <v>1000</v>
          </cell>
          <cell r="N1205">
            <v>0</v>
          </cell>
          <cell r="O1205">
            <v>28728.5</v>
          </cell>
        </row>
        <row r="1206">
          <cell r="A1206" t="str">
            <v>05</v>
          </cell>
          <cell r="B1206" t="str">
            <v>31</v>
          </cell>
          <cell r="C1206" t="str">
            <v>记-0085</v>
          </cell>
          <cell r="D1206" t="str">
            <v>066</v>
          </cell>
          <cell r="E1206" t="str">
            <v>龙牙燕条</v>
          </cell>
          <cell r="F1206" t="str">
            <v>调整4月41号凭</v>
          </cell>
          <cell r="G1206">
            <v>28.7285</v>
          </cell>
          <cell r="H1206">
            <v>1000</v>
          </cell>
          <cell r="I1206">
            <v>28728.5</v>
          </cell>
          <cell r="J1206">
            <v>0</v>
          </cell>
          <cell r="K1206">
            <v>0</v>
          </cell>
          <cell r="L1206" t="str">
            <v>平</v>
          </cell>
          <cell r="M1206">
            <v>0</v>
          </cell>
          <cell r="N1206">
            <v>0</v>
          </cell>
          <cell r="O1206">
            <v>0</v>
          </cell>
        </row>
        <row r="1207">
          <cell r="A1207" t="str">
            <v>05</v>
          </cell>
          <cell r="F1207" t="str">
            <v>本月合计</v>
          </cell>
          <cell r="G1207">
            <v>0</v>
          </cell>
          <cell r="H1207">
            <v>0</v>
          </cell>
          <cell r="I1207">
            <v>0</v>
          </cell>
          <cell r="J1207">
            <v>0</v>
          </cell>
          <cell r="K1207">
            <v>0</v>
          </cell>
          <cell r="L1207" t="str">
            <v>平</v>
          </cell>
          <cell r="M1207">
            <v>0</v>
          </cell>
          <cell r="N1207">
            <v>0</v>
          </cell>
          <cell r="O1207">
            <v>0</v>
          </cell>
        </row>
        <row r="1208">
          <cell r="A1208" t="str">
            <v>05</v>
          </cell>
          <cell r="F1208" t="str">
            <v>累    计</v>
          </cell>
          <cell r="G1208">
            <v>0</v>
          </cell>
          <cell r="H1208">
            <v>3710.1</v>
          </cell>
          <cell r="I1208">
            <v>108319.52</v>
          </cell>
          <cell r="J1208">
            <v>3710.1</v>
          </cell>
          <cell r="K1208">
            <v>108319.52</v>
          </cell>
          <cell r="L1208" t="str">
            <v>平</v>
          </cell>
          <cell r="M1208">
            <v>0</v>
          </cell>
          <cell r="N1208">
            <v>0</v>
          </cell>
          <cell r="O1208">
            <v>0</v>
          </cell>
        </row>
        <row r="1209">
          <cell r="A1209" t="str">
            <v>07</v>
          </cell>
          <cell r="B1209" t="str">
            <v>22</v>
          </cell>
          <cell r="C1209" t="str">
            <v>记-0047</v>
          </cell>
          <cell r="D1209" t="str">
            <v>066</v>
          </cell>
          <cell r="E1209" t="str">
            <v>龙牙燕条</v>
          </cell>
          <cell r="F1209" t="str">
            <v>结转成本</v>
          </cell>
          <cell r="G1209">
            <v>0</v>
          </cell>
          <cell r="H1209">
            <v>0</v>
          </cell>
          <cell r="I1209">
            <v>0</v>
          </cell>
          <cell r="J1209">
            <v>0</v>
          </cell>
          <cell r="K1209">
            <v>8721.08</v>
          </cell>
          <cell r="L1209" t="str">
            <v>贷</v>
          </cell>
          <cell r="M1209">
            <v>0</v>
          </cell>
          <cell r="N1209">
            <v>0</v>
          </cell>
          <cell r="O1209">
            <v>8721.08</v>
          </cell>
        </row>
        <row r="1210">
          <cell r="A1210" t="str">
            <v>07</v>
          </cell>
          <cell r="B1210" t="str">
            <v>22</v>
          </cell>
          <cell r="C1210" t="str">
            <v>记-0052</v>
          </cell>
          <cell r="D1210" t="str">
            <v>066</v>
          </cell>
          <cell r="E1210" t="str">
            <v>龙牙燕条</v>
          </cell>
          <cell r="F1210" t="str">
            <v>结转成本</v>
          </cell>
          <cell r="G1210">
            <v>27.88354</v>
          </cell>
          <cell r="H1210">
            <v>0</v>
          </cell>
          <cell r="I1210">
            <v>0</v>
          </cell>
          <cell r="J1210">
            <v>209</v>
          </cell>
          <cell r="K1210">
            <v>5827.66</v>
          </cell>
          <cell r="L1210" t="str">
            <v>贷</v>
          </cell>
          <cell r="M1210">
            <v>209</v>
          </cell>
          <cell r="N1210">
            <v>0</v>
          </cell>
          <cell r="O1210">
            <v>14548.74</v>
          </cell>
        </row>
        <row r="1211">
          <cell r="A1211" t="str">
            <v>07</v>
          </cell>
          <cell r="B1211" t="str">
            <v>22</v>
          </cell>
          <cell r="C1211" t="str">
            <v>记-0054</v>
          </cell>
          <cell r="D1211" t="str">
            <v>066</v>
          </cell>
          <cell r="E1211" t="str">
            <v>龙牙燕条</v>
          </cell>
          <cell r="F1211" t="str">
            <v>收购产品</v>
          </cell>
          <cell r="G1211">
            <v>27.88354</v>
          </cell>
          <cell r="H1211">
            <v>209</v>
          </cell>
          <cell r="I1211">
            <v>5827.66</v>
          </cell>
          <cell r="J1211">
            <v>0</v>
          </cell>
          <cell r="K1211">
            <v>0</v>
          </cell>
          <cell r="L1211" t="str">
            <v>贷</v>
          </cell>
          <cell r="M1211">
            <v>0</v>
          </cell>
          <cell r="N1211">
            <v>0</v>
          </cell>
          <cell r="O1211">
            <v>8721.08</v>
          </cell>
        </row>
        <row r="1212">
          <cell r="A1212" t="str">
            <v>07</v>
          </cell>
          <cell r="B1212" t="str">
            <v>22</v>
          </cell>
          <cell r="C1212" t="str">
            <v>记-0058</v>
          </cell>
          <cell r="D1212" t="str">
            <v>066</v>
          </cell>
          <cell r="E1212" t="str">
            <v>龙牙燕条</v>
          </cell>
          <cell r="F1212" t="str">
            <v>收购产品</v>
          </cell>
          <cell r="G1212">
            <v>28.306000000000001</v>
          </cell>
          <cell r="H1212">
            <v>308.10000000000002</v>
          </cell>
          <cell r="I1212">
            <v>8721.08</v>
          </cell>
          <cell r="J1212">
            <v>0</v>
          </cell>
          <cell r="K1212">
            <v>0</v>
          </cell>
          <cell r="L1212" t="str">
            <v>平</v>
          </cell>
          <cell r="M1212">
            <v>308.10000000000002</v>
          </cell>
          <cell r="N1212">
            <v>0</v>
          </cell>
          <cell r="O1212">
            <v>0</v>
          </cell>
        </row>
        <row r="1213">
          <cell r="A1213" t="str">
            <v>07</v>
          </cell>
          <cell r="F1213" t="str">
            <v>本月合计</v>
          </cell>
          <cell r="G1213">
            <v>0</v>
          </cell>
          <cell r="H1213">
            <v>517.1</v>
          </cell>
          <cell r="I1213">
            <v>14548.74</v>
          </cell>
          <cell r="J1213">
            <v>209</v>
          </cell>
          <cell r="K1213">
            <v>14548.74</v>
          </cell>
          <cell r="L1213" t="str">
            <v>平</v>
          </cell>
          <cell r="M1213">
            <v>308.10000000000002</v>
          </cell>
          <cell r="N1213">
            <v>0</v>
          </cell>
          <cell r="O1213">
            <v>0</v>
          </cell>
        </row>
        <row r="1214">
          <cell r="A1214" t="str">
            <v>07</v>
          </cell>
          <cell r="F1214" t="str">
            <v>累    计</v>
          </cell>
          <cell r="G1214">
            <v>0</v>
          </cell>
          <cell r="H1214">
            <v>4227.2</v>
          </cell>
          <cell r="I1214">
            <v>122868.26</v>
          </cell>
          <cell r="J1214">
            <v>3919.1</v>
          </cell>
          <cell r="K1214">
            <v>122868.26</v>
          </cell>
          <cell r="L1214" t="str">
            <v>平</v>
          </cell>
          <cell r="M1214">
            <v>308.10000000000002</v>
          </cell>
          <cell r="N1214">
            <v>0</v>
          </cell>
          <cell r="O1214">
            <v>0</v>
          </cell>
        </row>
        <row r="1215">
          <cell r="A1215" t="str">
            <v>09</v>
          </cell>
          <cell r="B1215" t="str">
            <v>22</v>
          </cell>
          <cell r="C1215" t="str">
            <v>记-0049</v>
          </cell>
          <cell r="D1215" t="str">
            <v>066</v>
          </cell>
          <cell r="E1215" t="str">
            <v>龙牙燕条</v>
          </cell>
          <cell r="F1215" t="str">
            <v>结转成本</v>
          </cell>
          <cell r="G1215">
            <v>26.193629999999999</v>
          </cell>
          <cell r="H1215">
            <v>0</v>
          </cell>
          <cell r="I1215">
            <v>0</v>
          </cell>
          <cell r="J1215">
            <v>400</v>
          </cell>
          <cell r="K1215">
            <v>10477.450000000001</v>
          </cell>
          <cell r="L1215" t="str">
            <v>贷</v>
          </cell>
          <cell r="M1215">
            <v>91.9</v>
          </cell>
          <cell r="N1215">
            <v>0</v>
          </cell>
          <cell r="O1215">
            <v>10477.450000000001</v>
          </cell>
        </row>
        <row r="1216">
          <cell r="A1216" t="str">
            <v>09</v>
          </cell>
          <cell r="B1216" t="str">
            <v>22</v>
          </cell>
          <cell r="C1216" t="str">
            <v>记-0050</v>
          </cell>
          <cell r="D1216" t="str">
            <v>066</v>
          </cell>
          <cell r="E1216" t="str">
            <v>龙牙燕条</v>
          </cell>
          <cell r="F1216" t="str">
            <v>结转成本</v>
          </cell>
          <cell r="G1216">
            <v>26.193629999999999</v>
          </cell>
          <cell r="H1216">
            <v>0</v>
          </cell>
          <cell r="I1216">
            <v>0</v>
          </cell>
          <cell r="J1216">
            <v>300</v>
          </cell>
          <cell r="K1216">
            <v>7858.09</v>
          </cell>
          <cell r="L1216" t="str">
            <v>贷</v>
          </cell>
          <cell r="M1216">
            <v>391.9</v>
          </cell>
          <cell r="N1216">
            <v>0</v>
          </cell>
          <cell r="O1216">
            <v>18335.54</v>
          </cell>
        </row>
        <row r="1217">
          <cell r="A1217" t="str">
            <v>09</v>
          </cell>
          <cell r="B1217" t="str">
            <v>22</v>
          </cell>
          <cell r="C1217" t="str">
            <v>记-0051</v>
          </cell>
          <cell r="D1217" t="str">
            <v>066</v>
          </cell>
          <cell r="E1217" t="str">
            <v>龙牙燕条</v>
          </cell>
          <cell r="F1217" t="str">
            <v>收购产品</v>
          </cell>
          <cell r="G1217">
            <v>26.193629999999999</v>
          </cell>
          <cell r="H1217">
            <v>300</v>
          </cell>
          <cell r="I1217">
            <v>7858.09</v>
          </cell>
          <cell r="J1217">
            <v>0</v>
          </cell>
          <cell r="K1217">
            <v>0</v>
          </cell>
          <cell r="L1217" t="str">
            <v>贷</v>
          </cell>
          <cell r="M1217">
            <v>91.9</v>
          </cell>
          <cell r="N1217">
            <v>0</v>
          </cell>
          <cell r="O1217">
            <v>10477.450000000001</v>
          </cell>
        </row>
        <row r="1218">
          <cell r="A1218" t="str">
            <v>09</v>
          </cell>
          <cell r="B1218" t="str">
            <v>22</v>
          </cell>
          <cell r="C1218" t="str">
            <v>记-0052</v>
          </cell>
          <cell r="D1218" t="str">
            <v>066</v>
          </cell>
          <cell r="E1218" t="str">
            <v>龙牙燕条</v>
          </cell>
          <cell r="F1218" t="str">
            <v>收购产品</v>
          </cell>
          <cell r="G1218">
            <v>26.193629999999999</v>
          </cell>
          <cell r="H1218">
            <v>400</v>
          </cell>
          <cell r="I1218">
            <v>10477.450000000001</v>
          </cell>
          <cell r="J1218">
            <v>0</v>
          </cell>
          <cell r="K1218">
            <v>0</v>
          </cell>
          <cell r="L1218" t="str">
            <v>平</v>
          </cell>
          <cell r="M1218">
            <v>308.10000000000002</v>
          </cell>
          <cell r="N1218">
            <v>0</v>
          </cell>
          <cell r="O1218">
            <v>0</v>
          </cell>
        </row>
        <row r="1219">
          <cell r="A1219" t="str">
            <v>09</v>
          </cell>
          <cell r="F1219" t="str">
            <v>本月合计</v>
          </cell>
          <cell r="G1219">
            <v>0</v>
          </cell>
          <cell r="H1219">
            <v>700</v>
          </cell>
          <cell r="I1219">
            <v>18335.54</v>
          </cell>
          <cell r="J1219">
            <v>700</v>
          </cell>
          <cell r="K1219">
            <v>18335.54</v>
          </cell>
          <cell r="L1219" t="str">
            <v>平</v>
          </cell>
          <cell r="M1219">
            <v>308.10000000000002</v>
          </cell>
          <cell r="N1219">
            <v>0</v>
          </cell>
          <cell r="O1219">
            <v>0</v>
          </cell>
        </row>
        <row r="1220">
          <cell r="A1220" t="str">
            <v>09</v>
          </cell>
          <cell r="F1220" t="str">
            <v>累    计</v>
          </cell>
          <cell r="G1220">
            <v>0</v>
          </cell>
          <cell r="H1220">
            <v>4927.2</v>
          </cell>
          <cell r="I1220">
            <v>141203.79999999999</v>
          </cell>
          <cell r="J1220">
            <v>4619.1000000000004</v>
          </cell>
          <cell r="K1220">
            <v>141203.79999999999</v>
          </cell>
          <cell r="L1220" t="str">
            <v>平</v>
          </cell>
          <cell r="M1220">
            <v>308.10000000000002</v>
          </cell>
          <cell r="N1220">
            <v>0</v>
          </cell>
          <cell r="O1220">
            <v>0</v>
          </cell>
        </row>
        <row r="1221">
          <cell r="A1221" t="str">
            <v>12</v>
          </cell>
          <cell r="B1221" t="str">
            <v>11</v>
          </cell>
          <cell r="C1221" t="str">
            <v>记-0017</v>
          </cell>
          <cell r="D1221" t="str">
            <v>066</v>
          </cell>
          <cell r="E1221" t="str">
            <v>龙牙燕条</v>
          </cell>
          <cell r="F1221" t="str">
            <v>收购产品</v>
          </cell>
          <cell r="G1221">
            <v>28.643999999999998</v>
          </cell>
          <cell r="H1221">
            <v>580</v>
          </cell>
          <cell r="I1221">
            <v>16613.52</v>
          </cell>
          <cell r="J1221">
            <v>0</v>
          </cell>
          <cell r="K1221">
            <v>0</v>
          </cell>
          <cell r="L1221" t="str">
            <v>借</v>
          </cell>
          <cell r="M1221">
            <v>888.1</v>
          </cell>
          <cell r="N1221">
            <v>0</v>
          </cell>
          <cell r="O1221">
            <v>16613.52</v>
          </cell>
        </row>
        <row r="1222">
          <cell r="A1222" t="str">
            <v>12</v>
          </cell>
          <cell r="B1222" t="str">
            <v>11</v>
          </cell>
          <cell r="C1222" t="str">
            <v>记-0019</v>
          </cell>
          <cell r="D1222" t="str">
            <v>066</v>
          </cell>
          <cell r="E1222" t="str">
            <v>龙牙燕条</v>
          </cell>
          <cell r="F1222" t="str">
            <v>收购产品</v>
          </cell>
          <cell r="G1222">
            <v>28.643999999999998</v>
          </cell>
          <cell r="H1222">
            <v>300</v>
          </cell>
          <cell r="I1222">
            <v>8593.2000000000007</v>
          </cell>
          <cell r="J1222">
            <v>0</v>
          </cell>
          <cell r="K1222">
            <v>0</v>
          </cell>
          <cell r="L1222" t="str">
            <v>借</v>
          </cell>
          <cell r="M1222">
            <v>1188.0999999999999</v>
          </cell>
          <cell r="N1222">
            <v>0</v>
          </cell>
          <cell r="O1222">
            <v>25206.720000000001</v>
          </cell>
        </row>
        <row r="1223">
          <cell r="A1223" t="str">
            <v>12</v>
          </cell>
          <cell r="B1223" t="str">
            <v>11</v>
          </cell>
          <cell r="C1223" t="str">
            <v>记-0025</v>
          </cell>
          <cell r="D1223" t="str">
            <v>066</v>
          </cell>
          <cell r="E1223" t="str">
            <v>龙牙燕条</v>
          </cell>
          <cell r="F1223" t="str">
            <v>收购产品</v>
          </cell>
          <cell r="G1223">
            <v>28.643999999999998</v>
          </cell>
          <cell r="H1223">
            <v>610</v>
          </cell>
          <cell r="I1223">
            <v>17472.84</v>
          </cell>
          <cell r="J1223">
            <v>0</v>
          </cell>
          <cell r="K1223">
            <v>0</v>
          </cell>
          <cell r="L1223" t="str">
            <v>借</v>
          </cell>
          <cell r="M1223">
            <v>1798.1</v>
          </cell>
          <cell r="N1223">
            <v>0</v>
          </cell>
          <cell r="O1223">
            <v>42679.56</v>
          </cell>
        </row>
        <row r="1224">
          <cell r="A1224" t="str">
            <v>12</v>
          </cell>
          <cell r="B1224" t="str">
            <v>11</v>
          </cell>
          <cell r="C1224" t="str">
            <v>记-0027</v>
          </cell>
          <cell r="D1224" t="str">
            <v>066</v>
          </cell>
          <cell r="E1224" t="str">
            <v>龙牙燕条</v>
          </cell>
          <cell r="F1224" t="str">
            <v>结转成本</v>
          </cell>
          <cell r="G1224">
            <v>28.643999999999998</v>
          </cell>
          <cell r="H1224">
            <v>0</v>
          </cell>
          <cell r="I1224">
            <v>0</v>
          </cell>
          <cell r="J1224">
            <v>300</v>
          </cell>
          <cell r="K1224">
            <v>8593.2000000000007</v>
          </cell>
          <cell r="L1224" t="str">
            <v>借</v>
          </cell>
          <cell r="M1224">
            <v>1498.1</v>
          </cell>
          <cell r="N1224">
            <v>0</v>
          </cell>
          <cell r="O1224">
            <v>34086.36</v>
          </cell>
        </row>
        <row r="1225">
          <cell r="A1225" t="str">
            <v>12</v>
          </cell>
          <cell r="B1225" t="str">
            <v>11</v>
          </cell>
          <cell r="C1225" t="str">
            <v>记-0034</v>
          </cell>
          <cell r="D1225" t="str">
            <v>066</v>
          </cell>
          <cell r="E1225" t="str">
            <v>龙牙燕条</v>
          </cell>
          <cell r="F1225" t="str">
            <v>结转成本</v>
          </cell>
          <cell r="G1225">
            <v>28.643999999999998</v>
          </cell>
          <cell r="H1225">
            <v>0</v>
          </cell>
          <cell r="I1225">
            <v>0</v>
          </cell>
          <cell r="J1225">
            <v>610</v>
          </cell>
          <cell r="K1225">
            <v>17472.84</v>
          </cell>
          <cell r="L1225" t="str">
            <v>借</v>
          </cell>
          <cell r="M1225">
            <v>888.1</v>
          </cell>
          <cell r="N1225">
            <v>0</v>
          </cell>
          <cell r="O1225">
            <v>16613.52</v>
          </cell>
        </row>
        <row r="1226">
          <cell r="A1226" t="str">
            <v>12</v>
          </cell>
          <cell r="B1226" t="str">
            <v>11</v>
          </cell>
          <cell r="C1226" t="str">
            <v>记-0036</v>
          </cell>
          <cell r="D1226" t="str">
            <v>066</v>
          </cell>
          <cell r="E1226" t="str">
            <v>龙牙燕条</v>
          </cell>
          <cell r="F1226" t="str">
            <v>结转成本</v>
          </cell>
          <cell r="G1226">
            <v>28.643999999999998</v>
          </cell>
          <cell r="H1226">
            <v>0</v>
          </cell>
          <cell r="I1226">
            <v>0</v>
          </cell>
          <cell r="J1226">
            <v>580</v>
          </cell>
          <cell r="K1226">
            <v>16613.52</v>
          </cell>
          <cell r="L1226" t="str">
            <v>平</v>
          </cell>
          <cell r="M1226">
            <v>308.10000000000002</v>
          </cell>
          <cell r="N1226">
            <v>0</v>
          </cell>
          <cell r="O1226">
            <v>0</v>
          </cell>
        </row>
        <row r="1227">
          <cell r="A1227" t="str">
            <v>12</v>
          </cell>
          <cell r="B1227" t="str">
            <v>31</v>
          </cell>
          <cell r="C1227" t="str">
            <v>记-0167</v>
          </cell>
          <cell r="D1227" t="str">
            <v>066</v>
          </cell>
          <cell r="E1227" t="str">
            <v>龙牙燕条</v>
          </cell>
          <cell r="F1227" t="str">
            <v>调整7月47号凭</v>
          </cell>
          <cell r="G1227">
            <v>0</v>
          </cell>
          <cell r="H1227">
            <v>0</v>
          </cell>
          <cell r="I1227">
            <v>0</v>
          </cell>
          <cell r="J1227">
            <v>0</v>
          </cell>
          <cell r="K1227">
            <v>-8721.08</v>
          </cell>
          <cell r="L1227" t="str">
            <v>借</v>
          </cell>
          <cell r="M1227">
            <v>308.10000000000002</v>
          </cell>
          <cell r="N1227">
            <v>0</v>
          </cell>
          <cell r="O1227">
            <v>8721.08</v>
          </cell>
        </row>
        <row r="1228">
          <cell r="A1228" t="str">
            <v>12</v>
          </cell>
          <cell r="B1228" t="str">
            <v>31</v>
          </cell>
          <cell r="C1228" t="str">
            <v>记-0167</v>
          </cell>
          <cell r="D1228" t="str">
            <v>066</v>
          </cell>
          <cell r="E1228" t="str">
            <v>龙牙燕条</v>
          </cell>
          <cell r="F1228" t="str">
            <v>调整7月47号凭</v>
          </cell>
          <cell r="G1228">
            <v>28.306000000000001</v>
          </cell>
          <cell r="H1228">
            <v>0</v>
          </cell>
          <cell r="I1228">
            <v>0</v>
          </cell>
          <cell r="J1228">
            <v>308.10000000000002</v>
          </cell>
          <cell r="K1228">
            <v>8721.08</v>
          </cell>
          <cell r="L1228" t="str">
            <v>平</v>
          </cell>
          <cell r="M1228">
            <v>0</v>
          </cell>
          <cell r="N1228">
            <v>0</v>
          </cell>
          <cell r="O1228">
            <v>0</v>
          </cell>
        </row>
        <row r="1229">
          <cell r="A1229" t="str">
            <v>12</v>
          </cell>
          <cell r="F1229" t="str">
            <v>本月合计</v>
          </cell>
          <cell r="G1229">
            <v>0</v>
          </cell>
          <cell r="H1229">
            <v>1490</v>
          </cell>
          <cell r="I1229">
            <v>42679.56</v>
          </cell>
          <cell r="J1229">
            <v>1798.1</v>
          </cell>
          <cell r="K1229">
            <v>42679.56</v>
          </cell>
          <cell r="L1229" t="str">
            <v>平</v>
          </cell>
          <cell r="M1229">
            <v>0</v>
          </cell>
          <cell r="N1229">
            <v>0</v>
          </cell>
          <cell r="O1229">
            <v>0</v>
          </cell>
        </row>
        <row r="1230">
          <cell r="A1230" t="str">
            <v>12</v>
          </cell>
          <cell r="E1230" t="str">
            <v>龙牙燕条</v>
          </cell>
          <cell r="F1230" t="str">
            <v>本年累计</v>
          </cell>
          <cell r="G1230">
            <v>0</v>
          </cell>
          <cell r="H1230">
            <v>6417.2</v>
          </cell>
          <cell r="I1230">
            <v>183883.36</v>
          </cell>
          <cell r="J1230">
            <v>6417.2</v>
          </cell>
          <cell r="K1230">
            <v>183883.36</v>
          </cell>
          <cell r="L1230" t="str">
            <v>平</v>
          </cell>
          <cell r="M1230">
            <v>0</v>
          </cell>
          <cell r="N1230">
            <v>0</v>
          </cell>
          <cell r="O1230">
            <v>0</v>
          </cell>
        </row>
        <row r="1231">
          <cell r="A1231" t="str">
            <v>01</v>
          </cell>
          <cell r="B1231" t="str">
            <v>31</v>
          </cell>
          <cell r="C1231" t="str">
            <v>记-0030</v>
          </cell>
          <cell r="D1231" t="str">
            <v>067</v>
          </cell>
          <cell r="E1231" t="str">
            <v>龙牙燕盏</v>
          </cell>
          <cell r="F1231" t="str">
            <v>收购产品</v>
          </cell>
          <cell r="G1231">
            <v>51.457810000000002</v>
          </cell>
          <cell r="H1231">
            <v>720</v>
          </cell>
          <cell r="I1231">
            <v>37049.620000000003</v>
          </cell>
          <cell r="J1231">
            <v>0</v>
          </cell>
          <cell r="K1231">
            <v>0</v>
          </cell>
          <cell r="L1231" t="str">
            <v>借</v>
          </cell>
          <cell r="M1231">
            <v>720</v>
          </cell>
          <cell r="N1231">
            <v>0</v>
          </cell>
          <cell r="O1231">
            <v>37049.620000000003</v>
          </cell>
        </row>
        <row r="1232">
          <cell r="A1232" t="str">
            <v>01</v>
          </cell>
          <cell r="B1232" t="str">
            <v>31</v>
          </cell>
          <cell r="C1232" t="str">
            <v>记-0030</v>
          </cell>
          <cell r="D1232" t="str">
            <v>067</v>
          </cell>
          <cell r="E1232" t="str">
            <v>龙牙燕盏</v>
          </cell>
          <cell r="F1232" t="str">
            <v>收购产品</v>
          </cell>
          <cell r="G1232">
            <v>44.10669</v>
          </cell>
          <cell r="H1232">
            <v>700</v>
          </cell>
          <cell r="I1232">
            <v>30874.68</v>
          </cell>
          <cell r="J1232">
            <v>0</v>
          </cell>
          <cell r="K1232">
            <v>0</v>
          </cell>
          <cell r="L1232" t="str">
            <v>借</v>
          </cell>
          <cell r="M1232">
            <v>1420</v>
          </cell>
          <cell r="N1232">
            <v>0</v>
          </cell>
          <cell r="O1232">
            <v>67924.3</v>
          </cell>
        </row>
        <row r="1233">
          <cell r="A1233" t="str">
            <v>01</v>
          </cell>
          <cell r="B1233" t="str">
            <v>31</v>
          </cell>
          <cell r="C1233" t="str">
            <v>记-0044</v>
          </cell>
          <cell r="D1233" t="str">
            <v>067</v>
          </cell>
          <cell r="E1233" t="str">
            <v>龙牙燕盏</v>
          </cell>
          <cell r="F1233" t="str">
            <v>结转销售成本</v>
          </cell>
          <cell r="G1233">
            <v>51.457810000000002</v>
          </cell>
          <cell r="H1233">
            <v>0</v>
          </cell>
          <cell r="I1233">
            <v>0</v>
          </cell>
          <cell r="J1233">
            <v>720</v>
          </cell>
          <cell r="K1233">
            <v>37049.620000000003</v>
          </cell>
          <cell r="L1233" t="str">
            <v>借</v>
          </cell>
          <cell r="M1233">
            <v>700</v>
          </cell>
          <cell r="N1233">
            <v>0</v>
          </cell>
          <cell r="O1233">
            <v>30874.68</v>
          </cell>
        </row>
        <row r="1234">
          <cell r="A1234" t="str">
            <v>01</v>
          </cell>
          <cell r="B1234" t="str">
            <v>31</v>
          </cell>
          <cell r="C1234" t="str">
            <v>记-0044</v>
          </cell>
          <cell r="D1234" t="str">
            <v>067</v>
          </cell>
          <cell r="E1234" t="str">
            <v>龙牙燕盏</v>
          </cell>
          <cell r="F1234" t="str">
            <v>结转销售成本</v>
          </cell>
          <cell r="G1234">
            <v>44.10669</v>
          </cell>
          <cell r="H1234">
            <v>0</v>
          </cell>
          <cell r="I1234">
            <v>0</v>
          </cell>
          <cell r="J1234">
            <v>700</v>
          </cell>
          <cell r="K1234">
            <v>30874.68</v>
          </cell>
          <cell r="L1234" t="str">
            <v>平</v>
          </cell>
          <cell r="M1234">
            <v>0</v>
          </cell>
          <cell r="N1234">
            <v>0</v>
          </cell>
          <cell r="O1234">
            <v>0</v>
          </cell>
        </row>
        <row r="1235">
          <cell r="A1235" t="str">
            <v>01</v>
          </cell>
          <cell r="F1235" t="str">
            <v>本月合计</v>
          </cell>
          <cell r="G1235">
            <v>0</v>
          </cell>
          <cell r="H1235">
            <v>1420</v>
          </cell>
          <cell r="I1235">
            <v>67924.3</v>
          </cell>
          <cell r="J1235">
            <v>1420</v>
          </cell>
          <cell r="K1235">
            <v>67924.3</v>
          </cell>
          <cell r="L1235" t="str">
            <v>平</v>
          </cell>
          <cell r="M1235">
            <v>0</v>
          </cell>
          <cell r="N1235">
            <v>0</v>
          </cell>
          <cell r="O1235">
            <v>0</v>
          </cell>
        </row>
        <row r="1236">
          <cell r="A1236" t="str">
            <v>01</v>
          </cell>
          <cell r="F1236" t="str">
            <v>累    计</v>
          </cell>
          <cell r="G1236">
            <v>0</v>
          </cell>
          <cell r="H1236">
            <v>1420</v>
          </cell>
          <cell r="I1236">
            <v>67924.3</v>
          </cell>
          <cell r="J1236">
            <v>1420</v>
          </cell>
          <cell r="K1236">
            <v>67924.3</v>
          </cell>
          <cell r="L1236" t="str">
            <v>平</v>
          </cell>
          <cell r="M1236">
            <v>0</v>
          </cell>
          <cell r="N1236">
            <v>0</v>
          </cell>
          <cell r="O1236">
            <v>0</v>
          </cell>
        </row>
        <row r="1237">
          <cell r="A1237" t="str">
            <v>02</v>
          </cell>
          <cell r="B1237" t="str">
            <v>28</v>
          </cell>
          <cell r="C1237" t="str">
            <v>记-0060</v>
          </cell>
          <cell r="D1237" t="str">
            <v>067</v>
          </cell>
          <cell r="E1237" t="str">
            <v>龙牙燕盏</v>
          </cell>
          <cell r="F1237" t="str">
            <v>销售商品</v>
          </cell>
          <cell r="G1237">
            <v>39.54392</v>
          </cell>
          <cell r="H1237">
            <v>0</v>
          </cell>
          <cell r="I1237">
            <v>0</v>
          </cell>
          <cell r="J1237">
            <v>204</v>
          </cell>
          <cell r="K1237">
            <v>8066.96</v>
          </cell>
          <cell r="L1237" t="str">
            <v>贷</v>
          </cell>
          <cell r="M1237">
            <v>204</v>
          </cell>
          <cell r="N1237">
            <v>0</v>
          </cell>
          <cell r="O1237">
            <v>8066.96</v>
          </cell>
        </row>
        <row r="1238">
          <cell r="A1238" t="str">
            <v>02</v>
          </cell>
          <cell r="B1238" t="str">
            <v>28</v>
          </cell>
          <cell r="C1238" t="str">
            <v>记-0060</v>
          </cell>
          <cell r="D1238" t="str">
            <v>067</v>
          </cell>
          <cell r="E1238" t="str">
            <v>龙牙燕盏</v>
          </cell>
          <cell r="F1238" t="str">
            <v>销售商品</v>
          </cell>
          <cell r="G1238">
            <v>33.798229999999997</v>
          </cell>
          <cell r="H1238">
            <v>0</v>
          </cell>
          <cell r="I1238">
            <v>0</v>
          </cell>
          <cell r="J1238">
            <v>300</v>
          </cell>
          <cell r="K1238">
            <v>10139.469999999999</v>
          </cell>
          <cell r="L1238" t="str">
            <v>贷</v>
          </cell>
          <cell r="M1238">
            <v>504</v>
          </cell>
          <cell r="N1238">
            <v>0</v>
          </cell>
          <cell r="O1238">
            <v>18206.43</v>
          </cell>
        </row>
        <row r="1239">
          <cell r="A1239" t="str">
            <v>02</v>
          </cell>
          <cell r="B1239" t="str">
            <v>28</v>
          </cell>
          <cell r="C1239" t="str">
            <v>记-0061</v>
          </cell>
          <cell r="D1239" t="str">
            <v>067</v>
          </cell>
          <cell r="E1239" t="str">
            <v>龙牙燕盏</v>
          </cell>
          <cell r="F1239" t="str">
            <v>结转成本</v>
          </cell>
          <cell r="G1239">
            <v>44.529170000000001</v>
          </cell>
          <cell r="H1239">
            <v>0</v>
          </cell>
          <cell r="I1239">
            <v>0</v>
          </cell>
          <cell r="J1239">
            <v>1000</v>
          </cell>
          <cell r="K1239">
            <v>44529.17</v>
          </cell>
          <cell r="L1239" t="str">
            <v>贷</v>
          </cell>
          <cell r="M1239">
            <v>1504</v>
          </cell>
          <cell r="N1239">
            <v>0</v>
          </cell>
          <cell r="O1239">
            <v>62735.6</v>
          </cell>
        </row>
        <row r="1240">
          <cell r="A1240" t="str">
            <v>02</v>
          </cell>
          <cell r="B1240" t="str">
            <v>28</v>
          </cell>
          <cell r="C1240" t="str">
            <v>记-0063</v>
          </cell>
          <cell r="D1240" t="str">
            <v>067</v>
          </cell>
          <cell r="E1240" t="str">
            <v>龙牙燕盏</v>
          </cell>
          <cell r="F1240" t="str">
            <v>结转成本</v>
          </cell>
          <cell r="G1240">
            <v>42.247790000000002</v>
          </cell>
          <cell r="H1240">
            <v>0</v>
          </cell>
          <cell r="I1240">
            <v>0</v>
          </cell>
          <cell r="J1240">
            <v>1200</v>
          </cell>
          <cell r="K1240">
            <v>50697.35</v>
          </cell>
          <cell r="L1240" t="str">
            <v>贷</v>
          </cell>
          <cell r="M1240">
            <v>2704</v>
          </cell>
          <cell r="N1240">
            <v>0</v>
          </cell>
          <cell r="O1240">
            <v>113432.95</v>
          </cell>
        </row>
        <row r="1241">
          <cell r="A1241" t="str">
            <v>02</v>
          </cell>
          <cell r="B1241" t="str">
            <v>28</v>
          </cell>
          <cell r="C1241" t="str">
            <v>记-0065</v>
          </cell>
          <cell r="D1241" t="str">
            <v>067</v>
          </cell>
          <cell r="E1241" t="str">
            <v>龙牙燕盏</v>
          </cell>
          <cell r="F1241" t="str">
            <v>收购产品</v>
          </cell>
          <cell r="G1241">
            <v>44.529170000000001</v>
          </cell>
          <cell r="H1241">
            <v>1000</v>
          </cell>
          <cell r="I1241">
            <v>44529.17</v>
          </cell>
          <cell r="J1241">
            <v>0</v>
          </cell>
          <cell r="K1241">
            <v>0</v>
          </cell>
          <cell r="L1241" t="str">
            <v>贷</v>
          </cell>
          <cell r="M1241">
            <v>1704</v>
          </cell>
          <cell r="N1241">
            <v>0</v>
          </cell>
          <cell r="O1241">
            <v>68903.78</v>
          </cell>
        </row>
        <row r="1242">
          <cell r="A1242" t="str">
            <v>02</v>
          </cell>
          <cell r="B1242" t="str">
            <v>28</v>
          </cell>
          <cell r="C1242" t="str">
            <v>记-0067</v>
          </cell>
          <cell r="D1242" t="str">
            <v>067</v>
          </cell>
          <cell r="E1242" t="str">
            <v>龙牙燕盏</v>
          </cell>
          <cell r="F1242" t="str">
            <v>收购产品</v>
          </cell>
          <cell r="G1242">
            <v>39.54392</v>
          </cell>
          <cell r="H1242">
            <v>204</v>
          </cell>
          <cell r="I1242">
            <v>8066.96</v>
          </cell>
          <cell r="J1242">
            <v>0</v>
          </cell>
          <cell r="K1242">
            <v>0</v>
          </cell>
          <cell r="L1242" t="str">
            <v>贷</v>
          </cell>
          <cell r="M1242">
            <v>1500</v>
          </cell>
          <cell r="N1242">
            <v>0</v>
          </cell>
          <cell r="O1242">
            <v>60836.82</v>
          </cell>
        </row>
        <row r="1243">
          <cell r="A1243" t="str">
            <v>02</v>
          </cell>
          <cell r="B1243" t="str">
            <v>28</v>
          </cell>
          <cell r="C1243" t="str">
            <v>记-0067</v>
          </cell>
          <cell r="D1243" t="str">
            <v>067</v>
          </cell>
          <cell r="E1243" t="str">
            <v>龙牙燕盏</v>
          </cell>
          <cell r="F1243" t="str">
            <v>收购产品</v>
          </cell>
          <cell r="G1243">
            <v>33.798229999999997</v>
          </cell>
          <cell r="H1243">
            <v>300</v>
          </cell>
          <cell r="I1243">
            <v>10139.469999999999</v>
          </cell>
          <cell r="J1243">
            <v>0</v>
          </cell>
          <cell r="K1243">
            <v>0</v>
          </cell>
          <cell r="L1243" t="str">
            <v>贷</v>
          </cell>
          <cell r="M1243">
            <v>1200</v>
          </cell>
          <cell r="N1243">
            <v>0</v>
          </cell>
          <cell r="O1243">
            <v>50697.35</v>
          </cell>
        </row>
        <row r="1244">
          <cell r="A1244" t="str">
            <v>02</v>
          </cell>
          <cell r="B1244" t="str">
            <v>28</v>
          </cell>
          <cell r="C1244" t="str">
            <v>记-0069</v>
          </cell>
          <cell r="D1244" t="str">
            <v>067</v>
          </cell>
          <cell r="E1244" t="str">
            <v>龙牙燕盏</v>
          </cell>
          <cell r="F1244" t="str">
            <v>收购产品</v>
          </cell>
          <cell r="G1244">
            <v>42.247790000000002</v>
          </cell>
          <cell r="H1244">
            <v>1200</v>
          </cell>
          <cell r="I1244">
            <v>50697.35</v>
          </cell>
          <cell r="J1244">
            <v>0</v>
          </cell>
          <cell r="K1244">
            <v>0</v>
          </cell>
          <cell r="L1244" t="str">
            <v>平</v>
          </cell>
          <cell r="M1244">
            <v>0</v>
          </cell>
          <cell r="N1244">
            <v>0</v>
          </cell>
          <cell r="O1244">
            <v>0</v>
          </cell>
        </row>
        <row r="1245">
          <cell r="A1245" t="str">
            <v>02</v>
          </cell>
          <cell r="F1245" t="str">
            <v>本月合计</v>
          </cell>
          <cell r="G1245">
            <v>0</v>
          </cell>
          <cell r="H1245">
            <v>2704</v>
          </cell>
          <cell r="I1245">
            <v>113432.95</v>
          </cell>
          <cell r="J1245">
            <v>2704</v>
          </cell>
          <cell r="K1245">
            <v>113432.95</v>
          </cell>
          <cell r="L1245" t="str">
            <v>平</v>
          </cell>
          <cell r="M1245">
            <v>0</v>
          </cell>
          <cell r="N1245">
            <v>0</v>
          </cell>
          <cell r="O1245">
            <v>0</v>
          </cell>
        </row>
        <row r="1246">
          <cell r="A1246" t="str">
            <v>02</v>
          </cell>
          <cell r="F1246" t="str">
            <v>累    计</v>
          </cell>
          <cell r="G1246">
            <v>0</v>
          </cell>
          <cell r="H1246">
            <v>4124</v>
          </cell>
          <cell r="I1246">
            <v>181357.25</v>
          </cell>
          <cell r="J1246">
            <v>4124</v>
          </cell>
          <cell r="K1246">
            <v>181357.25</v>
          </cell>
          <cell r="L1246" t="str">
            <v>平</v>
          </cell>
          <cell r="M1246">
            <v>0</v>
          </cell>
          <cell r="N1246">
            <v>0</v>
          </cell>
          <cell r="O1246">
            <v>0</v>
          </cell>
        </row>
        <row r="1247">
          <cell r="A1247" t="str">
            <v>04</v>
          </cell>
          <cell r="B1247" t="str">
            <v>30</v>
          </cell>
          <cell r="C1247" t="str">
            <v>记-0041</v>
          </cell>
          <cell r="D1247" t="str">
            <v>067</v>
          </cell>
          <cell r="E1247" t="str">
            <v>龙牙燕盏</v>
          </cell>
          <cell r="F1247" t="str">
            <v>收购产品</v>
          </cell>
          <cell r="G1247">
            <v>33.798229999999997</v>
          </cell>
          <cell r="H1247">
            <v>800</v>
          </cell>
          <cell r="I1247">
            <v>27038.58</v>
          </cell>
          <cell r="J1247">
            <v>0</v>
          </cell>
          <cell r="K1247">
            <v>0</v>
          </cell>
          <cell r="L1247" t="str">
            <v>借</v>
          </cell>
          <cell r="M1247">
            <v>800</v>
          </cell>
          <cell r="N1247">
            <v>0</v>
          </cell>
          <cell r="O1247">
            <v>27038.58</v>
          </cell>
        </row>
        <row r="1248">
          <cell r="A1248" t="str">
            <v>04</v>
          </cell>
          <cell r="B1248" t="str">
            <v>30</v>
          </cell>
          <cell r="C1248" t="str">
            <v>记-0041</v>
          </cell>
          <cell r="D1248" t="str">
            <v>067</v>
          </cell>
          <cell r="E1248" t="str">
            <v>龙牙燕盏</v>
          </cell>
          <cell r="F1248" t="str">
            <v>收购产品</v>
          </cell>
          <cell r="G1248">
            <v>42.247790000000002</v>
          </cell>
          <cell r="H1248">
            <v>443</v>
          </cell>
          <cell r="I1248">
            <v>18715.77</v>
          </cell>
          <cell r="J1248">
            <v>0</v>
          </cell>
          <cell r="K1248">
            <v>0</v>
          </cell>
          <cell r="L1248" t="str">
            <v>借</v>
          </cell>
          <cell r="M1248">
            <v>1243</v>
          </cell>
          <cell r="N1248">
            <v>0</v>
          </cell>
          <cell r="O1248">
            <v>45754.35</v>
          </cell>
        </row>
        <row r="1249">
          <cell r="A1249" t="str">
            <v>04</v>
          </cell>
          <cell r="B1249" t="str">
            <v>30</v>
          </cell>
          <cell r="C1249" t="str">
            <v>记-0042</v>
          </cell>
          <cell r="D1249" t="str">
            <v>067</v>
          </cell>
          <cell r="E1249" t="str">
            <v>龙牙燕盏</v>
          </cell>
          <cell r="F1249" t="str">
            <v>收购产品</v>
          </cell>
          <cell r="G1249">
            <v>34.6432</v>
          </cell>
          <cell r="H1249">
            <v>206</v>
          </cell>
          <cell r="I1249">
            <v>7136.5</v>
          </cell>
          <cell r="J1249">
            <v>0</v>
          </cell>
          <cell r="K1249">
            <v>0</v>
          </cell>
          <cell r="L1249" t="str">
            <v>借</v>
          </cell>
          <cell r="M1249">
            <v>1449</v>
          </cell>
          <cell r="N1249">
            <v>0</v>
          </cell>
          <cell r="O1249">
            <v>52890.85</v>
          </cell>
        </row>
        <row r="1250">
          <cell r="A1250" t="str">
            <v>04</v>
          </cell>
          <cell r="B1250" t="str">
            <v>30</v>
          </cell>
          <cell r="C1250" t="str">
            <v>记-0043</v>
          </cell>
          <cell r="D1250" t="str">
            <v>067</v>
          </cell>
          <cell r="E1250" t="str">
            <v>龙牙燕盏</v>
          </cell>
          <cell r="F1250" t="str">
            <v>收购产品</v>
          </cell>
          <cell r="G1250">
            <v>39.036960000000001</v>
          </cell>
          <cell r="H1250">
            <v>1003</v>
          </cell>
          <cell r="I1250">
            <v>39154.07</v>
          </cell>
          <cell r="J1250">
            <v>0</v>
          </cell>
          <cell r="K1250">
            <v>0</v>
          </cell>
          <cell r="L1250" t="str">
            <v>借</v>
          </cell>
          <cell r="M1250">
            <v>2452</v>
          </cell>
          <cell r="N1250">
            <v>0</v>
          </cell>
          <cell r="O1250">
            <v>92044.92</v>
          </cell>
        </row>
        <row r="1251">
          <cell r="A1251" t="str">
            <v>04</v>
          </cell>
          <cell r="B1251" t="str">
            <v>30</v>
          </cell>
          <cell r="C1251" t="str">
            <v>记-0043</v>
          </cell>
          <cell r="D1251" t="str">
            <v>067</v>
          </cell>
          <cell r="E1251" t="str">
            <v>龙牙燕盏</v>
          </cell>
          <cell r="F1251" t="str">
            <v>收购产品</v>
          </cell>
          <cell r="G1251">
            <v>33.798229999999997</v>
          </cell>
          <cell r="H1251">
            <v>1300</v>
          </cell>
          <cell r="I1251">
            <v>43937.7</v>
          </cell>
          <cell r="J1251">
            <v>0</v>
          </cell>
          <cell r="K1251">
            <v>0</v>
          </cell>
          <cell r="L1251" t="str">
            <v>借</v>
          </cell>
          <cell r="M1251">
            <v>3752</v>
          </cell>
          <cell r="N1251">
            <v>0</v>
          </cell>
          <cell r="O1251">
            <v>135982.62</v>
          </cell>
        </row>
        <row r="1252">
          <cell r="A1252" t="str">
            <v>04</v>
          </cell>
          <cell r="B1252" t="str">
            <v>30</v>
          </cell>
          <cell r="C1252" t="str">
            <v>记-0044</v>
          </cell>
          <cell r="D1252" t="str">
            <v>067</v>
          </cell>
          <cell r="E1252" t="str">
            <v>龙牙燕盏</v>
          </cell>
          <cell r="F1252" t="str">
            <v>转成本</v>
          </cell>
          <cell r="G1252">
            <v>34.6432</v>
          </cell>
          <cell r="H1252">
            <v>0</v>
          </cell>
          <cell r="I1252">
            <v>0</v>
          </cell>
          <cell r="J1252">
            <v>206</v>
          </cell>
          <cell r="K1252">
            <v>7136.5</v>
          </cell>
          <cell r="L1252" t="str">
            <v>借</v>
          </cell>
          <cell r="M1252">
            <v>3546</v>
          </cell>
          <cell r="N1252">
            <v>0</v>
          </cell>
          <cell r="O1252">
            <v>128846.12</v>
          </cell>
        </row>
        <row r="1253">
          <cell r="A1253" t="str">
            <v>04</v>
          </cell>
          <cell r="B1253" t="str">
            <v>30</v>
          </cell>
          <cell r="C1253" t="str">
            <v>记-0045</v>
          </cell>
          <cell r="D1253" t="str">
            <v>067</v>
          </cell>
          <cell r="E1253" t="str">
            <v>龙牙燕盏</v>
          </cell>
          <cell r="F1253" t="str">
            <v>转成本</v>
          </cell>
          <cell r="G1253">
            <v>33.798229999999997</v>
          </cell>
          <cell r="H1253">
            <v>0</v>
          </cell>
          <cell r="I1253">
            <v>0</v>
          </cell>
          <cell r="J1253">
            <v>800</v>
          </cell>
          <cell r="K1253">
            <v>27038.58</v>
          </cell>
          <cell r="L1253" t="str">
            <v>借</v>
          </cell>
          <cell r="M1253">
            <v>2746</v>
          </cell>
          <cell r="N1253">
            <v>0</v>
          </cell>
          <cell r="O1253">
            <v>101807.54</v>
          </cell>
        </row>
        <row r="1254">
          <cell r="A1254" t="str">
            <v>04</v>
          </cell>
          <cell r="B1254" t="str">
            <v>30</v>
          </cell>
          <cell r="C1254" t="str">
            <v>记-0045</v>
          </cell>
          <cell r="D1254" t="str">
            <v>067</v>
          </cell>
          <cell r="E1254" t="str">
            <v>龙牙燕盏</v>
          </cell>
          <cell r="F1254" t="str">
            <v>转成本</v>
          </cell>
          <cell r="G1254">
            <v>42.247790000000002</v>
          </cell>
          <cell r="H1254">
            <v>0</v>
          </cell>
          <cell r="I1254">
            <v>0</v>
          </cell>
          <cell r="J1254">
            <v>443</v>
          </cell>
          <cell r="K1254">
            <v>18715.77</v>
          </cell>
          <cell r="L1254" t="str">
            <v>借</v>
          </cell>
          <cell r="M1254">
            <v>2303</v>
          </cell>
          <cell r="N1254">
            <v>0</v>
          </cell>
          <cell r="O1254">
            <v>83091.77</v>
          </cell>
        </row>
        <row r="1255">
          <cell r="A1255" t="str">
            <v>04</v>
          </cell>
          <cell r="B1255" t="str">
            <v>30</v>
          </cell>
          <cell r="C1255" t="str">
            <v>记-0046</v>
          </cell>
          <cell r="D1255" t="str">
            <v>067</v>
          </cell>
          <cell r="E1255" t="str">
            <v>龙牙燕盏</v>
          </cell>
          <cell r="F1255" t="str">
            <v>转成本</v>
          </cell>
          <cell r="G1255">
            <v>33.798229999999997</v>
          </cell>
          <cell r="H1255">
            <v>0</v>
          </cell>
          <cell r="I1255">
            <v>0</v>
          </cell>
          <cell r="J1255">
            <v>1300</v>
          </cell>
          <cell r="K1255">
            <v>43937.7</v>
          </cell>
          <cell r="L1255" t="str">
            <v>借</v>
          </cell>
          <cell r="M1255">
            <v>1003</v>
          </cell>
          <cell r="N1255">
            <v>0</v>
          </cell>
          <cell r="O1255">
            <v>39154.07</v>
          </cell>
        </row>
        <row r="1256">
          <cell r="A1256" t="str">
            <v>04</v>
          </cell>
          <cell r="B1256" t="str">
            <v>30</v>
          </cell>
          <cell r="C1256" t="str">
            <v>记-0046</v>
          </cell>
          <cell r="D1256" t="str">
            <v>067</v>
          </cell>
          <cell r="E1256" t="str">
            <v>龙牙燕盏</v>
          </cell>
          <cell r="F1256" t="str">
            <v>转成本</v>
          </cell>
          <cell r="G1256">
            <v>39.036960000000001</v>
          </cell>
          <cell r="H1256">
            <v>0</v>
          </cell>
          <cell r="I1256">
            <v>0</v>
          </cell>
          <cell r="J1256">
            <v>1003</v>
          </cell>
          <cell r="K1256">
            <v>39154.07</v>
          </cell>
          <cell r="L1256" t="str">
            <v>平</v>
          </cell>
          <cell r="M1256">
            <v>0</v>
          </cell>
          <cell r="N1256">
            <v>0</v>
          </cell>
          <cell r="O1256">
            <v>0</v>
          </cell>
        </row>
        <row r="1257">
          <cell r="A1257" t="str">
            <v>04</v>
          </cell>
          <cell r="F1257" t="str">
            <v>本月合计</v>
          </cell>
          <cell r="G1257">
            <v>0</v>
          </cell>
          <cell r="H1257">
            <v>3752</v>
          </cell>
          <cell r="I1257">
            <v>135982.62</v>
          </cell>
          <cell r="J1257">
            <v>3752</v>
          </cell>
          <cell r="K1257">
            <v>135982.62</v>
          </cell>
          <cell r="L1257" t="str">
            <v>平</v>
          </cell>
          <cell r="M1257">
            <v>0</v>
          </cell>
          <cell r="N1257">
            <v>0</v>
          </cell>
          <cell r="O1257">
            <v>0</v>
          </cell>
        </row>
        <row r="1258">
          <cell r="A1258" t="str">
            <v>04</v>
          </cell>
          <cell r="F1258" t="str">
            <v>累    计</v>
          </cell>
          <cell r="G1258">
            <v>0</v>
          </cell>
          <cell r="H1258">
            <v>7876</v>
          </cell>
          <cell r="I1258">
            <v>317339.87</v>
          </cell>
          <cell r="J1258">
            <v>7876</v>
          </cell>
          <cell r="K1258">
            <v>317339.87</v>
          </cell>
          <cell r="L1258" t="str">
            <v>平</v>
          </cell>
          <cell r="M1258">
            <v>0</v>
          </cell>
          <cell r="N1258">
            <v>0</v>
          </cell>
          <cell r="O1258">
            <v>0</v>
          </cell>
        </row>
        <row r="1259">
          <cell r="A1259" t="str">
            <v>05</v>
          </cell>
          <cell r="B1259" t="str">
            <v>31</v>
          </cell>
          <cell r="C1259" t="str">
            <v>记-0084</v>
          </cell>
          <cell r="D1259" t="str">
            <v>067</v>
          </cell>
          <cell r="E1259" t="str">
            <v>龙牙燕盏</v>
          </cell>
          <cell r="F1259" t="str">
            <v>调整4月41号凭</v>
          </cell>
          <cell r="G1259">
            <v>33.798229999999997</v>
          </cell>
          <cell r="H1259">
            <v>-800</v>
          </cell>
          <cell r="I1259">
            <v>-27038.58</v>
          </cell>
          <cell r="J1259">
            <v>0</v>
          </cell>
          <cell r="K1259">
            <v>0</v>
          </cell>
          <cell r="L1259" t="str">
            <v>贷</v>
          </cell>
          <cell r="M1259">
            <v>800</v>
          </cell>
          <cell r="N1259">
            <v>0</v>
          </cell>
          <cell r="O1259">
            <v>27038.58</v>
          </cell>
        </row>
        <row r="1260">
          <cell r="A1260" t="str">
            <v>05</v>
          </cell>
          <cell r="B1260" t="str">
            <v>31</v>
          </cell>
          <cell r="C1260" t="str">
            <v>记-0084</v>
          </cell>
          <cell r="D1260" t="str">
            <v>067</v>
          </cell>
          <cell r="E1260" t="str">
            <v>龙牙燕盏</v>
          </cell>
          <cell r="F1260" t="str">
            <v>调整4月41号凭</v>
          </cell>
          <cell r="G1260">
            <v>42.247790000000002</v>
          </cell>
          <cell r="H1260">
            <v>-443</v>
          </cell>
          <cell r="I1260">
            <v>-18715.77</v>
          </cell>
          <cell r="J1260">
            <v>0</v>
          </cell>
          <cell r="K1260">
            <v>0</v>
          </cell>
          <cell r="L1260" t="str">
            <v>贷</v>
          </cell>
          <cell r="M1260">
            <v>1243</v>
          </cell>
          <cell r="N1260">
            <v>0</v>
          </cell>
          <cell r="O1260">
            <v>45754.35</v>
          </cell>
        </row>
        <row r="1261">
          <cell r="A1261" t="str">
            <v>05</v>
          </cell>
          <cell r="B1261" t="str">
            <v>31</v>
          </cell>
          <cell r="C1261" t="str">
            <v>记-0085</v>
          </cell>
          <cell r="D1261" t="str">
            <v>067</v>
          </cell>
          <cell r="E1261" t="str">
            <v>龙牙燕盏</v>
          </cell>
          <cell r="F1261" t="str">
            <v>调整4月41号凭</v>
          </cell>
          <cell r="G1261">
            <v>33.798229999999997</v>
          </cell>
          <cell r="H1261">
            <v>800</v>
          </cell>
          <cell r="I1261">
            <v>27038.58</v>
          </cell>
          <cell r="J1261">
            <v>0</v>
          </cell>
          <cell r="K1261">
            <v>0</v>
          </cell>
          <cell r="L1261" t="str">
            <v>贷</v>
          </cell>
          <cell r="M1261">
            <v>443</v>
          </cell>
          <cell r="N1261">
            <v>0</v>
          </cell>
          <cell r="O1261">
            <v>18715.77</v>
          </cell>
        </row>
        <row r="1262">
          <cell r="A1262" t="str">
            <v>05</v>
          </cell>
          <cell r="B1262" t="str">
            <v>31</v>
          </cell>
          <cell r="C1262" t="str">
            <v>记-0085</v>
          </cell>
          <cell r="D1262" t="str">
            <v>067</v>
          </cell>
          <cell r="E1262" t="str">
            <v>龙牙燕盏</v>
          </cell>
          <cell r="F1262" t="str">
            <v>调整4月41号凭</v>
          </cell>
          <cell r="G1262">
            <v>42.247790000000002</v>
          </cell>
          <cell r="H1262">
            <v>443</v>
          </cell>
          <cell r="I1262">
            <v>18715.77</v>
          </cell>
          <cell r="J1262">
            <v>0</v>
          </cell>
          <cell r="K1262">
            <v>0</v>
          </cell>
          <cell r="L1262" t="str">
            <v>平</v>
          </cell>
          <cell r="M1262">
            <v>0</v>
          </cell>
          <cell r="N1262">
            <v>0</v>
          </cell>
          <cell r="O1262">
            <v>0</v>
          </cell>
        </row>
        <row r="1263">
          <cell r="A1263" t="str">
            <v>05</v>
          </cell>
          <cell r="F1263" t="str">
            <v>本月合计</v>
          </cell>
          <cell r="G1263">
            <v>0</v>
          </cell>
          <cell r="H1263">
            <v>0</v>
          </cell>
          <cell r="I1263">
            <v>0</v>
          </cell>
          <cell r="J1263">
            <v>0</v>
          </cell>
          <cell r="K1263">
            <v>0</v>
          </cell>
          <cell r="L1263" t="str">
            <v>平</v>
          </cell>
          <cell r="M1263">
            <v>0</v>
          </cell>
          <cell r="N1263">
            <v>0</v>
          </cell>
          <cell r="O1263">
            <v>0</v>
          </cell>
        </row>
        <row r="1264">
          <cell r="A1264" t="str">
            <v>05</v>
          </cell>
          <cell r="F1264" t="str">
            <v>累    计</v>
          </cell>
          <cell r="G1264">
            <v>0</v>
          </cell>
          <cell r="H1264">
            <v>7876</v>
          </cell>
          <cell r="I1264">
            <v>317339.87</v>
          </cell>
          <cell r="J1264">
            <v>7876</v>
          </cell>
          <cell r="K1264">
            <v>317339.87</v>
          </cell>
          <cell r="L1264" t="str">
            <v>平</v>
          </cell>
          <cell r="M1264">
            <v>0</v>
          </cell>
          <cell r="N1264">
            <v>0</v>
          </cell>
          <cell r="O1264">
            <v>0</v>
          </cell>
        </row>
        <row r="1265">
          <cell r="A1265" t="str">
            <v>07</v>
          </cell>
          <cell r="B1265" t="str">
            <v>22</v>
          </cell>
          <cell r="C1265" t="str">
            <v>记-0047</v>
          </cell>
          <cell r="D1265" t="str">
            <v>067</v>
          </cell>
          <cell r="E1265" t="str">
            <v>龙牙燕盏</v>
          </cell>
          <cell r="F1265" t="str">
            <v>结转成本</v>
          </cell>
          <cell r="G1265">
            <v>0</v>
          </cell>
          <cell r="H1265">
            <v>0</v>
          </cell>
          <cell r="I1265">
            <v>0</v>
          </cell>
          <cell r="J1265">
            <v>0</v>
          </cell>
          <cell r="K1265">
            <v>10392.959999999999</v>
          </cell>
          <cell r="L1265" t="str">
            <v>贷</v>
          </cell>
          <cell r="M1265">
            <v>0</v>
          </cell>
          <cell r="N1265">
            <v>0</v>
          </cell>
          <cell r="O1265">
            <v>10392.959999999999</v>
          </cell>
        </row>
        <row r="1266">
          <cell r="A1266" t="str">
            <v>07</v>
          </cell>
          <cell r="B1266" t="str">
            <v>22</v>
          </cell>
          <cell r="C1266" t="str">
            <v>记-0047</v>
          </cell>
          <cell r="D1266" t="str">
            <v>067</v>
          </cell>
          <cell r="E1266" t="str">
            <v>龙牙燕盏</v>
          </cell>
          <cell r="F1266" t="str">
            <v>结转成本</v>
          </cell>
          <cell r="G1266">
            <v>0</v>
          </cell>
          <cell r="H1266">
            <v>0</v>
          </cell>
          <cell r="I1266">
            <v>0</v>
          </cell>
          <cell r="J1266">
            <v>0</v>
          </cell>
          <cell r="K1266">
            <v>430.93</v>
          </cell>
          <cell r="L1266" t="str">
            <v>贷</v>
          </cell>
          <cell r="M1266">
            <v>0</v>
          </cell>
          <cell r="N1266">
            <v>0</v>
          </cell>
          <cell r="O1266">
            <v>10823.89</v>
          </cell>
        </row>
        <row r="1267">
          <cell r="A1267" t="str">
            <v>07</v>
          </cell>
          <cell r="B1267" t="str">
            <v>22</v>
          </cell>
          <cell r="C1267" t="str">
            <v>记-0051</v>
          </cell>
          <cell r="D1267" t="str">
            <v>067</v>
          </cell>
          <cell r="E1267" t="str">
            <v>龙牙燕盏</v>
          </cell>
          <cell r="F1267" t="str">
            <v>结转成本</v>
          </cell>
          <cell r="G1267">
            <v>48.162480000000002</v>
          </cell>
          <cell r="H1267">
            <v>0</v>
          </cell>
          <cell r="I1267">
            <v>0</v>
          </cell>
          <cell r="J1267">
            <v>750</v>
          </cell>
          <cell r="K1267">
            <v>36121.86</v>
          </cell>
          <cell r="L1267" t="str">
            <v>贷</v>
          </cell>
          <cell r="M1267">
            <v>750</v>
          </cell>
          <cell r="N1267">
            <v>0</v>
          </cell>
          <cell r="O1267">
            <v>46945.75</v>
          </cell>
        </row>
        <row r="1268">
          <cell r="A1268" t="str">
            <v>07</v>
          </cell>
          <cell r="B1268" t="str">
            <v>22</v>
          </cell>
          <cell r="C1268" t="str">
            <v>记-0052</v>
          </cell>
          <cell r="D1268" t="str">
            <v>067</v>
          </cell>
          <cell r="E1268" t="str">
            <v>龙牙燕盏</v>
          </cell>
          <cell r="F1268" t="str">
            <v>结转成本</v>
          </cell>
          <cell r="G1268">
            <v>38.867959999999997</v>
          </cell>
          <cell r="H1268">
            <v>0</v>
          </cell>
          <cell r="I1268">
            <v>0</v>
          </cell>
          <cell r="J1268">
            <v>1000</v>
          </cell>
          <cell r="K1268">
            <v>38867.96</v>
          </cell>
          <cell r="L1268" t="str">
            <v>贷</v>
          </cell>
          <cell r="M1268">
            <v>1750</v>
          </cell>
          <cell r="N1268">
            <v>0</v>
          </cell>
          <cell r="O1268">
            <v>85813.71</v>
          </cell>
        </row>
        <row r="1269">
          <cell r="A1269" t="str">
            <v>07</v>
          </cell>
          <cell r="B1269" t="str">
            <v>22</v>
          </cell>
          <cell r="C1269" t="str">
            <v>记-0052</v>
          </cell>
          <cell r="D1269" t="str">
            <v>067</v>
          </cell>
          <cell r="E1269" t="str">
            <v>龙牙燕盏</v>
          </cell>
          <cell r="F1269" t="str">
            <v>结转成本</v>
          </cell>
          <cell r="G1269">
            <v>44.782649999999997</v>
          </cell>
          <cell r="H1269">
            <v>0</v>
          </cell>
          <cell r="I1269">
            <v>0</v>
          </cell>
          <cell r="J1269">
            <v>780</v>
          </cell>
          <cell r="K1269">
            <v>34930.47</v>
          </cell>
          <cell r="L1269" t="str">
            <v>贷</v>
          </cell>
          <cell r="M1269">
            <v>2530</v>
          </cell>
          <cell r="N1269">
            <v>0</v>
          </cell>
          <cell r="O1269">
            <v>120744.18</v>
          </cell>
        </row>
        <row r="1270">
          <cell r="A1270" t="str">
            <v>07</v>
          </cell>
          <cell r="B1270" t="str">
            <v>22</v>
          </cell>
          <cell r="C1270" t="str">
            <v>记-0053</v>
          </cell>
          <cell r="D1270" t="str">
            <v>067</v>
          </cell>
          <cell r="E1270" t="str">
            <v>龙牙燕盏</v>
          </cell>
          <cell r="F1270" t="str">
            <v>收购产品</v>
          </cell>
          <cell r="G1270">
            <v>48.162480000000002</v>
          </cell>
          <cell r="H1270">
            <v>750</v>
          </cell>
          <cell r="I1270">
            <v>36121.86</v>
          </cell>
          <cell r="J1270">
            <v>0</v>
          </cell>
          <cell r="K1270">
            <v>0</v>
          </cell>
          <cell r="L1270" t="str">
            <v>贷</v>
          </cell>
          <cell r="M1270">
            <v>1780</v>
          </cell>
          <cell r="N1270">
            <v>0</v>
          </cell>
          <cell r="O1270">
            <v>84622.32</v>
          </cell>
        </row>
        <row r="1271">
          <cell r="A1271" t="str">
            <v>07</v>
          </cell>
          <cell r="B1271" t="str">
            <v>22</v>
          </cell>
          <cell r="C1271" t="str">
            <v>记-0054</v>
          </cell>
          <cell r="D1271" t="str">
            <v>067</v>
          </cell>
          <cell r="E1271" t="str">
            <v>龙牙燕盏</v>
          </cell>
          <cell r="F1271" t="str">
            <v>收购产品</v>
          </cell>
          <cell r="G1271">
            <v>38.867959999999997</v>
          </cell>
          <cell r="H1271">
            <v>1000</v>
          </cell>
          <cell r="I1271">
            <v>38867.96</v>
          </cell>
          <cell r="J1271">
            <v>0</v>
          </cell>
          <cell r="K1271">
            <v>0</v>
          </cell>
          <cell r="L1271" t="str">
            <v>贷</v>
          </cell>
          <cell r="M1271">
            <v>780</v>
          </cell>
          <cell r="N1271">
            <v>0</v>
          </cell>
          <cell r="O1271">
            <v>45754.36</v>
          </cell>
        </row>
        <row r="1272">
          <cell r="A1272" t="str">
            <v>07</v>
          </cell>
          <cell r="B1272" t="str">
            <v>22</v>
          </cell>
          <cell r="C1272" t="str">
            <v>记-0054</v>
          </cell>
          <cell r="D1272" t="str">
            <v>067</v>
          </cell>
          <cell r="E1272" t="str">
            <v>龙牙燕盏</v>
          </cell>
          <cell r="F1272" t="str">
            <v>收购产品</v>
          </cell>
          <cell r="G1272">
            <v>44.782649999999997</v>
          </cell>
          <cell r="H1272">
            <v>780</v>
          </cell>
          <cell r="I1272">
            <v>34930.47</v>
          </cell>
          <cell r="J1272">
            <v>0</v>
          </cell>
          <cell r="K1272">
            <v>0</v>
          </cell>
          <cell r="L1272" t="str">
            <v>贷</v>
          </cell>
          <cell r="M1272">
            <v>0</v>
          </cell>
          <cell r="N1272">
            <v>0</v>
          </cell>
          <cell r="O1272">
            <v>10823.89</v>
          </cell>
        </row>
        <row r="1273">
          <cell r="A1273" t="str">
            <v>07</v>
          </cell>
          <cell r="B1273" t="str">
            <v>22</v>
          </cell>
          <cell r="C1273" t="str">
            <v>记-0058</v>
          </cell>
          <cell r="D1273" t="str">
            <v>067</v>
          </cell>
          <cell r="E1273" t="str">
            <v>龙牙燕盏</v>
          </cell>
          <cell r="F1273" t="str">
            <v>收购产品</v>
          </cell>
          <cell r="G1273">
            <v>34.6432</v>
          </cell>
          <cell r="H1273">
            <v>300</v>
          </cell>
          <cell r="I1273">
            <v>10392.959999999999</v>
          </cell>
          <cell r="J1273">
            <v>0</v>
          </cell>
          <cell r="K1273">
            <v>0</v>
          </cell>
          <cell r="L1273" t="str">
            <v>贷</v>
          </cell>
          <cell r="M1273">
            <v>-300</v>
          </cell>
          <cell r="N1273">
            <v>0</v>
          </cell>
          <cell r="O1273">
            <v>430.93</v>
          </cell>
        </row>
        <row r="1274">
          <cell r="A1274" t="str">
            <v>07</v>
          </cell>
          <cell r="B1274" t="str">
            <v>22</v>
          </cell>
          <cell r="C1274" t="str">
            <v>记-0058</v>
          </cell>
          <cell r="D1274" t="str">
            <v>067</v>
          </cell>
          <cell r="E1274" t="str">
            <v>龙牙燕盏</v>
          </cell>
          <cell r="F1274" t="str">
            <v>收购产品</v>
          </cell>
          <cell r="G1274">
            <v>43.093000000000004</v>
          </cell>
          <cell r="H1274">
            <v>10</v>
          </cell>
          <cell r="I1274">
            <v>430.93</v>
          </cell>
          <cell r="J1274">
            <v>0</v>
          </cell>
          <cell r="K1274">
            <v>0</v>
          </cell>
          <cell r="L1274" t="str">
            <v>平</v>
          </cell>
          <cell r="M1274">
            <v>310</v>
          </cell>
          <cell r="N1274">
            <v>0</v>
          </cell>
          <cell r="O1274">
            <v>0</v>
          </cell>
        </row>
        <row r="1275">
          <cell r="A1275" t="str">
            <v>07</v>
          </cell>
          <cell r="F1275" t="str">
            <v>本月合计</v>
          </cell>
          <cell r="G1275">
            <v>0</v>
          </cell>
          <cell r="H1275">
            <v>2840</v>
          </cell>
          <cell r="I1275">
            <v>120744.18</v>
          </cell>
          <cell r="J1275">
            <v>2530</v>
          </cell>
          <cell r="K1275">
            <v>120744.18</v>
          </cell>
          <cell r="L1275" t="str">
            <v>平</v>
          </cell>
          <cell r="M1275">
            <v>310</v>
          </cell>
          <cell r="N1275">
            <v>0</v>
          </cell>
          <cell r="O1275">
            <v>0</v>
          </cell>
        </row>
        <row r="1276">
          <cell r="A1276" t="str">
            <v>07</v>
          </cell>
          <cell r="F1276" t="str">
            <v>累    计</v>
          </cell>
          <cell r="G1276">
            <v>0</v>
          </cell>
          <cell r="H1276">
            <v>10716</v>
          </cell>
          <cell r="I1276">
            <v>438084.05</v>
          </cell>
          <cell r="J1276">
            <v>10406</v>
          </cell>
          <cell r="K1276">
            <v>438084.05</v>
          </cell>
          <cell r="L1276" t="str">
            <v>平</v>
          </cell>
          <cell r="M1276">
            <v>310</v>
          </cell>
          <cell r="N1276">
            <v>0</v>
          </cell>
          <cell r="O1276">
            <v>0</v>
          </cell>
        </row>
        <row r="1277">
          <cell r="A1277" t="str">
            <v>09</v>
          </cell>
          <cell r="B1277" t="str">
            <v>22</v>
          </cell>
          <cell r="C1277" t="str">
            <v>记-0034</v>
          </cell>
          <cell r="D1277" t="str">
            <v>067</v>
          </cell>
          <cell r="E1277" t="str">
            <v>龙牙燕盏</v>
          </cell>
          <cell r="F1277" t="str">
            <v>结转成本</v>
          </cell>
          <cell r="G1277">
            <v>48.162469999999999</v>
          </cell>
          <cell r="H1277">
            <v>0</v>
          </cell>
          <cell r="I1277">
            <v>0</v>
          </cell>
          <cell r="J1277">
            <v>600</v>
          </cell>
          <cell r="K1277">
            <v>28897.48</v>
          </cell>
          <cell r="L1277" t="str">
            <v>贷</v>
          </cell>
          <cell r="M1277">
            <v>290</v>
          </cell>
          <cell r="N1277">
            <v>0</v>
          </cell>
          <cell r="O1277">
            <v>28897.48</v>
          </cell>
        </row>
        <row r="1278">
          <cell r="A1278" t="str">
            <v>09</v>
          </cell>
          <cell r="B1278" t="str">
            <v>22</v>
          </cell>
          <cell r="C1278" t="str">
            <v>记-0035</v>
          </cell>
          <cell r="D1278" t="str">
            <v>067</v>
          </cell>
          <cell r="E1278" t="str">
            <v>龙牙燕盏</v>
          </cell>
          <cell r="F1278" t="str">
            <v>结转成本</v>
          </cell>
          <cell r="G1278">
            <v>34.6432</v>
          </cell>
          <cell r="H1278">
            <v>0</v>
          </cell>
          <cell r="I1278">
            <v>0</v>
          </cell>
          <cell r="J1278">
            <v>300</v>
          </cell>
          <cell r="K1278">
            <v>10392.959999999999</v>
          </cell>
          <cell r="L1278" t="str">
            <v>贷</v>
          </cell>
          <cell r="M1278">
            <v>590</v>
          </cell>
          <cell r="N1278">
            <v>0</v>
          </cell>
          <cell r="O1278">
            <v>39290.44</v>
          </cell>
        </row>
        <row r="1279">
          <cell r="A1279" t="str">
            <v>09</v>
          </cell>
          <cell r="B1279" t="str">
            <v>22</v>
          </cell>
          <cell r="C1279" t="str">
            <v>记-0038</v>
          </cell>
          <cell r="D1279" t="str">
            <v>067</v>
          </cell>
          <cell r="E1279" t="str">
            <v>龙牙燕盏</v>
          </cell>
          <cell r="F1279" t="str">
            <v>收购产品</v>
          </cell>
          <cell r="G1279">
            <v>48.162469999999999</v>
          </cell>
          <cell r="H1279">
            <v>600</v>
          </cell>
          <cell r="I1279">
            <v>28897.48</v>
          </cell>
          <cell r="J1279">
            <v>0</v>
          </cell>
          <cell r="K1279">
            <v>0</v>
          </cell>
          <cell r="L1279" t="str">
            <v>贷</v>
          </cell>
          <cell r="M1279">
            <v>-10</v>
          </cell>
          <cell r="N1279">
            <v>0</v>
          </cell>
          <cell r="O1279">
            <v>10392.959999999999</v>
          </cell>
        </row>
        <row r="1280">
          <cell r="A1280" t="str">
            <v>09</v>
          </cell>
          <cell r="B1280" t="str">
            <v>22</v>
          </cell>
          <cell r="C1280" t="str">
            <v>记-0039</v>
          </cell>
          <cell r="D1280" t="str">
            <v>067</v>
          </cell>
          <cell r="E1280" t="str">
            <v>龙牙燕盏</v>
          </cell>
          <cell r="F1280" t="str">
            <v>收购产品</v>
          </cell>
          <cell r="G1280">
            <v>34.6432</v>
          </cell>
          <cell r="H1280">
            <v>300</v>
          </cell>
          <cell r="I1280">
            <v>10392.959999999999</v>
          </cell>
          <cell r="J1280">
            <v>0</v>
          </cell>
          <cell r="K1280">
            <v>0</v>
          </cell>
          <cell r="L1280" t="str">
            <v>平</v>
          </cell>
          <cell r="M1280">
            <v>310</v>
          </cell>
          <cell r="N1280">
            <v>0</v>
          </cell>
          <cell r="O1280">
            <v>0</v>
          </cell>
        </row>
        <row r="1281">
          <cell r="A1281" t="str">
            <v>09</v>
          </cell>
          <cell r="B1281" t="str">
            <v>22</v>
          </cell>
          <cell r="C1281" t="str">
            <v>记-0049</v>
          </cell>
          <cell r="D1281" t="str">
            <v>067</v>
          </cell>
          <cell r="E1281" t="str">
            <v>龙牙燕盏</v>
          </cell>
          <cell r="F1281" t="str">
            <v>结转成本</v>
          </cell>
          <cell r="G1281">
            <v>34.643189999999997</v>
          </cell>
          <cell r="H1281">
            <v>0</v>
          </cell>
          <cell r="I1281">
            <v>0</v>
          </cell>
          <cell r="J1281">
            <v>700</v>
          </cell>
          <cell r="K1281">
            <v>24250.23</v>
          </cell>
          <cell r="L1281" t="str">
            <v>贷</v>
          </cell>
          <cell r="M1281">
            <v>390</v>
          </cell>
          <cell r="N1281">
            <v>0</v>
          </cell>
          <cell r="O1281">
            <v>24250.23</v>
          </cell>
        </row>
        <row r="1282">
          <cell r="A1282" t="str">
            <v>09</v>
          </cell>
          <cell r="B1282" t="str">
            <v>22</v>
          </cell>
          <cell r="C1282" t="str">
            <v>记-0049</v>
          </cell>
          <cell r="D1282" t="str">
            <v>067</v>
          </cell>
          <cell r="E1282" t="str">
            <v>龙牙燕盏</v>
          </cell>
          <cell r="F1282" t="str">
            <v>结转成本</v>
          </cell>
          <cell r="G1282">
            <v>39.712919999999997</v>
          </cell>
          <cell r="H1282">
            <v>0</v>
          </cell>
          <cell r="I1282">
            <v>0</v>
          </cell>
          <cell r="J1282">
            <v>665</v>
          </cell>
          <cell r="K1282">
            <v>26409.09</v>
          </cell>
          <cell r="L1282" t="str">
            <v>贷</v>
          </cell>
          <cell r="M1282">
            <v>1055</v>
          </cell>
          <cell r="N1282">
            <v>0</v>
          </cell>
          <cell r="O1282">
            <v>50659.32</v>
          </cell>
        </row>
        <row r="1283">
          <cell r="A1283" t="str">
            <v>09</v>
          </cell>
          <cell r="B1283" t="str">
            <v>22</v>
          </cell>
          <cell r="C1283" t="str">
            <v>记-0050</v>
          </cell>
          <cell r="D1283" t="str">
            <v>067</v>
          </cell>
          <cell r="E1283" t="str">
            <v>龙牙燕盏</v>
          </cell>
          <cell r="F1283" t="str">
            <v>结转成本</v>
          </cell>
          <cell r="G1283">
            <v>44.782649999999997</v>
          </cell>
          <cell r="H1283">
            <v>0</v>
          </cell>
          <cell r="I1283">
            <v>0</v>
          </cell>
          <cell r="J1283">
            <v>600</v>
          </cell>
          <cell r="K1283">
            <v>26869.59</v>
          </cell>
          <cell r="L1283" t="str">
            <v>贷</v>
          </cell>
          <cell r="M1283">
            <v>1655</v>
          </cell>
          <cell r="N1283">
            <v>0</v>
          </cell>
          <cell r="O1283">
            <v>77528.91</v>
          </cell>
        </row>
        <row r="1284">
          <cell r="A1284" t="str">
            <v>09</v>
          </cell>
          <cell r="B1284" t="str">
            <v>22</v>
          </cell>
          <cell r="C1284" t="str">
            <v>记-0050</v>
          </cell>
          <cell r="D1284" t="str">
            <v>067</v>
          </cell>
          <cell r="E1284" t="str">
            <v>龙牙燕盏</v>
          </cell>
          <cell r="F1284" t="str">
            <v>结转成本</v>
          </cell>
          <cell r="G1284">
            <v>39.712919999999997</v>
          </cell>
          <cell r="H1284">
            <v>0</v>
          </cell>
          <cell r="I1284">
            <v>0</v>
          </cell>
          <cell r="J1284">
            <v>500</v>
          </cell>
          <cell r="K1284">
            <v>19856.46</v>
          </cell>
          <cell r="L1284" t="str">
            <v>贷</v>
          </cell>
          <cell r="M1284">
            <v>2155</v>
          </cell>
          <cell r="N1284">
            <v>0</v>
          </cell>
          <cell r="O1284">
            <v>97385.37</v>
          </cell>
        </row>
        <row r="1285">
          <cell r="A1285" t="str">
            <v>09</v>
          </cell>
          <cell r="B1285" t="str">
            <v>22</v>
          </cell>
          <cell r="C1285" t="str">
            <v>记-0051</v>
          </cell>
          <cell r="D1285" t="str">
            <v>067</v>
          </cell>
          <cell r="E1285" t="str">
            <v>龙牙燕盏</v>
          </cell>
          <cell r="F1285" t="str">
            <v>收购产品</v>
          </cell>
          <cell r="G1285">
            <v>44.782649999999997</v>
          </cell>
          <cell r="H1285">
            <v>600</v>
          </cell>
          <cell r="I1285">
            <v>26869.59</v>
          </cell>
          <cell r="J1285">
            <v>0</v>
          </cell>
          <cell r="K1285">
            <v>0</v>
          </cell>
          <cell r="L1285" t="str">
            <v>贷</v>
          </cell>
          <cell r="M1285">
            <v>1555</v>
          </cell>
          <cell r="N1285">
            <v>0</v>
          </cell>
          <cell r="O1285">
            <v>70515.78</v>
          </cell>
        </row>
        <row r="1286">
          <cell r="A1286" t="str">
            <v>09</v>
          </cell>
          <cell r="B1286" t="str">
            <v>22</v>
          </cell>
          <cell r="C1286" t="str">
            <v>记-0051</v>
          </cell>
          <cell r="D1286" t="str">
            <v>067</v>
          </cell>
          <cell r="E1286" t="str">
            <v>龙牙燕盏</v>
          </cell>
          <cell r="F1286" t="str">
            <v>收购产品</v>
          </cell>
          <cell r="G1286">
            <v>39.712919999999997</v>
          </cell>
          <cell r="H1286">
            <v>500</v>
          </cell>
          <cell r="I1286">
            <v>19856.46</v>
          </cell>
          <cell r="J1286">
            <v>0</v>
          </cell>
          <cell r="K1286">
            <v>0</v>
          </cell>
          <cell r="L1286" t="str">
            <v>贷</v>
          </cell>
          <cell r="M1286">
            <v>1055</v>
          </cell>
          <cell r="N1286">
            <v>0</v>
          </cell>
          <cell r="O1286">
            <v>50659.32</v>
          </cell>
        </row>
        <row r="1287">
          <cell r="A1287" t="str">
            <v>09</v>
          </cell>
          <cell r="B1287" t="str">
            <v>22</v>
          </cell>
          <cell r="C1287" t="str">
            <v>记-0052</v>
          </cell>
          <cell r="D1287" t="str">
            <v>067</v>
          </cell>
          <cell r="E1287" t="str">
            <v>龙牙燕盏</v>
          </cell>
          <cell r="F1287" t="str">
            <v>收购产品</v>
          </cell>
          <cell r="G1287">
            <v>34.643189999999997</v>
          </cell>
          <cell r="H1287">
            <v>700</v>
          </cell>
          <cell r="I1287">
            <v>24250.23</v>
          </cell>
          <cell r="J1287">
            <v>0</v>
          </cell>
          <cell r="K1287">
            <v>0</v>
          </cell>
          <cell r="L1287" t="str">
            <v>贷</v>
          </cell>
          <cell r="M1287">
            <v>355</v>
          </cell>
          <cell r="N1287">
            <v>0</v>
          </cell>
          <cell r="O1287">
            <v>26409.09</v>
          </cell>
        </row>
        <row r="1288">
          <cell r="A1288" t="str">
            <v>09</v>
          </cell>
          <cell r="B1288" t="str">
            <v>22</v>
          </cell>
          <cell r="C1288" t="str">
            <v>记-0052</v>
          </cell>
          <cell r="D1288" t="str">
            <v>067</v>
          </cell>
          <cell r="E1288" t="str">
            <v>龙牙燕盏</v>
          </cell>
          <cell r="F1288" t="str">
            <v>收购产品</v>
          </cell>
          <cell r="G1288">
            <v>39.712919999999997</v>
          </cell>
          <cell r="H1288">
            <v>665</v>
          </cell>
          <cell r="I1288">
            <v>26409.09</v>
          </cell>
          <cell r="J1288">
            <v>0</v>
          </cell>
          <cell r="K1288">
            <v>0</v>
          </cell>
          <cell r="L1288" t="str">
            <v>平</v>
          </cell>
          <cell r="M1288">
            <v>310</v>
          </cell>
          <cell r="N1288">
            <v>0</v>
          </cell>
          <cell r="O1288">
            <v>0</v>
          </cell>
        </row>
        <row r="1289">
          <cell r="A1289" t="str">
            <v>09</v>
          </cell>
          <cell r="F1289" t="str">
            <v>本月合计</v>
          </cell>
          <cell r="G1289">
            <v>0</v>
          </cell>
          <cell r="H1289">
            <v>3365</v>
          </cell>
          <cell r="I1289">
            <v>136675.81</v>
          </cell>
          <cell r="J1289">
            <v>3365</v>
          </cell>
          <cell r="K1289">
            <v>136675.81</v>
          </cell>
          <cell r="L1289" t="str">
            <v>平</v>
          </cell>
          <cell r="M1289">
            <v>310</v>
          </cell>
          <cell r="N1289">
            <v>0</v>
          </cell>
          <cell r="O1289">
            <v>0</v>
          </cell>
        </row>
        <row r="1290">
          <cell r="A1290" t="str">
            <v>09</v>
          </cell>
          <cell r="F1290" t="str">
            <v>累    计</v>
          </cell>
          <cell r="G1290">
            <v>0</v>
          </cell>
          <cell r="H1290">
            <v>14081</v>
          </cell>
          <cell r="I1290">
            <v>574759.86</v>
          </cell>
          <cell r="J1290">
            <v>13771</v>
          </cell>
          <cell r="K1290">
            <v>574759.86</v>
          </cell>
          <cell r="L1290" t="str">
            <v>平</v>
          </cell>
          <cell r="M1290">
            <v>310</v>
          </cell>
          <cell r="N1290">
            <v>0</v>
          </cell>
          <cell r="O1290">
            <v>0</v>
          </cell>
        </row>
        <row r="1291">
          <cell r="A1291" t="str">
            <v>12</v>
          </cell>
          <cell r="B1291" t="str">
            <v>11</v>
          </cell>
          <cell r="C1291" t="str">
            <v>记-0017</v>
          </cell>
          <cell r="D1291" t="str">
            <v>067</v>
          </cell>
          <cell r="E1291" t="str">
            <v>龙牙燕盏</v>
          </cell>
          <cell r="F1291" t="str">
            <v>收购产品</v>
          </cell>
          <cell r="G1291">
            <v>44.529170000000001</v>
          </cell>
          <cell r="H1291">
            <v>300</v>
          </cell>
          <cell r="I1291">
            <v>13358.75</v>
          </cell>
          <cell r="J1291">
            <v>0</v>
          </cell>
          <cell r="K1291">
            <v>0</v>
          </cell>
          <cell r="L1291" t="str">
            <v>借</v>
          </cell>
          <cell r="M1291">
            <v>610</v>
          </cell>
          <cell r="N1291">
            <v>0</v>
          </cell>
          <cell r="O1291">
            <v>13358.75</v>
          </cell>
        </row>
        <row r="1292">
          <cell r="A1292" t="str">
            <v>12</v>
          </cell>
          <cell r="B1292" t="str">
            <v>11</v>
          </cell>
          <cell r="C1292" t="str">
            <v>记-0017</v>
          </cell>
          <cell r="D1292" t="str">
            <v>067</v>
          </cell>
          <cell r="E1292" t="str">
            <v>龙牙燕盏</v>
          </cell>
          <cell r="F1292" t="str">
            <v>收购产品</v>
          </cell>
          <cell r="G1292">
            <v>33.798220000000001</v>
          </cell>
          <cell r="H1292">
            <v>670</v>
          </cell>
          <cell r="I1292">
            <v>22644.81</v>
          </cell>
          <cell r="J1292">
            <v>0</v>
          </cell>
          <cell r="K1292">
            <v>0</v>
          </cell>
          <cell r="L1292" t="str">
            <v>借</v>
          </cell>
          <cell r="M1292">
            <v>1280</v>
          </cell>
          <cell r="N1292">
            <v>0</v>
          </cell>
          <cell r="O1292">
            <v>36003.56</v>
          </cell>
        </row>
        <row r="1293">
          <cell r="A1293" t="str">
            <v>12</v>
          </cell>
          <cell r="B1293" t="str">
            <v>11</v>
          </cell>
          <cell r="C1293" t="str">
            <v>记-0018</v>
          </cell>
          <cell r="D1293" t="str">
            <v>067</v>
          </cell>
          <cell r="E1293" t="str">
            <v>龙牙燕盏</v>
          </cell>
          <cell r="F1293" t="str">
            <v>收购产品</v>
          </cell>
          <cell r="G1293">
            <v>48.162480000000002</v>
          </cell>
          <cell r="H1293">
            <v>480</v>
          </cell>
          <cell r="I1293">
            <v>23117.99</v>
          </cell>
          <cell r="J1293">
            <v>0</v>
          </cell>
          <cell r="K1293">
            <v>0</v>
          </cell>
          <cell r="L1293" t="str">
            <v>借</v>
          </cell>
          <cell r="M1293">
            <v>1760</v>
          </cell>
          <cell r="N1293">
            <v>0</v>
          </cell>
          <cell r="O1293">
            <v>59121.55</v>
          </cell>
        </row>
        <row r="1294">
          <cell r="A1294" t="str">
            <v>12</v>
          </cell>
          <cell r="B1294" t="str">
            <v>11</v>
          </cell>
          <cell r="C1294" t="str">
            <v>记-0019</v>
          </cell>
          <cell r="D1294" t="str">
            <v>067</v>
          </cell>
          <cell r="E1294" t="str">
            <v>龙牙燕盏</v>
          </cell>
          <cell r="F1294" t="str">
            <v>收购产品</v>
          </cell>
          <cell r="G1294">
            <v>44.52919</v>
          </cell>
          <cell r="H1294">
            <v>160</v>
          </cell>
          <cell r="I1294">
            <v>7124.67</v>
          </cell>
          <cell r="J1294">
            <v>0</v>
          </cell>
          <cell r="K1294">
            <v>0</v>
          </cell>
          <cell r="L1294" t="str">
            <v>借</v>
          </cell>
          <cell r="M1294">
            <v>1920</v>
          </cell>
          <cell r="N1294">
            <v>0</v>
          </cell>
          <cell r="O1294">
            <v>66246.22</v>
          </cell>
        </row>
        <row r="1295">
          <cell r="A1295" t="str">
            <v>12</v>
          </cell>
          <cell r="B1295" t="str">
            <v>11</v>
          </cell>
          <cell r="C1295" t="str">
            <v>记-0019</v>
          </cell>
          <cell r="D1295" t="str">
            <v>067</v>
          </cell>
          <cell r="E1295" t="str">
            <v>龙牙燕盏</v>
          </cell>
          <cell r="F1295" t="str">
            <v>收购产品</v>
          </cell>
          <cell r="G1295">
            <v>33.79824</v>
          </cell>
          <cell r="H1295">
            <v>330</v>
          </cell>
          <cell r="I1295">
            <v>11153.42</v>
          </cell>
          <cell r="J1295">
            <v>0</v>
          </cell>
          <cell r="K1295">
            <v>0</v>
          </cell>
          <cell r="L1295" t="str">
            <v>借</v>
          </cell>
          <cell r="M1295">
            <v>2250</v>
          </cell>
          <cell r="N1295">
            <v>0</v>
          </cell>
          <cell r="O1295">
            <v>77399.64</v>
          </cell>
        </row>
        <row r="1296">
          <cell r="A1296" t="str">
            <v>12</v>
          </cell>
          <cell r="B1296" t="str">
            <v>11</v>
          </cell>
          <cell r="C1296" t="str">
            <v>记-0020</v>
          </cell>
          <cell r="D1296" t="str">
            <v>067</v>
          </cell>
          <cell r="E1296" t="str">
            <v>龙牙燕盏</v>
          </cell>
          <cell r="F1296" t="str">
            <v>收购产品</v>
          </cell>
          <cell r="G1296">
            <v>14.321999999999999</v>
          </cell>
          <cell r="H1296">
            <v>2845</v>
          </cell>
          <cell r="I1296">
            <v>40746.089999999997</v>
          </cell>
          <cell r="J1296">
            <v>0</v>
          </cell>
          <cell r="K1296">
            <v>0</v>
          </cell>
          <cell r="L1296" t="str">
            <v>借</v>
          </cell>
          <cell r="M1296">
            <v>5095</v>
          </cell>
          <cell r="N1296">
            <v>0</v>
          </cell>
          <cell r="O1296">
            <v>118145.73</v>
          </cell>
        </row>
        <row r="1297">
          <cell r="A1297" t="str">
            <v>12</v>
          </cell>
          <cell r="B1297" t="str">
            <v>11</v>
          </cell>
          <cell r="C1297" t="str">
            <v>记-0025</v>
          </cell>
          <cell r="D1297" t="str">
            <v>067</v>
          </cell>
          <cell r="E1297" t="str">
            <v>龙牙燕盏</v>
          </cell>
          <cell r="F1297" t="str">
            <v>收购产品</v>
          </cell>
          <cell r="G1297">
            <v>33.798229999999997</v>
          </cell>
          <cell r="H1297">
            <v>600</v>
          </cell>
          <cell r="I1297">
            <v>20278.939999999999</v>
          </cell>
          <cell r="J1297">
            <v>0</v>
          </cell>
          <cell r="K1297">
            <v>0</v>
          </cell>
          <cell r="L1297" t="str">
            <v>借</v>
          </cell>
          <cell r="M1297">
            <v>5695</v>
          </cell>
          <cell r="N1297">
            <v>0</v>
          </cell>
          <cell r="O1297">
            <v>138424.67000000001</v>
          </cell>
        </row>
        <row r="1298">
          <cell r="A1298" t="str">
            <v>12</v>
          </cell>
          <cell r="B1298" t="str">
            <v>11</v>
          </cell>
          <cell r="C1298" t="str">
            <v>记-0025</v>
          </cell>
          <cell r="D1298" t="str">
            <v>067</v>
          </cell>
          <cell r="E1298" t="str">
            <v>龙牙燕盏</v>
          </cell>
          <cell r="F1298" t="str">
            <v>收购产品</v>
          </cell>
          <cell r="G1298">
            <v>44.529159999999997</v>
          </cell>
          <cell r="H1298">
            <v>380</v>
          </cell>
          <cell r="I1298">
            <v>16921.080000000002</v>
          </cell>
          <cell r="J1298">
            <v>0</v>
          </cell>
          <cell r="K1298">
            <v>0</v>
          </cell>
          <cell r="L1298" t="str">
            <v>借</v>
          </cell>
          <cell r="M1298">
            <v>6075</v>
          </cell>
          <cell r="N1298">
            <v>0</v>
          </cell>
          <cell r="O1298">
            <v>155345.75</v>
          </cell>
        </row>
        <row r="1299">
          <cell r="A1299" t="str">
            <v>12</v>
          </cell>
          <cell r="B1299" t="str">
            <v>11</v>
          </cell>
          <cell r="C1299" t="str">
            <v>记-0027</v>
          </cell>
          <cell r="D1299" t="str">
            <v>067</v>
          </cell>
          <cell r="E1299" t="str">
            <v>龙牙燕盏</v>
          </cell>
          <cell r="F1299" t="str">
            <v>结转成本</v>
          </cell>
          <cell r="G1299">
            <v>44.52919</v>
          </cell>
          <cell r="H1299">
            <v>0</v>
          </cell>
          <cell r="I1299">
            <v>0</v>
          </cell>
          <cell r="J1299">
            <v>160</v>
          </cell>
          <cell r="K1299">
            <v>7124.67</v>
          </cell>
          <cell r="L1299" t="str">
            <v>借</v>
          </cell>
          <cell r="M1299">
            <v>5915</v>
          </cell>
          <cell r="N1299">
            <v>0</v>
          </cell>
          <cell r="O1299">
            <v>148221.07999999999</v>
          </cell>
        </row>
        <row r="1300">
          <cell r="A1300" t="str">
            <v>12</v>
          </cell>
          <cell r="B1300" t="str">
            <v>11</v>
          </cell>
          <cell r="C1300" t="str">
            <v>记-0027</v>
          </cell>
          <cell r="D1300" t="str">
            <v>067</v>
          </cell>
          <cell r="E1300" t="str">
            <v>龙牙燕盏</v>
          </cell>
          <cell r="F1300" t="str">
            <v>结转成本</v>
          </cell>
          <cell r="G1300">
            <v>33.79824</v>
          </cell>
          <cell r="H1300">
            <v>0</v>
          </cell>
          <cell r="I1300">
            <v>0</v>
          </cell>
          <cell r="J1300">
            <v>330</v>
          </cell>
          <cell r="K1300">
            <v>11153.42</v>
          </cell>
          <cell r="L1300" t="str">
            <v>借</v>
          </cell>
          <cell r="M1300">
            <v>5585</v>
          </cell>
          <cell r="N1300">
            <v>0</v>
          </cell>
          <cell r="O1300">
            <v>137067.66</v>
          </cell>
        </row>
        <row r="1301">
          <cell r="A1301" t="str">
            <v>12</v>
          </cell>
          <cell r="B1301" t="str">
            <v>11</v>
          </cell>
          <cell r="C1301" t="str">
            <v>记-0028</v>
          </cell>
          <cell r="D1301" t="str">
            <v>067</v>
          </cell>
          <cell r="E1301" t="str">
            <v>龙牙燕盏</v>
          </cell>
          <cell r="F1301" t="str">
            <v>结转成本</v>
          </cell>
          <cell r="G1301">
            <v>14.321999999999999</v>
          </cell>
          <cell r="H1301">
            <v>0</v>
          </cell>
          <cell r="I1301">
            <v>0</v>
          </cell>
          <cell r="J1301">
            <v>2845</v>
          </cell>
          <cell r="K1301">
            <v>40746.089999999997</v>
          </cell>
          <cell r="L1301" t="str">
            <v>借</v>
          </cell>
          <cell r="M1301">
            <v>2740</v>
          </cell>
          <cell r="N1301">
            <v>0</v>
          </cell>
          <cell r="O1301">
            <v>96321.57</v>
          </cell>
        </row>
        <row r="1302">
          <cell r="A1302" t="str">
            <v>12</v>
          </cell>
          <cell r="B1302" t="str">
            <v>11</v>
          </cell>
          <cell r="C1302" t="str">
            <v>记-0030</v>
          </cell>
          <cell r="D1302" t="str">
            <v>067</v>
          </cell>
          <cell r="E1302" t="str">
            <v>龙牙燕盏</v>
          </cell>
          <cell r="F1302" t="str">
            <v>结转成本</v>
          </cell>
          <cell r="G1302">
            <v>48.162480000000002</v>
          </cell>
          <cell r="H1302">
            <v>0</v>
          </cell>
          <cell r="I1302">
            <v>0</v>
          </cell>
          <cell r="J1302">
            <v>480</v>
          </cell>
          <cell r="K1302">
            <v>23117.99</v>
          </cell>
          <cell r="L1302" t="str">
            <v>借</v>
          </cell>
          <cell r="M1302">
            <v>2260</v>
          </cell>
          <cell r="N1302">
            <v>0</v>
          </cell>
          <cell r="O1302">
            <v>73203.58</v>
          </cell>
        </row>
        <row r="1303">
          <cell r="A1303" t="str">
            <v>12</v>
          </cell>
          <cell r="B1303" t="str">
            <v>11</v>
          </cell>
          <cell r="C1303" t="str">
            <v>记-0034</v>
          </cell>
          <cell r="D1303" t="str">
            <v>067</v>
          </cell>
          <cell r="E1303" t="str">
            <v>龙牙燕盏</v>
          </cell>
          <cell r="F1303" t="str">
            <v>结转成本</v>
          </cell>
          <cell r="G1303">
            <v>44.529159999999997</v>
          </cell>
          <cell r="H1303">
            <v>0</v>
          </cell>
          <cell r="I1303">
            <v>0</v>
          </cell>
          <cell r="J1303">
            <v>380</v>
          </cell>
          <cell r="K1303">
            <v>16921.080000000002</v>
          </cell>
          <cell r="L1303" t="str">
            <v>借</v>
          </cell>
          <cell r="M1303">
            <v>1880</v>
          </cell>
          <cell r="N1303">
            <v>0</v>
          </cell>
          <cell r="O1303">
            <v>56282.5</v>
          </cell>
        </row>
        <row r="1304">
          <cell r="A1304" t="str">
            <v>12</v>
          </cell>
          <cell r="B1304" t="str">
            <v>11</v>
          </cell>
          <cell r="C1304" t="str">
            <v>记-0034</v>
          </cell>
          <cell r="D1304" t="str">
            <v>067</v>
          </cell>
          <cell r="E1304" t="str">
            <v>龙牙燕盏</v>
          </cell>
          <cell r="F1304" t="str">
            <v>结转成本</v>
          </cell>
          <cell r="G1304">
            <v>33.798229999999997</v>
          </cell>
          <cell r="H1304">
            <v>0</v>
          </cell>
          <cell r="I1304">
            <v>0</v>
          </cell>
          <cell r="J1304">
            <v>600</v>
          </cell>
          <cell r="K1304">
            <v>20278.939999999999</v>
          </cell>
          <cell r="L1304" t="str">
            <v>借</v>
          </cell>
          <cell r="M1304">
            <v>1280</v>
          </cell>
          <cell r="N1304">
            <v>0</v>
          </cell>
          <cell r="O1304">
            <v>36003.56</v>
          </cell>
        </row>
        <row r="1305">
          <cell r="A1305" t="str">
            <v>12</v>
          </cell>
          <cell r="B1305" t="str">
            <v>11</v>
          </cell>
          <cell r="C1305" t="str">
            <v>记-0036</v>
          </cell>
          <cell r="D1305" t="str">
            <v>067</v>
          </cell>
          <cell r="E1305" t="str">
            <v>龙牙燕盏</v>
          </cell>
          <cell r="F1305" t="str">
            <v>结转成本</v>
          </cell>
          <cell r="G1305">
            <v>44.529170000000001</v>
          </cell>
          <cell r="H1305">
            <v>0</v>
          </cell>
          <cell r="I1305">
            <v>0</v>
          </cell>
          <cell r="J1305">
            <v>300</v>
          </cell>
          <cell r="K1305">
            <v>13358.75</v>
          </cell>
          <cell r="L1305" t="str">
            <v>借</v>
          </cell>
          <cell r="M1305">
            <v>980</v>
          </cell>
          <cell r="N1305">
            <v>0</v>
          </cell>
          <cell r="O1305">
            <v>22644.81</v>
          </cell>
        </row>
        <row r="1306">
          <cell r="A1306" t="str">
            <v>12</v>
          </cell>
          <cell r="B1306" t="str">
            <v>11</v>
          </cell>
          <cell r="C1306" t="str">
            <v>记-0036</v>
          </cell>
          <cell r="D1306" t="str">
            <v>067</v>
          </cell>
          <cell r="E1306" t="str">
            <v>龙牙燕盏</v>
          </cell>
          <cell r="F1306" t="str">
            <v>结转成本</v>
          </cell>
          <cell r="G1306">
            <v>33.798220000000001</v>
          </cell>
          <cell r="H1306">
            <v>0</v>
          </cell>
          <cell r="I1306">
            <v>0</v>
          </cell>
          <cell r="J1306">
            <v>670</v>
          </cell>
          <cell r="K1306">
            <v>22644.81</v>
          </cell>
          <cell r="L1306" t="str">
            <v>平</v>
          </cell>
          <cell r="M1306">
            <v>310</v>
          </cell>
          <cell r="N1306">
            <v>0</v>
          </cell>
          <cell r="O1306">
            <v>0</v>
          </cell>
        </row>
        <row r="1307">
          <cell r="A1307" t="str">
            <v>12</v>
          </cell>
          <cell r="F1307" t="str">
            <v>本月合计</v>
          </cell>
          <cell r="G1307">
            <v>0</v>
          </cell>
          <cell r="H1307">
            <v>5765</v>
          </cell>
          <cell r="I1307">
            <v>155345.75</v>
          </cell>
          <cell r="J1307">
            <v>5765</v>
          </cell>
          <cell r="K1307">
            <v>155345.75</v>
          </cell>
          <cell r="L1307" t="str">
            <v>平</v>
          </cell>
          <cell r="M1307">
            <v>310</v>
          </cell>
          <cell r="N1307">
            <v>0</v>
          </cell>
          <cell r="O1307">
            <v>0</v>
          </cell>
        </row>
        <row r="1308">
          <cell r="A1308" t="str">
            <v>12</v>
          </cell>
          <cell r="E1308" t="str">
            <v>龙牙燕盏</v>
          </cell>
          <cell r="F1308" t="str">
            <v>本年累计</v>
          </cell>
          <cell r="G1308">
            <v>0</v>
          </cell>
          <cell r="H1308">
            <v>19846</v>
          </cell>
          <cell r="I1308">
            <v>730105.61</v>
          </cell>
          <cell r="J1308">
            <v>19536</v>
          </cell>
          <cell r="K1308">
            <v>730105.61</v>
          </cell>
          <cell r="L1308" t="str">
            <v>平</v>
          </cell>
          <cell r="M1308">
            <v>310</v>
          </cell>
          <cell r="N1308">
            <v>0</v>
          </cell>
          <cell r="O1308">
            <v>0</v>
          </cell>
        </row>
        <row r="1309">
          <cell r="A1309" t="str">
            <v>01</v>
          </cell>
          <cell r="B1309" t="str">
            <v>31</v>
          </cell>
          <cell r="C1309" t="str">
            <v>记-0030</v>
          </cell>
          <cell r="D1309" t="str">
            <v>068</v>
          </cell>
          <cell r="E1309" t="str">
            <v>中野小花旗参</v>
          </cell>
          <cell r="F1309" t="str">
            <v>收购产品</v>
          </cell>
          <cell r="G1309">
            <v>23.067299999999999</v>
          </cell>
          <cell r="H1309">
            <v>400</v>
          </cell>
          <cell r="I1309">
            <v>9226.92</v>
          </cell>
          <cell r="J1309">
            <v>0</v>
          </cell>
          <cell r="K1309">
            <v>0</v>
          </cell>
          <cell r="L1309" t="str">
            <v>借</v>
          </cell>
          <cell r="M1309">
            <v>400</v>
          </cell>
          <cell r="N1309">
            <v>0</v>
          </cell>
          <cell r="O1309">
            <v>9226.92</v>
          </cell>
        </row>
        <row r="1310">
          <cell r="A1310" t="str">
            <v>01</v>
          </cell>
          <cell r="B1310" t="str">
            <v>31</v>
          </cell>
          <cell r="C1310" t="str">
            <v>记-0044</v>
          </cell>
          <cell r="D1310" t="str">
            <v>068</v>
          </cell>
          <cell r="E1310" t="str">
            <v>中野小花旗参</v>
          </cell>
          <cell r="F1310" t="str">
            <v>结转销售成本</v>
          </cell>
          <cell r="G1310">
            <v>23.067299999999999</v>
          </cell>
          <cell r="H1310">
            <v>0</v>
          </cell>
          <cell r="I1310">
            <v>0</v>
          </cell>
          <cell r="J1310">
            <v>400</v>
          </cell>
          <cell r="K1310">
            <v>9226.92</v>
          </cell>
          <cell r="L1310" t="str">
            <v>平</v>
          </cell>
          <cell r="M1310">
            <v>0</v>
          </cell>
          <cell r="N1310">
            <v>0</v>
          </cell>
          <cell r="O1310">
            <v>0</v>
          </cell>
        </row>
        <row r="1311">
          <cell r="A1311" t="str">
            <v>01</v>
          </cell>
          <cell r="F1311" t="str">
            <v>本月合计</v>
          </cell>
          <cell r="G1311">
            <v>0</v>
          </cell>
          <cell r="H1311">
            <v>400</v>
          </cell>
          <cell r="I1311">
            <v>9226.92</v>
          </cell>
          <cell r="J1311">
            <v>400</v>
          </cell>
          <cell r="K1311">
            <v>9226.92</v>
          </cell>
          <cell r="L1311" t="str">
            <v>平</v>
          </cell>
          <cell r="M1311">
            <v>0</v>
          </cell>
          <cell r="N1311">
            <v>0</v>
          </cell>
          <cell r="O1311">
            <v>0</v>
          </cell>
        </row>
        <row r="1312">
          <cell r="A1312" t="str">
            <v>01</v>
          </cell>
          <cell r="F1312" t="str">
            <v>累    计</v>
          </cell>
          <cell r="G1312">
            <v>0</v>
          </cell>
          <cell r="H1312">
            <v>400</v>
          </cell>
          <cell r="I1312">
            <v>9226.92</v>
          </cell>
          <cell r="J1312">
            <v>400</v>
          </cell>
          <cell r="K1312">
            <v>9226.92</v>
          </cell>
          <cell r="L1312" t="str">
            <v>平</v>
          </cell>
          <cell r="M1312">
            <v>0</v>
          </cell>
          <cell r="N1312">
            <v>0</v>
          </cell>
          <cell r="O1312">
            <v>0</v>
          </cell>
        </row>
        <row r="1313">
          <cell r="A1313" t="str">
            <v>02</v>
          </cell>
          <cell r="B1313" t="str">
            <v>28</v>
          </cell>
          <cell r="C1313" t="str">
            <v>记-0063</v>
          </cell>
          <cell r="D1313" t="str">
            <v>068</v>
          </cell>
          <cell r="E1313" t="str">
            <v>中野小花旗参</v>
          </cell>
          <cell r="F1313" t="str">
            <v>结转成本</v>
          </cell>
          <cell r="G1313">
            <v>24.503710000000002</v>
          </cell>
          <cell r="H1313">
            <v>0</v>
          </cell>
          <cell r="I1313">
            <v>0</v>
          </cell>
          <cell r="J1313">
            <v>1400</v>
          </cell>
          <cell r="K1313">
            <v>34305.199999999997</v>
          </cell>
          <cell r="L1313" t="str">
            <v>贷</v>
          </cell>
          <cell r="M1313">
            <v>1400</v>
          </cell>
          <cell r="N1313">
            <v>0</v>
          </cell>
          <cell r="O1313">
            <v>34305.199999999997</v>
          </cell>
        </row>
        <row r="1314">
          <cell r="A1314" t="str">
            <v>02</v>
          </cell>
          <cell r="B1314" t="str">
            <v>28</v>
          </cell>
          <cell r="C1314" t="str">
            <v>记-0069</v>
          </cell>
          <cell r="D1314" t="str">
            <v>068</v>
          </cell>
          <cell r="E1314" t="str">
            <v>中野小花旗参</v>
          </cell>
          <cell r="F1314" t="str">
            <v>收购产品</v>
          </cell>
          <cell r="G1314">
            <v>24.503710000000002</v>
          </cell>
          <cell r="H1314">
            <v>1400</v>
          </cell>
          <cell r="I1314">
            <v>34305.199999999997</v>
          </cell>
          <cell r="J1314">
            <v>0</v>
          </cell>
          <cell r="K1314">
            <v>0</v>
          </cell>
          <cell r="L1314" t="str">
            <v>平</v>
          </cell>
          <cell r="M1314">
            <v>0</v>
          </cell>
          <cell r="N1314">
            <v>0</v>
          </cell>
          <cell r="O1314">
            <v>0</v>
          </cell>
        </row>
        <row r="1315">
          <cell r="A1315" t="str">
            <v>02</v>
          </cell>
          <cell r="F1315" t="str">
            <v>本月合计</v>
          </cell>
          <cell r="G1315">
            <v>0</v>
          </cell>
          <cell r="H1315">
            <v>1400</v>
          </cell>
          <cell r="I1315">
            <v>34305.199999999997</v>
          </cell>
          <cell r="J1315">
            <v>1400</v>
          </cell>
          <cell r="K1315">
            <v>34305.199999999997</v>
          </cell>
          <cell r="L1315" t="str">
            <v>平</v>
          </cell>
          <cell r="M1315">
            <v>0</v>
          </cell>
          <cell r="N1315">
            <v>0</v>
          </cell>
          <cell r="O1315">
            <v>0</v>
          </cell>
        </row>
        <row r="1316">
          <cell r="A1316" t="str">
            <v>02</v>
          </cell>
          <cell r="F1316" t="str">
            <v>累    计</v>
          </cell>
          <cell r="G1316">
            <v>0</v>
          </cell>
          <cell r="H1316">
            <v>1800</v>
          </cell>
          <cell r="I1316">
            <v>43532.12</v>
          </cell>
          <cell r="J1316">
            <v>1800</v>
          </cell>
          <cell r="K1316">
            <v>43532.12</v>
          </cell>
          <cell r="L1316" t="str">
            <v>平</v>
          </cell>
          <cell r="M1316">
            <v>0</v>
          </cell>
          <cell r="N1316">
            <v>0</v>
          </cell>
          <cell r="O1316">
            <v>0</v>
          </cell>
        </row>
        <row r="1317">
          <cell r="A1317" t="str">
            <v>09</v>
          </cell>
          <cell r="B1317" t="str">
            <v>22</v>
          </cell>
          <cell r="C1317" t="str">
            <v>记-0038</v>
          </cell>
          <cell r="D1317" t="str">
            <v>068</v>
          </cell>
          <cell r="E1317" t="str">
            <v>中野小花旗参</v>
          </cell>
          <cell r="F1317" t="str">
            <v>收购产品</v>
          </cell>
          <cell r="G1317">
            <v>25.348680000000002</v>
          </cell>
          <cell r="H1317">
            <v>800</v>
          </cell>
          <cell r="I1317">
            <v>20278.939999999999</v>
          </cell>
          <cell r="J1317">
            <v>0</v>
          </cell>
          <cell r="K1317">
            <v>0</v>
          </cell>
          <cell r="L1317" t="str">
            <v>借</v>
          </cell>
          <cell r="M1317">
            <v>800</v>
          </cell>
          <cell r="N1317">
            <v>0</v>
          </cell>
          <cell r="O1317">
            <v>20278.939999999999</v>
          </cell>
        </row>
        <row r="1318">
          <cell r="A1318" t="str">
            <v>09</v>
          </cell>
          <cell r="F1318" t="str">
            <v>本月合计</v>
          </cell>
          <cell r="G1318">
            <v>0</v>
          </cell>
          <cell r="H1318">
            <v>800</v>
          </cell>
          <cell r="I1318">
            <v>20278.939999999999</v>
          </cell>
          <cell r="J1318">
            <v>0</v>
          </cell>
          <cell r="K1318">
            <v>0</v>
          </cell>
          <cell r="L1318" t="str">
            <v>借</v>
          </cell>
          <cell r="M1318">
            <v>800</v>
          </cell>
          <cell r="N1318">
            <v>25.348680000000002</v>
          </cell>
          <cell r="O1318">
            <v>20278.939999999999</v>
          </cell>
        </row>
        <row r="1319">
          <cell r="A1319" t="str">
            <v>09</v>
          </cell>
          <cell r="F1319" t="str">
            <v>累    计</v>
          </cell>
          <cell r="G1319">
            <v>0</v>
          </cell>
          <cell r="H1319">
            <v>2600</v>
          </cell>
          <cell r="I1319">
            <v>63811.06</v>
          </cell>
          <cell r="J1319">
            <v>1800</v>
          </cell>
          <cell r="K1319">
            <v>43532.12</v>
          </cell>
          <cell r="L1319" t="str">
            <v>借</v>
          </cell>
          <cell r="M1319">
            <v>800</v>
          </cell>
          <cell r="N1319">
            <v>25.348680000000002</v>
          </cell>
          <cell r="O1319">
            <v>20278.939999999999</v>
          </cell>
        </row>
        <row r="1320">
          <cell r="A1320" t="str">
            <v>11</v>
          </cell>
          <cell r="B1320" t="str">
            <v>30</v>
          </cell>
          <cell r="C1320" t="str">
            <v>记-0137</v>
          </cell>
          <cell r="D1320" t="str">
            <v>068</v>
          </cell>
          <cell r="E1320" t="str">
            <v>中野小花旗参</v>
          </cell>
          <cell r="F1320" t="str">
            <v>调整9月34号凭</v>
          </cell>
          <cell r="G1320">
            <v>25.348680000000002</v>
          </cell>
          <cell r="H1320">
            <v>0</v>
          </cell>
          <cell r="I1320">
            <v>0</v>
          </cell>
          <cell r="J1320">
            <v>800</v>
          </cell>
          <cell r="K1320">
            <v>20278.939999999999</v>
          </cell>
          <cell r="L1320" t="str">
            <v>平</v>
          </cell>
          <cell r="M1320">
            <v>0</v>
          </cell>
          <cell r="N1320">
            <v>0</v>
          </cell>
          <cell r="O1320">
            <v>0</v>
          </cell>
        </row>
        <row r="1321">
          <cell r="A1321" t="str">
            <v>11</v>
          </cell>
          <cell r="F1321" t="str">
            <v>本月合计</v>
          </cell>
          <cell r="G1321">
            <v>0</v>
          </cell>
          <cell r="H1321">
            <v>0</v>
          </cell>
          <cell r="I1321">
            <v>0</v>
          </cell>
          <cell r="J1321">
            <v>800</v>
          </cell>
          <cell r="K1321">
            <v>20278.939999999999</v>
          </cell>
          <cell r="L1321" t="str">
            <v>平</v>
          </cell>
          <cell r="M1321">
            <v>0</v>
          </cell>
          <cell r="N1321">
            <v>0</v>
          </cell>
          <cell r="O1321">
            <v>0</v>
          </cell>
        </row>
        <row r="1322">
          <cell r="A1322" t="str">
            <v>11</v>
          </cell>
          <cell r="F1322" t="str">
            <v>累    计</v>
          </cell>
          <cell r="G1322">
            <v>0</v>
          </cell>
          <cell r="H1322">
            <v>2600</v>
          </cell>
          <cell r="I1322">
            <v>63811.06</v>
          </cell>
          <cell r="J1322">
            <v>2600</v>
          </cell>
          <cell r="K1322">
            <v>63811.06</v>
          </cell>
          <cell r="L1322" t="str">
            <v>平</v>
          </cell>
          <cell r="M1322">
            <v>0</v>
          </cell>
          <cell r="N1322">
            <v>0</v>
          </cell>
          <cell r="O1322">
            <v>0</v>
          </cell>
        </row>
        <row r="1323">
          <cell r="A1323" t="str">
            <v>12</v>
          </cell>
          <cell r="B1323" t="str">
            <v>11</v>
          </cell>
          <cell r="C1323" t="str">
            <v>记-0018</v>
          </cell>
          <cell r="D1323" t="str">
            <v>068</v>
          </cell>
          <cell r="E1323" t="str">
            <v>中野小花旗参</v>
          </cell>
          <cell r="F1323" t="str">
            <v>收购产品</v>
          </cell>
          <cell r="G1323">
            <v>25.348669999999998</v>
          </cell>
          <cell r="H1323">
            <v>360</v>
          </cell>
          <cell r="I1323">
            <v>9125.52</v>
          </cell>
          <cell r="J1323">
            <v>0</v>
          </cell>
          <cell r="K1323">
            <v>0</v>
          </cell>
          <cell r="L1323" t="str">
            <v>借</v>
          </cell>
          <cell r="M1323">
            <v>360</v>
          </cell>
          <cell r="N1323">
            <v>0</v>
          </cell>
          <cell r="O1323">
            <v>9125.52</v>
          </cell>
        </row>
        <row r="1324">
          <cell r="A1324" t="str">
            <v>12</v>
          </cell>
          <cell r="B1324" t="str">
            <v>11</v>
          </cell>
          <cell r="C1324" t="str">
            <v>记-0030</v>
          </cell>
          <cell r="D1324" t="str">
            <v>068</v>
          </cell>
          <cell r="E1324" t="str">
            <v>中野小花旗参</v>
          </cell>
          <cell r="F1324" t="str">
            <v>结转成本</v>
          </cell>
          <cell r="G1324">
            <v>25.348669999999998</v>
          </cell>
          <cell r="H1324">
            <v>0</v>
          </cell>
          <cell r="I1324">
            <v>0</v>
          </cell>
          <cell r="J1324">
            <v>360</v>
          </cell>
          <cell r="K1324">
            <v>9125.52</v>
          </cell>
          <cell r="L1324" t="str">
            <v>平</v>
          </cell>
          <cell r="M1324">
            <v>0</v>
          </cell>
          <cell r="N1324">
            <v>0</v>
          </cell>
          <cell r="O1324">
            <v>0</v>
          </cell>
        </row>
        <row r="1325">
          <cell r="A1325" t="str">
            <v>12</v>
          </cell>
          <cell r="F1325" t="str">
            <v>本月合计</v>
          </cell>
          <cell r="G1325">
            <v>0</v>
          </cell>
          <cell r="H1325">
            <v>360</v>
          </cell>
          <cell r="I1325">
            <v>9125.52</v>
          </cell>
          <cell r="J1325">
            <v>360</v>
          </cell>
          <cell r="K1325">
            <v>9125.52</v>
          </cell>
          <cell r="L1325" t="str">
            <v>平</v>
          </cell>
          <cell r="M1325">
            <v>0</v>
          </cell>
          <cell r="N1325">
            <v>0</v>
          </cell>
          <cell r="O1325">
            <v>0</v>
          </cell>
        </row>
        <row r="1326">
          <cell r="A1326" t="str">
            <v>12</v>
          </cell>
          <cell r="E1326" t="str">
            <v>中野小花旗参</v>
          </cell>
          <cell r="F1326" t="str">
            <v>本年累计</v>
          </cell>
          <cell r="G1326">
            <v>0</v>
          </cell>
          <cell r="H1326">
            <v>2960</v>
          </cell>
          <cell r="I1326">
            <v>72936.58</v>
          </cell>
          <cell r="J1326">
            <v>2960</v>
          </cell>
          <cell r="K1326">
            <v>72936.58</v>
          </cell>
          <cell r="L1326" t="str">
            <v>平</v>
          </cell>
          <cell r="M1326">
            <v>0</v>
          </cell>
          <cell r="N1326">
            <v>0</v>
          </cell>
          <cell r="O1326">
            <v>0</v>
          </cell>
        </row>
        <row r="1327">
          <cell r="A1327" t="str">
            <v>01</v>
          </cell>
          <cell r="B1327" t="str">
            <v>31</v>
          </cell>
          <cell r="C1327" t="str">
            <v>记-0030</v>
          </cell>
          <cell r="D1327" t="str">
            <v>069</v>
          </cell>
          <cell r="E1327" t="str">
            <v>会安头盏</v>
          </cell>
          <cell r="F1327" t="str">
            <v>收购产品</v>
          </cell>
          <cell r="G1327">
            <v>70.131330000000005</v>
          </cell>
          <cell r="H1327">
            <v>150</v>
          </cell>
          <cell r="I1327">
            <v>10519.7</v>
          </cell>
          <cell r="J1327">
            <v>0</v>
          </cell>
          <cell r="K1327">
            <v>0</v>
          </cell>
          <cell r="L1327" t="str">
            <v>借</v>
          </cell>
          <cell r="M1327">
            <v>150</v>
          </cell>
          <cell r="N1327">
            <v>0</v>
          </cell>
          <cell r="O1327">
            <v>10519.7</v>
          </cell>
        </row>
        <row r="1328">
          <cell r="A1328" t="str">
            <v>01</v>
          </cell>
          <cell r="B1328" t="str">
            <v>31</v>
          </cell>
          <cell r="C1328" t="str">
            <v>记-0044</v>
          </cell>
          <cell r="D1328" t="str">
            <v>069</v>
          </cell>
          <cell r="E1328" t="str">
            <v>会安头盏</v>
          </cell>
          <cell r="F1328" t="str">
            <v>结转销售成本</v>
          </cell>
          <cell r="G1328">
            <v>70.131330000000005</v>
          </cell>
          <cell r="H1328">
            <v>0</v>
          </cell>
          <cell r="I1328">
            <v>0</v>
          </cell>
          <cell r="J1328">
            <v>150</v>
          </cell>
          <cell r="K1328">
            <v>10519.7</v>
          </cell>
          <cell r="L1328" t="str">
            <v>平</v>
          </cell>
          <cell r="M1328">
            <v>0</v>
          </cell>
          <cell r="N1328">
            <v>0</v>
          </cell>
          <cell r="O1328">
            <v>0</v>
          </cell>
        </row>
        <row r="1329">
          <cell r="A1329" t="str">
            <v>01</v>
          </cell>
          <cell r="F1329" t="str">
            <v>本月合计</v>
          </cell>
          <cell r="G1329">
            <v>0</v>
          </cell>
          <cell r="H1329">
            <v>150</v>
          </cell>
          <cell r="I1329">
            <v>10519.7</v>
          </cell>
          <cell r="J1329">
            <v>150</v>
          </cell>
          <cell r="K1329">
            <v>10519.7</v>
          </cell>
          <cell r="L1329" t="str">
            <v>平</v>
          </cell>
          <cell r="M1329">
            <v>0</v>
          </cell>
          <cell r="N1329">
            <v>0</v>
          </cell>
          <cell r="O1329">
            <v>0</v>
          </cell>
        </row>
        <row r="1330">
          <cell r="A1330" t="str">
            <v>01</v>
          </cell>
          <cell r="E1330" t="str">
            <v>会安头盏</v>
          </cell>
          <cell r="F1330" t="str">
            <v>累    计</v>
          </cell>
          <cell r="G1330">
            <v>0</v>
          </cell>
          <cell r="H1330">
            <v>150</v>
          </cell>
          <cell r="I1330">
            <v>10519.7</v>
          </cell>
          <cell r="J1330">
            <v>150</v>
          </cell>
          <cell r="K1330">
            <v>10519.7</v>
          </cell>
          <cell r="L1330" t="str">
            <v>平</v>
          </cell>
          <cell r="M1330">
            <v>0</v>
          </cell>
          <cell r="N1330">
            <v>0</v>
          </cell>
          <cell r="O1330">
            <v>0</v>
          </cell>
        </row>
        <row r="1331">
          <cell r="A1331" t="str">
            <v>02</v>
          </cell>
          <cell r="B1331" t="str">
            <v>28</v>
          </cell>
          <cell r="C1331" t="str">
            <v>记-0061</v>
          </cell>
          <cell r="D1331" t="str">
            <v>069</v>
          </cell>
          <cell r="E1331" t="str">
            <v>会安头盏</v>
          </cell>
          <cell r="F1331" t="str">
            <v>结转成本</v>
          </cell>
          <cell r="G1331">
            <v>70.215819999999994</v>
          </cell>
          <cell r="H1331">
            <v>0</v>
          </cell>
          <cell r="I1331">
            <v>0</v>
          </cell>
          <cell r="J1331">
            <v>1000</v>
          </cell>
          <cell r="K1331">
            <v>70215.820000000007</v>
          </cell>
          <cell r="L1331" t="str">
            <v>贷</v>
          </cell>
          <cell r="M1331">
            <v>1000</v>
          </cell>
          <cell r="N1331">
            <v>0</v>
          </cell>
          <cell r="O1331">
            <v>70215.820000000007</v>
          </cell>
        </row>
        <row r="1332">
          <cell r="A1332" t="str">
            <v>02</v>
          </cell>
          <cell r="B1332" t="str">
            <v>28</v>
          </cell>
          <cell r="C1332" t="str">
            <v>记-0065</v>
          </cell>
          <cell r="D1332" t="str">
            <v>069</v>
          </cell>
          <cell r="E1332" t="str">
            <v>会安头盏</v>
          </cell>
          <cell r="F1332" t="str">
            <v>收购产品</v>
          </cell>
          <cell r="G1332">
            <v>70.215819999999994</v>
          </cell>
          <cell r="H1332">
            <v>1000</v>
          </cell>
          <cell r="I1332">
            <v>70215.820000000007</v>
          </cell>
          <cell r="J1332">
            <v>0</v>
          </cell>
          <cell r="K1332">
            <v>0</v>
          </cell>
          <cell r="L1332" t="str">
            <v>平</v>
          </cell>
          <cell r="M1332">
            <v>0</v>
          </cell>
          <cell r="N1332">
            <v>0</v>
          </cell>
          <cell r="O1332">
            <v>0</v>
          </cell>
        </row>
        <row r="1333">
          <cell r="A1333" t="str">
            <v>02</v>
          </cell>
          <cell r="F1333" t="str">
            <v>本月合计</v>
          </cell>
          <cell r="G1333">
            <v>0</v>
          </cell>
          <cell r="H1333">
            <v>1000</v>
          </cell>
          <cell r="I1333">
            <v>70215.820000000007</v>
          </cell>
          <cell r="J1333">
            <v>1000</v>
          </cell>
          <cell r="K1333">
            <v>70215.820000000007</v>
          </cell>
          <cell r="L1333" t="str">
            <v>平</v>
          </cell>
          <cell r="M1333">
            <v>0</v>
          </cell>
          <cell r="N1333">
            <v>0</v>
          </cell>
          <cell r="O1333">
            <v>0</v>
          </cell>
        </row>
        <row r="1334">
          <cell r="A1334" t="str">
            <v>02</v>
          </cell>
          <cell r="F1334" t="str">
            <v>累    计</v>
          </cell>
          <cell r="G1334">
            <v>0</v>
          </cell>
          <cell r="H1334">
            <v>1150</v>
          </cell>
          <cell r="I1334">
            <v>80735.520000000004</v>
          </cell>
          <cell r="J1334">
            <v>1150</v>
          </cell>
          <cell r="K1334">
            <v>80735.520000000004</v>
          </cell>
          <cell r="L1334" t="str">
            <v>平</v>
          </cell>
          <cell r="M1334">
            <v>0</v>
          </cell>
          <cell r="N1334">
            <v>0</v>
          </cell>
          <cell r="O1334">
            <v>0</v>
          </cell>
        </row>
        <row r="1335">
          <cell r="A1335" t="str">
            <v>07</v>
          </cell>
          <cell r="B1335" t="str">
            <v>22</v>
          </cell>
          <cell r="C1335" t="str">
            <v>记-0052</v>
          </cell>
          <cell r="D1335" t="str">
            <v>069</v>
          </cell>
          <cell r="E1335" t="str">
            <v>会安头盏</v>
          </cell>
          <cell r="F1335" t="str">
            <v>结转成本</v>
          </cell>
          <cell r="G1335">
            <v>70.131330000000005</v>
          </cell>
          <cell r="H1335">
            <v>0</v>
          </cell>
          <cell r="I1335">
            <v>0</v>
          </cell>
          <cell r="J1335">
            <v>600</v>
          </cell>
          <cell r="K1335">
            <v>42078.8</v>
          </cell>
          <cell r="L1335" t="str">
            <v>贷</v>
          </cell>
          <cell r="M1335">
            <v>600</v>
          </cell>
          <cell r="N1335">
            <v>0</v>
          </cell>
          <cell r="O1335">
            <v>42078.8</v>
          </cell>
        </row>
        <row r="1336">
          <cell r="A1336" t="str">
            <v>07</v>
          </cell>
          <cell r="B1336" t="str">
            <v>22</v>
          </cell>
          <cell r="C1336" t="str">
            <v>记-0054</v>
          </cell>
          <cell r="D1336" t="str">
            <v>069</v>
          </cell>
          <cell r="E1336" t="str">
            <v>会安头盏</v>
          </cell>
          <cell r="F1336" t="str">
            <v>收购产品</v>
          </cell>
          <cell r="G1336">
            <v>70.131330000000005</v>
          </cell>
          <cell r="H1336">
            <v>600</v>
          </cell>
          <cell r="I1336">
            <v>42078.8</v>
          </cell>
          <cell r="J1336">
            <v>0</v>
          </cell>
          <cell r="K1336">
            <v>0</v>
          </cell>
          <cell r="L1336" t="str">
            <v>平</v>
          </cell>
          <cell r="M1336">
            <v>0</v>
          </cell>
          <cell r="N1336">
            <v>0</v>
          </cell>
          <cell r="O1336">
            <v>0</v>
          </cell>
        </row>
        <row r="1337">
          <cell r="A1337" t="str">
            <v>07</v>
          </cell>
          <cell r="F1337" t="str">
            <v>本月合计</v>
          </cell>
          <cell r="G1337">
            <v>0</v>
          </cell>
          <cell r="H1337">
            <v>600</v>
          </cell>
          <cell r="I1337">
            <v>42078.8</v>
          </cell>
          <cell r="J1337">
            <v>600</v>
          </cell>
          <cell r="K1337">
            <v>42078.8</v>
          </cell>
          <cell r="L1337" t="str">
            <v>平</v>
          </cell>
          <cell r="M1337">
            <v>0</v>
          </cell>
          <cell r="N1337">
            <v>0</v>
          </cell>
          <cell r="O1337">
            <v>0</v>
          </cell>
        </row>
        <row r="1338">
          <cell r="A1338" t="str">
            <v>07</v>
          </cell>
          <cell r="F1338" t="str">
            <v>累    计</v>
          </cell>
          <cell r="G1338">
            <v>0</v>
          </cell>
          <cell r="H1338">
            <v>1750</v>
          </cell>
          <cell r="I1338">
            <v>122814.32</v>
          </cell>
          <cell r="J1338">
            <v>1750</v>
          </cell>
          <cell r="K1338">
            <v>122814.32</v>
          </cell>
          <cell r="L1338" t="str">
            <v>平</v>
          </cell>
          <cell r="M1338">
            <v>0</v>
          </cell>
          <cell r="N1338">
            <v>0</v>
          </cell>
          <cell r="O1338">
            <v>0</v>
          </cell>
        </row>
        <row r="1339">
          <cell r="A1339" t="str">
            <v>09</v>
          </cell>
          <cell r="B1339" t="str">
            <v>22</v>
          </cell>
          <cell r="C1339" t="str">
            <v>记-0049</v>
          </cell>
          <cell r="D1339" t="str">
            <v>069</v>
          </cell>
          <cell r="E1339" t="str">
            <v>会安头盏</v>
          </cell>
          <cell r="F1339" t="str">
            <v>结转成本</v>
          </cell>
          <cell r="G1339">
            <v>70.976280000000003</v>
          </cell>
          <cell r="H1339">
            <v>0</v>
          </cell>
          <cell r="I1339">
            <v>0</v>
          </cell>
          <cell r="J1339">
            <v>500</v>
          </cell>
          <cell r="K1339">
            <v>35488.14</v>
          </cell>
          <cell r="L1339" t="str">
            <v>贷</v>
          </cell>
          <cell r="M1339">
            <v>500</v>
          </cell>
          <cell r="N1339">
            <v>0</v>
          </cell>
          <cell r="O1339">
            <v>35488.14</v>
          </cell>
        </row>
        <row r="1340">
          <cell r="A1340" t="str">
            <v>09</v>
          </cell>
          <cell r="B1340" t="str">
            <v>22</v>
          </cell>
          <cell r="C1340" t="str">
            <v>记-0050</v>
          </cell>
          <cell r="D1340" t="str">
            <v>069</v>
          </cell>
          <cell r="E1340" t="str">
            <v>会安头盏</v>
          </cell>
          <cell r="F1340" t="str">
            <v>结转成本</v>
          </cell>
          <cell r="G1340">
            <v>70.976280000000003</v>
          </cell>
          <cell r="H1340">
            <v>0</v>
          </cell>
          <cell r="I1340">
            <v>0</v>
          </cell>
          <cell r="J1340">
            <v>400</v>
          </cell>
          <cell r="K1340">
            <v>28390.51</v>
          </cell>
          <cell r="L1340" t="str">
            <v>贷</v>
          </cell>
          <cell r="M1340">
            <v>900</v>
          </cell>
          <cell r="N1340">
            <v>0</v>
          </cell>
          <cell r="O1340">
            <v>63878.65</v>
          </cell>
        </row>
        <row r="1341">
          <cell r="A1341" t="str">
            <v>09</v>
          </cell>
          <cell r="B1341" t="str">
            <v>22</v>
          </cell>
          <cell r="C1341" t="str">
            <v>记-0051</v>
          </cell>
          <cell r="D1341" t="str">
            <v>069</v>
          </cell>
          <cell r="E1341" t="str">
            <v>会安头盏</v>
          </cell>
          <cell r="F1341" t="str">
            <v>收购产品</v>
          </cell>
          <cell r="G1341">
            <v>70.976280000000003</v>
          </cell>
          <cell r="H1341">
            <v>400</v>
          </cell>
          <cell r="I1341">
            <v>28390.51</v>
          </cell>
          <cell r="J1341">
            <v>0</v>
          </cell>
          <cell r="K1341">
            <v>0</v>
          </cell>
          <cell r="L1341" t="str">
            <v>贷</v>
          </cell>
          <cell r="M1341">
            <v>500</v>
          </cell>
          <cell r="N1341">
            <v>0</v>
          </cell>
          <cell r="O1341">
            <v>35488.14</v>
          </cell>
        </row>
        <row r="1342">
          <cell r="A1342" t="str">
            <v>09</v>
          </cell>
          <cell r="B1342" t="str">
            <v>22</v>
          </cell>
          <cell r="C1342" t="str">
            <v>记-0052</v>
          </cell>
          <cell r="D1342" t="str">
            <v>069</v>
          </cell>
          <cell r="E1342" t="str">
            <v>会安头盏</v>
          </cell>
          <cell r="F1342" t="str">
            <v>收购产品</v>
          </cell>
          <cell r="G1342">
            <v>70.976280000000003</v>
          </cell>
          <cell r="H1342">
            <v>500</v>
          </cell>
          <cell r="I1342">
            <v>35488.14</v>
          </cell>
          <cell r="J1342">
            <v>0</v>
          </cell>
          <cell r="K1342">
            <v>0</v>
          </cell>
          <cell r="L1342" t="str">
            <v>平</v>
          </cell>
          <cell r="M1342">
            <v>0</v>
          </cell>
          <cell r="N1342">
            <v>0</v>
          </cell>
          <cell r="O1342">
            <v>0</v>
          </cell>
        </row>
        <row r="1343">
          <cell r="A1343" t="str">
            <v>09</v>
          </cell>
          <cell r="F1343" t="str">
            <v>本月合计</v>
          </cell>
          <cell r="G1343">
            <v>0</v>
          </cell>
          <cell r="H1343">
            <v>900</v>
          </cell>
          <cell r="I1343">
            <v>63878.65</v>
          </cell>
          <cell r="J1343">
            <v>900</v>
          </cell>
          <cell r="K1343">
            <v>63878.65</v>
          </cell>
          <cell r="L1343" t="str">
            <v>平</v>
          </cell>
          <cell r="M1343">
            <v>0</v>
          </cell>
          <cell r="N1343">
            <v>0</v>
          </cell>
          <cell r="O1343">
            <v>0</v>
          </cell>
        </row>
        <row r="1344">
          <cell r="A1344" t="str">
            <v>09</v>
          </cell>
          <cell r="F1344" t="str">
            <v>累    计</v>
          </cell>
          <cell r="G1344">
            <v>0</v>
          </cell>
          <cell r="H1344">
            <v>2650</v>
          </cell>
          <cell r="I1344">
            <v>186692.97</v>
          </cell>
          <cell r="J1344">
            <v>2650</v>
          </cell>
          <cell r="K1344">
            <v>186692.97</v>
          </cell>
          <cell r="L1344" t="str">
            <v>平</v>
          </cell>
          <cell r="M1344">
            <v>0</v>
          </cell>
          <cell r="N1344">
            <v>0</v>
          </cell>
          <cell r="O1344">
            <v>0</v>
          </cell>
        </row>
        <row r="1345">
          <cell r="A1345" t="str">
            <v>12</v>
          </cell>
          <cell r="B1345" t="str">
            <v>11</v>
          </cell>
          <cell r="C1345" t="str">
            <v>记-0017</v>
          </cell>
          <cell r="D1345" t="str">
            <v>069</v>
          </cell>
          <cell r="E1345" t="str">
            <v>会安头盏</v>
          </cell>
          <cell r="F1345" t="str">
            <v>收购产品</v>
          </cell>
          <cell r="G1345">
            <v>70.215829999999997</v>
          </cell>
          <cell r="H1345">
            <v>609</v>
          </cell>
          <cell r="I1345">
            <v>42761.440000000002</v>
          </cell>
          <cell r="J1345">
            <v>0</v>
          </cell>
          <cell r="K1345">
            <v>0</v>
          </cell>
          <cell r="L1345" t="str">
            <v>借</v>
          </cell>
          <cell r="M1345">
            <v>609</v>
          </cell>
          <cell r="N1345">
            <v>0</v>
          </cell>
          <cell r="O1345">
            <v>42761.440000000002</v>
          </cell>
        </row>
        <row r="1346">
          <cell r="A1346" t="str">
            <v>12</v>
          </cell>
          <cell r="B1346" t="str">
            <v>11</v>
          </cell>
          <cell r="C1346" t="str">
            <v>记-0019</v>
          </cell>
          <cell r="D1346" t="str">
            <v>069</v>
          </cell>
          <cell r="E1346" t="str">
            <v>会安头盏</v>
          </cell>
          <cell r="F1346" t="str">
            <v>收购产品</v>
          </cell>
          <cell r="G1346">
            <v>70.215819999999994</v>
          </cell>
          <cell r="H1346">
            <v>213</v>
          </cell>
          <cell r="I1346">
            <v>14955.97</v>
          </cell>
          <cell r="J1346">
            <v>0</v>
          </cell>
          <cell r="K1346">
            <v>0</v>
          </cell>
          <cell r="L1346" t="str">
            <v>借</v>
          </cell>
          <cell r="M1346">
            <v>822</v>
          </cell>
          <cell r="N1346">
            <v>0</v>
          </cell>
          <cell r="O1346">
            <v>57717.41</v>
          </cell>
        </row>
        <row r="1347">
          <cell r="A1347" t="str">
            <v>12</v>
          </cell>
          <cell r="B1347" t="str">
            <v>11</v>
          </cell>
          <cell r="C1347" t="str">
            <v>记-0025</v>
          </cell>
          <cell r="D1347" t="str">
            <v>069</v>
          </cell>
          <cell r="E1347" t="str">
            <v>会安头盏</v>
          </cell>
          <cell r="F1347" t="str">
            <v>收购产品</v>
          </cell>
          <cell r="G1347">
            <v>70.215829999999997</v>
          </cell>
          <cell r="H1347">
            <v>501</v>
          </cell>
          <cell r="I1347">
            <v>35178.129999999997</v>
          </cell>
          <cell r="J1347">
            <v>0</v>
          </cell>
          <cell r="K1347">
            <v>0</v>
          </cell>
          <cell r="L1347" t="str">
            <v>借</v>
          </cell>
          <cell r="M1347">
            <v>1323</v>
          </cell>
          <cell r="N1347">
            <v>0</v>
          </cell>
          <cell r="O1347">
            <v>92895.54</v>
          </cell>
        </row>
        <row r="1348">
          <cell r="A1348" t="str">
            <v>12</v>
          </cell>
          <cell r="B1348" t="str">
            <v>11</v>
          </cell>
          <cell r="C1348" t="str">
            <v>记-0027</v>
          </cell>
          <cell r="D1348" t="str">
            <v>069</v>
          </cell>
          <cell r="E1348" t="str">
            <v>会安头盏</v>
          </cell>
          <cell r="F1348" t="str">
            <v>结转成本</v>
          </cell>
          <cell r="G1348">
            <v>70.215819999999994</v>
          </cell>
          <cell r="H1348">
            <v>0</v>
          </cell>
          <cell r="I1348">
            <v>0</v>
          </cell>
          <cell r="J1348">
            <v>213</v>
          </cell>
          <cell r="K1348">
            <v>14955.97</v>
          </cell>
          <cell r="L1348" t="str">
            <v>借</v>
          </cell>
          <cell r="M1348">
            <v>1110</v>
          </cell>
          <cell r="N1348">
            <v>0</v>
          </cell>
          <cell r="O1348">
            <v>77939.570000000007</v>
          </cell>
        </row>
        <row r="1349">
          <cell r="A1349" t="str">
            <v>12</v>
          </cell>
          <cell r="B1349" t="str">
            <v>11</v>
          </cell>
          <cell r="C1349" t="str">
            <v>记-0034</v>
          </cell>
          <cell r="D1349" t="str">
            <v>069</v>
          </cell>
          <cell r="E1349" t="str">
            <v>会安头盏</v>
          </cell>
          <cell r="F1349" t="str">
            <v>结转成本</v>
          </cell>
          <cell r="G1349">
            <v>70.215829999999997</v>
          </cell>
          <cell r="H1349">
            <v>0</v>
          </cell>
          <cell r="I1349">
            <v>0</v>
          </cell>
          <cell r="J1349">
            <v>501</v>
          </cell>
          <cell r="K1349">
            <v>35178.129999999997</v>
          </cell>
          <cell r="L1349" t="str">
            <v>借</v>
          </cell>
          <cell r="M1349">
            <v>609</v>
          </cell>
          <cell r="N1349">
            <v>0</v>
          </cell>
          <cell r="O1349">
            <v>42761.440000000002</v>
          </cell>
        </row>
        <row r="1350">
          <cell r="A1350" t="str">
            <v>12</v>
          </cell>
          <cell r="B1350" t="str">
            <v>11</v>
          </cell>
          <cell r="C1350" t="str">
            <v>记-0036</v>
          </cell>
          <cell r="D1350" t="str">
            <v>069</v>
          </cell>
          <cell r="E1350" t="str">
            <v>会安头盏</v>
          </cell>
          <cell r="F1350" t="str">
            <v>结转成本</v>
          </cell>
          <cell r="G1350">
            <v>70.215829999999997</v>
          </cell>
          <cell r="H1350">
            <v>0</v>
          </cell>
          <cell r="I1350">
            <v>0</v>
          </cell>
          <cell r="J1350">
            <v>609</v>
          </cell>
          <cell r="K1350">
            <v>42761.440000000002</v>
          </cell>
          <cell r="L1350" t="str">
            <v>平</v>
          </cell>
          <cell r="M1350">
            <v>0</v>
          </cell>
          <cell r="N1350">
            <v>0</v>
          </cell>
          <cell r="O1350">
            <v>0</v>
          </cell>
        </row>
        <row r="1351">
          <cell r="A1351" t="str">
            <v>12</v>
          </cell>
          <cell r="F1351" t="str">
            <v>本月合计</v>
          </cell>
          <cell r="G1351">
            <v>0</v>
          </cell>
          <cell r="H1351">
            <v>1323</v>
          </cell>
          <cell r="I1351">
            <v>92895.54</v>
          </cell>
          <cell r="J1351">
            <v>1323</v>
          </cell>
          <cell r="K1351">
            <v>92895.54</v>
          </cell>
          <cell r="L1351" t="str">
            <v>平</v>
          </cell>
          <cell r="M1351">
            <v>0</v>
          </cell>
          <cell r="N1351">
            <v>0</v>
          </cell>
          <cell r="O1351">
            <v>0</v>
          </cell>
        </row>
        <row r="1352">
          <cell r="A1352" t="str">
            <v>12</v>
          </cell>
          <cell r="E1352" t="str">
            <v>会安头盏</v>
          </cell>
          <cell r="F1352" t="str">
            <v>本年累计</v>
          </cell>
          <cell r="G1352">
            <v>0</v>
          </cell>
          <cell r="H1352">
            <v>3973</v>
          </cell>
          <cell r="I1352">
            <v>279588.51</v>
          </cell>
          <cell r="J1352">
            <v>3973</v>
          </cell>
          <cell r="K1352">
            <v>279588.51</v>
          </cell>
          <cell r="L1352" t="str">
            <v>平</v>
          </cell>
          <cell r="M1352">
            <v>0</v>
          </cell>
          <cell r="N1352">
            <v>0</v>
          </cell>
          <cell r="O1352">
            <v>0</v>
          </cell>
        </row>
        <row r="1353">
          <cell r="A1353" t="str">
            <v>01</v>
          </cell>
          <cell r="B1353" t="str">
            <v>31</v>
          </cell>
          <cell r="C1353" t="str">
            <v>记-0030</v>
          </cell>
          <cell r="D1353" t="str">
            <v>070</v>
          </cell>
          <cell r="E1353" t="str">
            <v>龙牙燕饼</v>
          </cell>
          <cell r="F1353" t="str">
            <v>收购产品</v>
          </cell>
          <cell r="G1353">
            <v>18.470739999999999</v>
          </cell>
          <cell r="H1353">
            <v>1250</v>
          </cell>
          <cell r="I1353">
            <v>23088.42</v>
          </cell>
          <cell r="J1353">
            <v>0</v>
          </cell>
          <cell r="K1353">
            <v>0</v>
          </cell>
          <cell r="L1353" t="str">
            <v>借</v>
          </cell>
          <cell r="M1353">
            <v>1250</v>
          </cell>
          <cell r="N1353">
            <v>0</v>
          </cell>
          <cell r="O1353">
            <v>23088.42</v>
          </cell>
        </row>
        <row r="1354">
          <cell r="A1354" t="str">
            <v>01</v>
          </cell>
          <cell r="B1354" t="str">
            <v>31</v>
          </cell>
          <cell r="C1354" t="str">
            <v>记-0036</v>
          </cell>
          <cell r="D1354" t="str">
            <v>070</v>
          </cell>
          <cell r="E1354" t="str">
            <v>龙牙燕饼</v>
          </cell>
          <cell r="F1354" t="str">
            <v>收购产品</v>
          </cell>
          <cell r="G1354">
            <v>6269.5716700000003</v>
          </cell>
          <cell r="H1354">
            <v>18</v>
          </cell>
          <cell r="I1354">
            <v>112852.29</v>
          </cell>
          <cell r="J1354">
            <v>0</v>
          </cell>
          <cell r="K1354">
            <v>0</v>
          </cell>
          <cell r="L1354" t="str">
            <v>借</v>
          </cell>
          <cell r="M1354">
            <v>1268</v>
          </cell>
          <cell r="N1354">
            <v>0</v>
          </cell>
          <cell r="O1354">
            <v>135940.71</v>
          </cell>
        </row>
        <row r="1355">
          <cell r="A1355" t="str">
            <v>01</v>
          </cell>
          <cell r="B1355" t="str">
            <v>31</v>
          </cell>
          <cell r="C1355" t="str">
            <v>记-0044</v>
          </cell>
          <cell r="D1355" t="str">
            <v>070</v>
          </cell>
          <cell r="E1355" t="str">
            <v>龙牙燕饼</v>
          </cell>
          <cell r="F1355" t="str">
            <v>结转销售成本</v>
          </cell>
          <cell r="G1355">
            <v>18.470739999999999</v>
          </cell>
          <cell r="H1355">
            <v>0</v>
          </cell>
          <cell r="I1355">
            <v>0</v>
          </cell>
          <cell r="J1355">
            <v>1250</v>
          </cell>
          <cell r="K1355">
            <v>23088.42</v>
          </cell>
          <cell r="L1355" t="str">
            <v>借</v>
          </cell>
          <cell r="M1355">
            <v>18</v>
          </cell>
          <cell r="N1355">
            <v>0</v>
          </cell>
          <cell r="O1355">
            <v>112852.29</v>
          </cell>
        </row>
        <row r="1356">
          <cell r="A1356" t="str">
            <v>01</v>
          </cell>
          <cell r="B1356" t="str">
            <v>31</v>
          </cell>
          <cell r="C1356" t="str">
            <v>记-0050</v>
          </cell>
          <cell r="D1356" t="str">
            <v>070</v>
          </cell>
          <cell r="E1356" t="str">
            <v>龙牙燕饼</v>
          </cell>
          <cell r="F1356" t="str">
            <v>结转销售成本</v>
          </cell>
          <cell r="G1356">
            <v>6269.5716700000003</v>
          </cell>
          <cell r="H1356">
            <v>0</v>
          </cell>
          <cell r="I1356">
            <v>0</v>
          </cell>
          <cell r="J1356">
            <v>18</v>
          </cell>
          <cell r="K1356">
            <v>112852.29</v>
          </cell>
          <cell r="L1356" t="str">
            <v>平</v>
          </cell>
          <cell r="M1356">
            <v>0</v>
          </cell>
          <cell r="N1356">
            <v>0</v>
          </cell>
          <cell r="O1356">
            <v>0</v>
          </cell>
        </row>
        <row r="1357">
          <cell r="A1357" t="str">
            <v>01</v>
          </cell>
          <cell r="F1357" t="str">
            <v>本月合计</v>
          </cell>
          <cell r="G1357">
            <v>0</v>
          </cell>
          <cell r="H1357">
            <v>1268</v>
          </cell>
          <cell r="I1357">
            <v>135940.71</v>
          </cell>
          <cell r="J1357">
            <v>1268</v>
          </cell>
          <cell r="K1357">
            <v>135940.71</v>
          </cell>
          <cell r="L1357" t="str">
            <v>平</v>
          </cell>
          <cell r="M1357">
            <v>0</v>
          </cell>
          <cell r="N1357">
            <v>0</v>
          </cell>
          <cell r="O1357">
            <v>0</v>
          </cell>
        </row>
        <row r="1358">
          <cell r="A1358" t="str">
            <v>01</v>
          </cell>
          <cell r="F1358" t="str">
            <v>累    计</v>
          </cell>
          <cell r="G1358">
            <v>0</v>
          </cell>
          <cell r="H1358">
            <v>1268</v>
          </cell>
          <cell r="I1358">
            <v>135940.71</v>
          </cell>
          <cell r="J1358">
            <v>1268</v>
          </cell>
          <cell r="K1358">
            <v>135940.71</v>
          </cell>
          <cell r="L1358" t="str">
            <v>平</v>
          </cell>
          <cell r="M1358">
            <v>0</v>
          </cell>
          <cell r="N1358">
            <v>0</v>
          </cell>
          <cell r="O1358">
            <v>0</v>
          </cell>
        </row>
        <row r="1359">
          <cell r="A1359" t="str">
            <v>02</v>
          </cell>
          <cell r="B1359" t="str">
            <v>28</v>
          </cell>
          <cell r="C1359" t="str">
            <v>记-0063</v>
          </cell>
          <cell r="D1359" t="str">
            <v>070</v>
          </cell>
          <cell r="E1359" t="str">
            <v>龙牙燕饼</v>
          </cell>
          <cell r="F1359" t="str">
            <v>结转成本</v>
          </cell>
          <cell r="G1359">
            <v>25.348669999999998</v>
          </cell>
          <cell r="H1359">
            <v>0</v>
          </cell>
          <cell r="I1359">
            <v>0</v>
          </cell>
          <cell r="J1359">
            <v>1800</v>
          </cell>
          <cell r="K1359">
            <v>45627.61</v>
          </cell>
          <cell r="L1359" t="str">
            <v>贷</v>
          </cell>
          <cell r="M1359">
            <v>1800</v>
          </cell>
          <cell r="N1359">
            <v>0</v>
          </cell>
          <cell r="O1359">
            <v>45627.61</v>
          </cell>
        </row>
        <row r="1360">
          <cell r="A1360" t="str">
            <v>02</v>
          </cell>
          <cell r="B1360" t="str">
            <v>28</v>
          </cell>
          <cell r="C1360" t="str">
            <v>记-0069</v>
          </cell>
          <cell r="D1360" t="str">
            <v>070</v>
          </cell>
          <cell r="E1360" t="str">
            <v>龙牙燕饼</v>
          </cell>
          <cell r="F1360" t="str">
            <v>收购产品</v>
          </cell>
          <cell r="G1360">
            <v>25.348669999999998</v>
          </cell>
          <cell r="H1360">
            <v>1800</v>
          </cell>
          <cell r="I1360">
            <v>45627.61</v>
          </cell>
          <cell r="J1360">
            <v>0</v>
          </cell>
          <cell r="K1360">
            <v>0</v>
          </cell>
          <cell r="L1360" t="str">
            <v>平</v>
          </cell>
          <cell r="M1360">
            <v>0</v>
          </cell>
          <cell r="N1360">
            <v>0</v>
          </cell>
          <cell r="O1360">
            <v>0</v>
          </cell>
        </row>
        <row r="1361">
          <cell r="A1361" t="str">
            <v>02</v>
          </cell>
          <cell r="F1361" t="str">
            <v>本月合计</v>
          </cell>
          <cell r="G1361">
            <v>0</v>
          </cell>
          <cell r="H1361">
            <v>1800</v>
          </cell>
          <cell r="I1361">
            <v>45627.61</v>
          </cell>
          <cell r="J1361">
            <v>1800</v>
          </cell>
          <cell r="K1361">
            <v>45627.61</v>
          </cell>
          <cell r="L1361" t="str">
            <v>平</v>
          </cell>
          <cell r="M1361">
            <v>0</v>
          </cell>
          <cell r="N1361">
            <v>0</v>
          </cell>
          <cell r="O1361">
            <v>0</v>
          </cell>
        </row>
        <row r="1362">
          <cell r="A1362" t="str">
            <v>02</v>
          </cell>
          <cell r="F1362" t="str">
            <v>累    计</v>
          </cell>
          <cell r="G1362">
            <v>0</v>
          </cell>
          <cell r="H1362">
            <v>3068</v>
          </cell>
          <cell r="I1362">
            <v>181568.32</v>
          </cell>
          <cell r="J1362">
            <v>3068</v>
          </cell>
          <cell r="K1362">
            <v>181568.32</v>
          </cell>
          <cell r="L1362" t="str">
            <v>平</v>
          </cell>
          <cell r="M1362">
            <v>0</v>
          </cell>
          <cell r="N1362">
            <v>0</v>
          </cell>
          <cell r="O1362">
            <v>0</v>
          </cell>
        </row>
        <row r="1363">
          <cell r="A1363" t="str">
            <v>07</v>
          </cell>
          <cell r="B1363" t="str">
            <v>22</v>
          </cell>
          <cell r="C1363" t="str">
            <v>记-0051</v>
          </cell>
          <cell r="D1363" t="str">
            <v>070</v>
          </cell>
          <cell r="E1363" t="str">
            <v>龙牙燕饼</v>
          </cell>
          <cell r="F1363" t="str">
            <v>结转成本</v>
          </cell>
          <cell r="G1363">
            <v>29.573450000000001</v>
          </cell>
          <cell r="H1363">
            <v>0</v>
          </cell>
          <cell r="I1363">
            <v>0</v>
          </cell>
          <cell r="J1363">
            <v>1000</v>
          </cell>
          <cell r="K1363">
            <v>29573.45</v>
          </cell>
          <cell r="L1363" t="str">
            <v>贷</v>
          </cell>
          <cell r="M1363">
            <v>1000</v>
          </cell>
          <cell r="N1363">
            <v>0</v>
          </cell>
          <cell r="O1363">
            <v>29573.45</v>
          </cell>
        </row>
        <row r="1364">
          <cell r="A1364" t="str">
            <v>07</v>
          </cell>
          <cell r="B1364" t="str">
            <v>22</v>
          </cell>
          <cell r="C1364" t="str">
            <v>记-0053</v>
          </cell>
          <cell r="D1364" t="str">
            <v>070</v>
          </cell>
          <cell r="E1364" t="str">
            <v>龙牙燕饼</v>
          </cell>
          <cell r="F1364" t="str">
            <v>收购产品</v>
          </cell>
          <cell r="G1364">
            <v>29.573450000000001</v>
          </cell>
          <cell r="H1364">
            <v>1000</v>
          </cell>
          <cell r="I1364">
            <v>29573.45</v>
          </cell>
          <cell r="J1364">
            <v>0</v>
          </cell>
          <cell r="K1364">
            <v>0</v>
          </cell>
          <cell r="L1364" t="str">
            <v>平</v>
          </cell>
          <cell r="M1364">
            <v>0</v>
          </cell>
          <cell r="N1364">
            <v>0</v>
          </cell>
          <cell r="O1364">
            <v>0</v>
          </cell>
        </row>
        <row r="1365">
          <cell r="A1365" t="str">
            <v>07</v>
          </cell>
          <cell r="F1365" t="str">
            <v>本月合计</v>
          </cell>
          <cell r="G1365">
            <v>0</v>
          </cell>
          <cell r="H1365">
            <v>1000</v>
          </cell>
          <cell r="I1365">
            <v>29573.45</v>
          </cell>
          <cell r="J1365">
            <v>1000</v>
          </cell>
          <cell r="K1365">
            <v>29573.45</v>
          </cell>
          <cell r="L1365" t="str">
            <v>平</v>
          </cell>
          <cell r="M1365">
            <v>0</v>
          </cell>
          <cell r="N1365">
            <v>0</v>
          </cell>
          <cell r="O1365">
            <v>0</v>
          </cell>
        </row>
        <row r="1366">
          <cell r="A1366" t="str">
            <v>07</v>
          </cell>
          <cell r="F1366" t="str">
            <v>累    计</v>
          </cell>
          <cell r="G1366">
            <v>0</v>
          </cell>
          <cell r="H1366">
            <v>4068</v>
          </cell>
          <cell r="I1366">
            <v>211141.77</v>
          </cell>
          <cell r="J1366">
            <v>4068</v>
          </cell>
          <cell r="K1366">
            <v>211141.77</v>
          </cell>
          <cell r="L1366" t="str">
            <v>平</v>
          </cell>
          <cell r="M1366">
            <v>0</v>
          </cell>
          <cell r="N1366">
            <v>0</v>
          </cell>
          <cell r="O1366">
            <v>0</v>
          </cell>
        </row>
        <row r="1367">
          <cell r="A1367" t="str">
            <v>09</v>
          </cell>
          <cell r="B1367" t="str">
            <v>22</v>
          </cell>
          <cell r="C1367" t="str">
            <v>记-0034</v>
          </cell>
          <cell r="D1367" t="str">
            <v>070</v>
          </cell>
          <cell r="E1367" t="str">
            <v>龙牙燕饼</v>
          </cell>
          <cell r="F1367" t="str">
            <v>结转成本</v>
          </cell>
          <cell r="G1367">
            <v>28.728490000000001</v>
          </cell>
          <cell r="H1367">
            <v>0</v>
          </cell>
          <cell r="I1367">
            <v>0</v>
          </cell>
          <cell r="J1367">
            <v>1200</v>
          </cell>
          <cell r="K1367">
            <v>34474.19</v>
          </cell>
          <cell r="L1367" t="str">
            <v>贷</v>
          </cell>
          <cell r="M1367">
            <v>1200</v>
          </cell>
          <cell r="N1367">
            <v>0</v>
          </cell>
          <cell r="O1367">
            <v>34474.19</v>
          </cell>
        </row>
        <row r="1368">
          <cell r="A1368" t="str">
            <v>09</v>
          </cell>
          <cell r="B1368" t="str">
            <v>22</v>
          </cell>
          <cell r="C1368" t="str">
            <v>记-0038</v>
          </cell>
          <cell r="D1368" t="str">
            <v>070</v>
          </cell>
          <cell r="E1368" t="str">
            <v>龙牙燕饼</v>
          </cell>
          <cell r="F1368" t="str">
            <v>收购产品</v>
          </cell>
          <cell r="G1368">
            <v>28.728490000000001</v>
          </cell>
          <cell r="H1368">
            <v>1200</v>
          </cell>
          <cell r="I1368">
            <v>34474.19</v>
          </cell>
          <cell r="J1368">
            <v>0</v>
          </cell>
          <cell r="K1368">
            <v>0</v>
          </cell>
          <cell r="L1368" t="str">
            <v>平</v>
          </cell>
          <cell r="M1368">
            <v>0</v>
          </cell>
          <cell r="N1368">
            <v>0</v>
          </cell>
          <cell r="O1368">
            <v>0</v>
          </cell>
        </row>
        <row r="1369">
          <cell r="A1369" t="str">
            <v>09</v>
          </cell>
          <cell r="F1369" t="str">
            <v>本月合计</v>
          </cell>
          <cell r="G1369">
            <v>0</v>
          </cell>
          <cell r="H1369">
            <v>1200</v>
          </cell>
          <cell r="I1369">
            <v>34474.19</v>
          </cell>
          <cell r="J1369">
            <v>1200</v>
          </cell>
          <cell r="K1369">
            <v>34474.19</v>
          </cell>
          <cell r="L1369" t="str">
            <v>平</v>
          </cell>
          <cell r="M1369">
            <v>0</v>
          </cell>
          <cell r="N1369">
            <v>0</v>
          </cell>
          <cell r="O1369">
            <v>0</v>
          </cell>
        </row>
        <row r="1370">
          <cell r="A1370" t="str">
            <v>09</v>
          </cell>
          <cell r="E1370" t="str">
            <v>龙牙燕饼</v>
          </cell>
          <cell r="F1370" t="str">
            <v>本年累计</v>
          </cell>
          <cell r="G1370">
            <v>0</v>
          </cell>
          <cell r="H1370">
            <v>5268</v>
          </cell>
          <cell r="I1370">
            <v>245615.96</v>
          </cell>
          <cell r="J1370">
            <v>5268</v>
          </cell>
          <cell r="K1370">
            <v>245615.96</v>
          </cell>
          <cell r="L1370" t="str">
            <v>平</v>
          </cell>
          <cell r="M1370">
            <v>0</v>
          </cell>
          <cell r="N1370">
            <v>0</v>
          </cell>
          <cell r="O1370">
            <v>0</v>
          </cell>
        </row>
        <row r="1371">
          <cell r="A1371" t="str">
            <v>01</v>
          </cell>
          <cell r="B1371" t="str">
            <v>31</v>
          </cell>
          <cell r="C1371" t="str">
            <v>记-0030</v>
          </cell>
          <cell r="D1371" t="str">
            <v>071</v>
          </cell>
          <cell r="E1371" t="str">
            <v>原野半野花旗参</v>
          </cell>
          <cell r="F1371" t="str">
            <v>收购产品</v>
          </cell>
          <cell r="G1371">
            <v>18.082049999999999</v>
          </cell>
          <cell r="H1371">
            <v>1125</v>
          </cell>
          <cell r="I1371">
            <v>20342.310000000001</v>
          </cell>
          <cell r="J1371">
            <v>0</v>
          </cell>
          <cell r="K1371">
            <v>0</v>
          </cell>
          <cell r="L1371" t="str">
            <v>借</v>
          </cell>
          <cell r="M1371">
            <v>1125</v>
          </cell>
          <cell r="N1371">
            <v>0</v>
          </cell>
          <cell r="O1371">
            <v>20342.310000000001</v>
          </cell>
        </row>
        <row r="1372">
          <cell r="A1372" t="str">
            <v>01</v>
          </cell>
          <cell r="B1372" t="str">
            <v>31</v>
          </cell>
          <cell r="C1372" t="str">
            <v>记-0030</v>
          </cell>
          <cell r="D1372" t="str">
            <v>071</v>
          </cell>
          <cell r="E1372" t="str">
            <v>原野半野花旗参</v>
          </cell>
          <cell r="F1372" t="str">
            <v>收购产品</v>
          </cell>
          <cell r="G1372">
            <v>42.54354</v>
          </cell>
          <cell r="H1372">
            <v>280</v>
          </cell>
          <cell r="I1372">
            <v>11912.19</v>
          </cell>
          <cell r="J1372">
            <v>0</v>
          </cell>
          <cell r="K1372">
            <v>0</v>
          </cell>
          <cell r="L1372" t="str">
            <v>借</v>
          </cell>
          <cell r="M1372">
            <v>1405</v>
          </cell>
          <cell r="N1372">
            <v>0</v>
          </cell>
          <cell r="O1372">
            <v>32254.5</v>
          </cell>
        </row>
        <row r="1373">
          <cell r="A1373" t="str">
            <v>01</v>
          </cell>
          <cell r="B1373" t="str">
            <v>31</v>
          </cell>
          <cell r="C1373" t="str">
            <v>记-0044</v>
          </cell>
          <cell r="D1373" t="str">
            <v>071</v>
          </cell>
          <cell r="E1373" t="str">
            <v>原野半野花旗参</v>
          </cell>
          <cell r="F1373" t="str">
            <v>结转销售成本</v>
          </cell>
          <cell r="G1373">
            <v>18.082049999999999</v>
          </cell>
          <cell r="H1373">
            <v>0</v>
          </cell>
          <cell r="I1373">
            <v>0</v>
          </cell>
          <cell r="J1373">
            <v>1125</v>
          </cell>
          <cell r="K1373">
            <v>20342.310000000001</v>
          </cell>
          <cell r="L1373" t="str">
            <v>借</v>
          </cell>
          <cell r="M1373">
            <v>280</v>
          </cell>
          <cell r="N1373">
            <v>0</v>
          </cell>
          <cell r="O1373">
            <v>11912.19</v>
          </cell>
        </row>
        <row r="1374">
          <cell r="A1374" t="str">
            <v>01</v>
          </cell>
          <cell r="B1374" t="str">
            <v>31</v>
          </cell>
          <cell r="C1374" t="str">
            <v>记-0044</v>
          </cell>
          <cell r="D1374" t="str">
            <v>071</v>
          </cell>
          <cell r="E1374" t="str">
            <v>原野半野花旗参</v>
          </cell>
          <cell r="F1374" t="str">
            <v>结转销售成本</v>
          </cell>
          <cell r="G1374">
            <v>42.54354</v>
          </cell>
          <cell r="H1374">
            <v>0</v>
          </cell>
          <cell r="I1374">
            <v>0</v>
          </cell>
          <cell r="J1374">
            <v>280</v>
          </cell>
          <cell r="K1374">
            <v>11912.19</v>
          </cell>
          <cell r="L1374" t="str">
            <v>平</v>
          </cell>
          <cell r="M1374">
            <v>0</v>
          </cell>
          <cell r="N1374">
            <v>0</v>
          </cell>
          <cell r="O1374">
            <v>0</v>
          </cell>
        </row>
        <row r="1375">
          <cell r="A1375" t="str">
            <v>01</v>
          </cell>
          <cell r="F1375" t="str">
            <v>本月合计</v>
          </cell>
          <cell r="G1375">
            <v>0</v>
          </cell>
          <cell r="H1375">
            <v>1405</v>
          </cell>
          <cell r="I1375">
            <v>32254.5</v>
          </cell>
          <cell r="J1375">
            <v>1405</v>
          </cell>
          <cell r="K1375">
            <v>32254.5</v>
          </cell>
          <cell r="L1375" t="str">
            <v>平</v>
          </cell>
          <cell r="M1375">
            <v>0</v>
          </cell>
          <cell r="N1375">
            <v>0</v>
          </cell>
          <cell r="O1375">
            <v>0</v>
          </cell>
        </row>
        <row r="1376">
          <cell r="A1376" t="str">
            <v>01</v>
          </cell>
          <cell r="F1376" t="str">
            <v>累    计</v>
          </cell>
          <cell r="G1376">
            <v>0</v>
          </cell>
          <cell r="H1376">
            <v>1405</v>
          </cell>
          <cell r="I1376">
            <v>32254.5</v>
          </cell>
          <cell r="J1376">
            <v>1405</v>
          </cell>
          <cell r="K1376">
            <v>32254.5</v>
          </cell>
          <cell r="L1376" t="str">
            <v>平</v>
          </cell>
          <cell r="M1376">
            <v>0</v>
          </cell>
          <cell r="N1376">
            <v>0</v>
          </cell>
          <cell r="O1376">
            <v>0</v>
          </cell>
        </row>
        <row r="1377">
          <cell r="A1377" t="str">
            <v>02</v>
          </cell>
          <cell r="B1377" t="str">
            <v>28</v>
          </cell>
          <cell r="C1377" t="str">
            <v>记-0063</v>
          </cell>
          <cell r="D1377" t="str">
            <v>071</v>
          </cell>
          <cell r="E1377" t="str">
            <v>原野半野花旗参</v>
          </cell>
          <cell r="F1377" t="str">
            <v>结转成本</v>
          </cell>
          <cell r="G1377">
            <v>45.627609999999997</v>
          </cell>
          <cell r="H1377">
            <v>0</v>
          </cell>
          <cell r="I1377">
            <v>0</v>
          </cell>
          <cell r="J1377">
            <v>1000</v>
          </cell>
          <cell r="K1377">
            <v>45627.61</v>
          </cell>
          <cell r="L1377" t="str">
            <v>贷</v>
          </cell>
          <cell r="M1377">
            <v>1000</v>
          </cell>
          <cell r="N1377">
            <v>0</v>
          </cell>
          <cell r="O1377">
            <v>45627.61</v>
          </cell>
        </row>
        <row r="1378">
          <cell r="A1378" t="str">
            <v>02</v>
          </cell>
          <cell r="B1378" t="str">
            <v>28</v>
          </cell>
          <cell r="C1378" t="str">
            <v>记-0063</v>
          </cell>
          <cell r="D1378" t="str">
            <v>071</v>
          </cell>
          <cell r="E1378" t="str">
            <v>原野半野花旗参</v>
          </cell>
          <cell r="F1378" t="str">
            <v>结转成本</v>
          </cell>
          <cell r="G1378">
            <v>30.418410000000002</v>
          </cell>
          <cell r="H1378">
            <v>0</v>
          </cell>
          <cell r="I1378">
            <v>0</v>
          </cell>
          <cell r="J1378">
            <v>1800</v>
          </cell>
          <cell r="K1378">
            <v>54753.13</v>
          </cell>
          <cell r="L1378" t="str">
            <v>贷</v>
          </cell>
          <cell r="M1378">
            <v>2800</v>
          </cell>
          <cell r="N1378">
            <v>0</v>
          </cell>
          <cell r="O1378">
            <v>100380.74</v>
          </cell>
        </row>
        <row r="1379">
          <cell r="A1379" t="str">
            <v>02</v>
          </cell>
          <cell r="B1379" t="str">
            <v>28</v>
          </cell>
          <cell r="C1379" t="str">
            <v>记-0069</v>
          </cell>
          <cell r="D1379" t="str">
            <v>071</v>
          </cell>
          <cell r="E1379" t="str">
            <v>原野半野花旗参</v>
          </cell>
          <cell r="F1379" t="str">
            <v>收购产品</v>
          </cell>
          <cell r="G1379">
            <v>45.627609999999997</v>
          </cell>
          <cell r="H1379">
            <v>1000</v>
          </cell>
          <cell r="I1379">
            <v>45627.61</v>
          </cell>
          <cell r="J1379">
            <v>0</v>
          </cell>
          <cell r="K1379">
            <v>0</v>
          </cell>
          <cell r="L1379" t="str">
            <v>贷</v>
          </cell>
          <cell r="M1379">
            <v>1800</v>
          </cell>
          <cell r="N1379">
            <v>0</v>
          </cell>
          <cell r="O1379">
            <v>54753.13</v>
          </cell>
        </row>
        <row r="1380">
          <cell r="A1380" t="str">
            <v>02</v>
          </cell>
          <cell r="B1380" t="str">
            <v>28</v>
          </cell>
          <cell r="C1380" t="str">
            <v>记-0069</v>
          </cell>
          <cell r="D1380" t="str">
            <v>071</v>
          </cell>
          <cell r="E1380" t="str">
            <v>原野半野花旗参</v>
          </cell>
          <cell r="F1380" t="str">
            <v>收购产品</v>
          </cell>
          <cell r="G1380">
            <v>30.418410000000002</v>
          </cell>
          <cell r="H1380">
            <v>1800</v>
          </cell>
          <cell r="I1380">
            <v>54753.13</v>
          </cell>
          <cell r="J1380">
            <v>0</v>
          </cell>
          <cell r="K1380">
            <v>0</v>
          </cell>
          <cell r="L1380" t="str">
            <v>平</v>
          </cell>
          <cell r="M1380">
            <v>0</v>
          </cell>
          <cell r="N1380">
            <v>0</v>
          </cell>
          <cell r="O1380">
            <v>0</v>
          </cell>
        </row>
        <row r="1381">
          <cell r="A1381" t="str">
            <v>02</v>
          </cell>
          <cell r="F1381" t="str">
            <v>本月合计</v>
          </cell>
          <cell r="G1381">
            <v>0</v>
          </cell>
          <cell r="H1381">
            <v>2800</v>
          </cell>
          <cell r="I1381">
            <v>100380.74</v>
          </cell>
          <cell r="J1381">
            <v>2800</v>
          </cell>
          <cell r="K1381">
            <v>100380.74</v>
          </cell>
          <cell r="L1381" t="str">
            <v>平</v>
          </cell>
          <cell r="M1381">
            <v>0</v>
          </cell>
          <cell r="N1381">
            <v>0</v>
          </cell>
          <cell r="O1381">
            <v>0</v>
          </cell>
        </row>
        <row r="1382">
          <cell r="A1382" t="str">
            <v>02</v>
          </cell>
          <cell r="F1382" t="str">
            <v>累    计</v>
          </cell>
          <cell r="G1382">
            <v>0</v>
          </cell>
          <cell r="H1382">
            <v>4205</v>
          </cell>
          <cell r="I1382">
            <v>132635.24</v>
          </cell>
          <cell r="J1382">
            <v>4205</v>
          </cell>
          <cell r="K1382">
            <v>132635.24</v>
          </cell>
          <cell r="L1382" t="str">
            <v>平</v>
          </cell>
          <cell r="M1382">
            <v>0</v>
          </cell>
          <cell r="N1382">
            <v>0</v>
          </cell>
          <cell r="O1382">
            <v>0</v>
          </cell>
        </row>
        <row r="1383">
          <cell r="A1383" t="str">
            <v>12</v>
          </cell>
          <cell r="B1383" t="str">
            <v>11</v>
          </cell>
          <cell r="C1383" t="str">
            <v>记-0018</v>
          </cell>
          <cell r="D1383" t="str">
            <v>071</v>
          </cell>
          <cell r="E1383" t="str">
            <v>原野半野花旗参</v>
          </cell>
          <cell r="F1383" t="str">
            <v>收购产品</v>
          </cell>
          <cell r="G1383">
            <v>37.178040000000003</v>
          </cell>
          <cell r="H1383">
            <v>250</v>
          </cell>
          <cell r="I1383">
            <v>9294.51</v>
          </cell>
          <cell r="J1383">
            <v>0</v>
          </cell>
          <cell r="K1383">
            <v>0</v>
          </cell>
          <cell r="L1383" t="str">
            <v>借</v>
          </cell>
          <cell r="M1383">
            <v>250</v>
          </cell>
          <cell r="N1383">
            <v>0</v>
          </cell>
          <cell r="O1383">
            <v>9294.51</v>
          </cell>
        </row>
        <row r="1384">
          <cell r="A1384" t="str">
            <v>12</v>
          </cell>
          <cell r="B1384" t="str">
            <v>11</v>
          </cell>
          <cell r="C1384" t="str">
            <v>记-0030</v>
          </cell>
          <cell r="D1384" t="str">
            <v>071</v>
          </cell>
          <cell r="E1384" t="str">
            <v>原野半野花旗参</v>
          </cell>
          <cell r="F1384" t="str">
            <v>结转成本</v>
          </cell>
          <cell r="G1384">
            <v>37.178040000000003</v>
          </cell>
          <cell r="H1384">
            <v>0</v>
          </cell>
          <cell r="I1384">
            <v>0</v>
          </cell>
          <cell r="J1384">
            <v>250</v>
          </cell>
          <cell r="K1384">
            <v>9294.51</v>
          </cell>
          <cell r="L1384" t="str">
            <v>平</v>
          </cell>
          <cell r="M1384">
            <v>0</v>
          </cell>
          <cell r="N1384">
            <v>0</v>
          </cell>
          <cell r="O1384">
            <v>0</v>
          </cell>
        </row>
        <row r="1385">
          <cell r="A1385" t="str">
            <v>12</v>
          </cell>
          <cell r="F1385" t="str">
            <v>本月合计</v>
          </cell>
          <cell r="G1385">
            <v>0</v>
          </cell>
          <cell r="H1385">
            <v>250</v>
          </cell>
          <cell r="I1385">
            <v>9294.51</v>
          </cell>
          <cell r="J1385">
            <v>250</v>
          </cell>
          <cell r="K1385">
            <v>9294.51</v>
          </cell>
          <cell r="L1385" t="str">
            <v>平</v>
          </cell>
          <cell r="M1385">
            <v>0</v>
          </cell>
          <cell r="N1385">
            <v>0</v>
          </cell>
          <cell r="O1385">
            <v>0</v>
          </cell>
        </row>
        <row r="1386">
          <cell r="A1386" t="str">
            <v>12</v>
          </cell>
          <cell r="E1386" t="str">
            <v>原野半野花旗参</v>
          </cell>
          <cell r="F1386" t="str">
            <v>本年累计</v>
          </cell>
          <cell r="G1386">
            <v>0</v>
          </cell>
          <cell r="H1386">
            <v>4455</v>
          </cell>
          <cell r="I1386">
            <v>141929.75</v>
          </cell>
          <cell r="J1386">
            <v>4455</v>
          </cell>
          <cell r="K1386">
            <v>141929.75</v>
          </cell>
          <cell r="L1386" t="str">
            <v>平</v>
          </cell>
          <cell r="M1386">
            <v>0</v>
          </cell>
          <cell r="N1386">
            <v>0</v>
          </cell>
          <cell r="O1386">
            <v>0</v>
          </cell>
        </row>
        <row r="1387">
          <cell r="A1387" t="str">
            <v>01</v>
          </cell>
          <cell r="B1387" t="str">
            <v>31</v>
          </cell>
          <cell r="C1387" t="str">
            <v>记-0030</v>
          </cell>
          <cell r="D1387" t="str">
            <v>072</v>
          </cell>
          <cell r="E1387" t="str">
            <v>赤灵芝</v>
          </cell>
          <cell r="F1387" t="str">
            <v>收购产品</v>
          </cell>
          <cell r="G1387">
            <v>0.42248000000000002</v>
          </cell>
          <cell r="H1387">
            <v>792.8</v>
          </cell>
          <cell r="I1387">
            <v>334.94</v>
          </cell>
          <cell r="J1387">
            <v>0</v>
          </cell>
          <cell r="K1387">
            <v>0</v>
          </cell>
          <cell r="L1387" t="str">
            <v>借</v>
          </cell>
          <cell r="M1387">
            <v>792.8</v>
          </cell>
          <cell r="N1387">
            <v>0</v>
          </cell>
          <cell r="O1387">
            <v>334.94</v>
          </cell>
        </row>
        <row r="1388">
          <cell r="A1388" t="str">
            <v>01</v>
          </cell>
          <cell r="B1388" t="str">
            <v>31</v>
          </cell>
          <cell r="C1388" t="str">
            <v>记-0044</v>
          </cell>
          <cell r="D1388" t="str">
            <v>072</v>
          </cell>
          <cell r="E1388" t="str">
            <v>赤灵芝</v>
          </cell>
          <cell r="F1388" t="str">
            <v>结转销售成本</v>
          </cell>
          <cell r="G1388">
            <v>0.42244999999999999</v>
          </cell>
          <cell r="H1388">
            <v>0</v>
          </cell>
          <cell r="I1388">
            <v>0</v>
          </cell>
          <cell r="J1388">
            <v>792.8</v>
          </cell>
          <cell r="K1388">
            <v>334.92</v>
          </cell>
          <cell r="L1388" t="str">
            <v>借</v>
          </cell>
          <cell r="M1388">
            <v>0</v>
          </cell>
          <cell r="N1388">
            <v>0</v>
          </cell>
          <cell r="O1388">
            <v>0.02</v>
          </cell>
        </row>
        <row r="1389">
          <cell r="A1389" t="str">
            <v>01</v>
          </cell>
          <cell r="F1389" t="str">
            <v>本月合计</v>
          </cell>
          <cell r="G1389">
            <v>0</v>
          </cell>
          <cell r="H1389">
            <v>792.8</v>
          </cell>
          <cell r="I1389">
            <v>334.94</v>
          </cell>
          <cell r="J1389">
            <v>792.8</v>
          </cell>
          <cell r="K1389">
            <v>334.92</v>
          </cell>
          <cell r="L1389" t="str">
            <v>借</v>
          </cell>
          <cell r="M1389">
            <v>0</v>
          </cell>
          <cell r="N1389">
            <v>0</v>
          </cell>
          <cell r="O1389">
            <v>0.02</v>
          </cell>
        </row>
        <row r="1390">
          <cell r="A1390" t="str">
            <v>01</v>
          </cell>
          <cell r="F1390" t="str">
            <v>累    计</v>
          </cell>
          <cell r="G1390">
            <v>0</v>
          </cell>
          <cell r="H1390">
            <v>792.8</v>
          </cell>
          <cell r="I1390">
            <v>334.94</v>
          </cell>
          <cell r="J1390">
            <v>792.8</v>
          </cell>
          <cell r="K1390">
            <v>334.92</v>
          </cell>
          <cell r="L1390" t="str">
            <v>借</v>
          </cell>
          <cell r="M1390">
            <v>0</v>
          </cell>
          <cell r="N1390">
            <v>0</v>
          </cell>
          <cell r="O1390">
            <v>0.02</v>
          </cell>
        </row>
        <row r="1391">
          <cell r="A1391" t="str">
            <v>07</v>
          </cell>
          <cell r="B1391" t="str">
            <v>22</v>
          </cell>
          <cell r="C1391" t="str">
            <v>记-0051</v>
          </cell>
          <cell r="D1391" t="str">
            <v>072</v>
          </cell>
          <cell r="E1391" t="str">
            <v>赤灵芝</v>
          </cell>
          <cell r="F1391" t="str">
            <v>结转成本</v>
          </cell>
          <cell r="G1391">
            <v>0.42248000000000002</v>
          </cell>
          <cell r="H1391">
            <v>0</v>
          </cell>
          <cell r="I1391">
            <v>0</v>
          </cell>
          <cell r="J1391">
            <v>2464</v>
          </cell>
          <cell r="K1391">
            <v>1040.99</v>
          </cell>
          <cell r="L1391" t="str">
            <v>贷</v>
          </cell>
          <cell r="M1391">
            <v>2464</v>
          </cell>
          <cell r="N1391">
            <v>0</v>
          </cell>
          <cell r="O1391">
            <v>1040.97</v>
          </cell>
        </row>
        <row r="1392">
          <cell r="A1392" t="str">
            <v>07</v>
          </cell>
          <cell r="B1392" t="str">
            <v>22</v>
          </cell>
          <cell r="C1392" t="str">
            <v>记-0053</v>
          </cell>
          <cell r="D1392" t="str">
            <v>072</v>
          </cell>
          <cell r="E1392" t="str">
            <v>赤灵芝</v>
          </cell>
          <cell r="F1392" t="str">
            <v>收购产品</v>
          </cell>
          <cell r="G1392">
            <v>0.42248000000000002</v>
          </cell>
          <cell r="H1392">
            <v>2464</v>
          </cell>
          <cell r="I1392">
            <v>1040.99</v>
          </cell>
          <cell r="J1392">
            <v>0</v>
          </cell>
          <cell r="K1392">
            <v>0</v>
          </cell>
          <cell r="L1392" t="str">
            <v>借</v>
          </cell>
          <cell r="M1392">
            <v>0</v>
          </cell>
          <cell r="N1392">
            <v>0</v>
          </cell>
          <cell r="O1392">
            <v>0.02</v>
          </cell>
        </row>
        <row r="1393">
          <cell r="A1393" t="str">
            <v>07</v>
          </cell>
          <cell r="F1393" t="str">
            <v>本月合计</v>
          </cell>
          <cell r="G1393">
            <v>0</v>
          </cell>
          <cell r="H1393">
            <v>2464</v>
          </cell>
          <cell r="I1393">
            <v>1040.99</v>
          </cell>
          <cell r="J1393">
            <v>2464</v>
          </cell>
          <cell r="K1393">
            <v>1040.99</v>
          </cell>
          <cell r="L1393" t="str">
            <v>借</v>
          </cell>
          <cell r="M1393">
            <v>0</v>
          </cell>
          <cell r="N1393">
            <v>0</v>
          </cell>
          <cell r="O1393">
            <v>0.02</v>
          </cell>
        </row>
        <row r="1394">
          <cell r="A1394" t="str">
            <v>07</v>
          </cell>
          <cell r="F1394" t="str">
            <v>累    计</v>
          </cell>
          <cell r="G1394">
            <v>0</v>
          </cell>
          <cell r="H1394">
            <v>3256.8</v>
          </cell>
          <cell r="I1394">
            <v>1375.93</v>
          </cell>
          <cell r="J1394">
            <v>3256.8</v>
          </cell>
          <cell r="K1394">
            <v>1375.91</v>
          </cell>
          <cell r="L1394" t="str">
            <v>借</v>
          </cell>
          <cell r="M1394">
            <v>0</v>
          </cell>
          <cell r="N1394">
            <v>0</v>
          </cell>
          <cell r="O1394">
            <v>0.02</v>
          </cell>
        </row>
        <row r="1395">
          <cell r="A1395" t="str">
            <v>12</v>
          </cell>
          <cell r="B1395" t="str">
            <v>11</v>
          </cell>
          <cell r="C1395" t="str">
            <v>记-0018</v>
          </cell>
          <cell r="D1395" t="str">
            <v>072</v>
          </cell>
          <cell r="E1395" t="str">
            <v>赤灵芝</v>
          </cell>
          <cell r="F1395" t="str">
            <v>收购产品</v>
          </cell>
          <cell r="G1395">
            <v>0.42248000000000002</v>
          </cell>
          <cell r="H1395">
            <v>2350</v>
          </cell>
          <cell r="I1395">
            <v>992.82</v>
          </cell>
          <cell r="J1395">
            <v>0</v>
          </cell>
          <cell r="K1395">
            <v>0</v>
          </cell>
          <cell r="L1395" t="str">
            <v>借</v>
          </cell>
          <cell r="M1395">
            <v>2350</v>
          </cell>
          <cell r="N1395">
            <v>0</v>
          </cell>
          <cell r="O1395">
            <v>992.84</v>
          </cell>
        </row>
        <row r="1396">
          <cell r="A1396" t="str">
            <v>12</v>
          </cell>
          <cell r="B1396" t="str">
            <v>11</v>
          </cell>
          <cell r="C1396" t="str">
            <v>记-0030</v>
          </cell>
          <cell r="D1396" t="str">
            <v>072</v>
          </cell>
          <cell r="E1396" t="str">
            <v>赤灵芝</v>
          </cell>
          <cell r="F1396" t="str">
            <v>结转成本</v>
          </cell>
          <cell r="G1396">
            <v>0.42248000000000002</v>
          </cell>
          <cell r="H1396">
            <v>0</v>
          </cell>
          <cell r="I1396">
            <v>0</v>
          </cell>
          <cell r="J1396">
            <v>2350</v>
          </cell>
          <cell r="K1396">
            <v>992.82</v>
          </cell>
          <cell r="L1396" t="str">
            <v>借</v>
          </cell>
          <cell r="M1396">
            <v>0</v>
          </cell>
          <cell r="N1396">
            <v>0</v>
          </cell>
          <cell r="O1396">
            <v>0.02</v>
          </cell>
        </row>
        <row r="1397">
          <cell r="A1397" t="str">
            <v>12</v>
          </cell>
          <cell r="B1397" t="str">
            <v>31</v>
          </cell>
          <cell r="C1397" t="str">
            <v>记-0168</v>
          </cell>
          <cell r="D1397" t="str">
            <v>072</v>
          </cell>
          <cell r="E1397" t="str">
            <v>赤灵芝</v>
          </cell>
          <cell r="F1397" t="str">
            <v>调整1月44号凭</v>
          </cell>
          <cell r="G1397">
            <v>0</v>
          </cell>
          <cell r="H1397">
            <v>0</v>
          </cell>
          <cell r="I1397">
            <v>0</v>
          </cell>
          <cell r="J1397">
            <v>0</v>
          </cell>
          <cell r="K1397">
            <v>0.02</v>
          </cell>
          <cell r="L1397" t="str">
            <v>平</v>
          </cell>
          <cell r="M1397">
            <v>0</v>
          </cell>
          <cell r="N1397">
            <v>0</v>
          </cell>
          <cell r="O1397">
            <v>0</v>
          </cell>
        </row>
        <row r="1398">
          <cell r="A1398" t="str">
            <v>12</v>
          </cell>
          <cell r="F1398" t="str">
            <v>本月合计</v>
          </cell>
          <cell r="G1398">
            <v>0</v>
          </cell>
          <cell r="H1398">
            <v>2350</v>
          </cell>
          <cell r="I1398">
            <v>992.82</v>
          </cell>
          <cell r="J1398">
            <v>2350</v>
          </cell>
          <cell r="K1398">
            <v>992.84</v>
          </cell>
          <cell r="L1398" t="str">
            <v>平</v>
          </cell>
          <cell r="M1398">
            <v>0</v>
          </cell>
          <cell r="N1398">
            <v>0</v>
          </cell>
          <cell r="O1398">
            <v>0</v>
          </cell>
        </row>
        <row r="1399">
          <cell r="A1399" t="str">
            <v>12</v>
          </cell>
          <cell r="E1399" t="str">
            <v>赤灵芝</v>
          </cell>
          <cell r="F1399" t="str">
            <v>本年累计</v>
          </cell>
          <cell r="G1399">
            <v>0</v>
          </cell>
          <cell r="H1399">
            <v>5606.8</v>
          </cell>
          <cell r="I1399">
            <v>2368.75</v>
          </cell>
          <cell r="J1399">
            <v>5606.8</v>
          </cell>
          <cell r="K1399">
            <v>2368.75</v>
          </cell>
          <cell r="L1399" t="str">
            <v>平</v>
          </cell>
          <cell r="M1399">
            <v>0</v>
          </cell>
          <cell r="N1399">
            <v>0</v>
          </cell>
          <cell r="O1399">
            <v>0</v>
          </cell>
        </row>
        <row r="1400">
          <cell r="A1400" t="str">
            <v>01</v>
          </cell>
          <cell r="B1400" t="str">
            <v>31</v>
          </cell>
          <cell r="C1400" t="str">
            <v>记-0031</v>
          </cell>
          <cell r="D1400" t="str">
            <v>073</v>
          </cell>
          <cell r="E1400" t="str">
            <v>鸭巴肚</v>
          </cell>
          <cell r="F1400" t="str">
            <v>收购产品</v>
          </cell>
          <cell r="G1400">
            <v>225.13839999999999</v>
          </cell>
          <cell r="H1400">
            <v>50</v>
          </cell>
          <cell r="I1400">
            <v>11256.92</v>
          </cell>
          <cell r="J1400">
            <v>0</v>
          </cell>
          <cell r="K1400">
            <v>0</v>
          </cell>
          <cell r="L1400" t="str">
            <v>借</v>
          </cell>
          <cell r="M1400">
            <v>50</v>
          </cell>
          <cell r="N1400">
            <v>0</v>
          </cell>
          <cell r="O1400">
            <v>11256.92</v>
          </cell>
        </row>
        <row r="1401">
          <cell r="A1401" t="str">
            <v>01</v>
          </cell>
          <cell r="B1401" t="str">
            <v>31</v>
          </cell>
          <cell r="C1401" t="str">
            <v>记-0045</v>
          </cell>
          <cell r="D1401" t="str">
            <v>073</v>
          </cell>
          <cell r="E1401" t="str">
            <v>鸭巴肚</v>
          </cell>
          <cell r="F1401" t="str">
            <v>结转销售成本</v>
          </cell>
          <cell r="G1401">
            <v>225.13839999999999</v>
          </cell>
          <cell r="H1401">
            <v>0</v>
          </cell>
          <cell r="I1401">
            <v>0</v>
          </cell>
          <cell r="J1401">
            <v>50</v>
          </cell>
          <cell r="K1401">
            <v>11256.92</v>
          </cell>
          <cell r="L1401" t="str">
            <v>平</v>
          </cell>
          <cell r="M1401">
            <v>0</v>
          </cell>
          <cell r="N1401">
            <v>0</v>
          </cell>
          <cell r="O1401">
            <v>0</v>
          </cell>
        </row>
        <row r="1402">
          <cell r="A1402" t="str">
            <v>01</v>
          </cell>
          <cell r="F1402" t="str">
            <v>本月合计</v>
          </cell>
          <cell r="G1402">
            <v>0</v>
          </cell>
          <cell r="H1402">
            <v>50</v>
          </cell>
          <cell r="I1402">
            <v>11256.92</v>
          </cell>
          <cell r="J1402">
            <v>50</v>
          </cell>
          <cell r="K1402">
            <v>11256.92</v>
          </cell>
          <cell r="L1402" t="str">
            <v>平</v>
          </cell>
          <cell r="M1402">
            <v>0</v>
          </cell>
          <cell r="N1402">
            <v>0</v>
          </cell>
          <cell r="O1402">
            <v>0</v>
          </cell>
        </row>
        <row r="1403">
          <cell r="A1403" t="str">
            <v>01</v>
          </cell>
          <cell r="F1403" t="str">
            <v>累    计</v>
          </cell>
          <cell r="G1403">
            <v>0</v>
          </cell>
          <cell r="H1403">
            <v>50</v>
          </cell>
          <cell r="I1403">
            <v>11256.92</v>
          </cell>
          <cell r="J1403">
            <v>50</v>
          </cell>
          <cell r="K1403">
            <v>11256.92</v>
          </cell>
          <cell r="L1403" t="str">
            <v>平</v>
          </cell>
          <cell r="M1403">
            <v>0</v>
          </cell>
          <cell r="N1403">
            <v>0</v>
          </cell>
          <cell r="O1403">
            <v>0</v>
          </cell>
        </row>
        <row r="1404">
          <cell r="A1404" t="str">
            <v>08</v>
          </cell>
          <cell r="B1404" t="str">
            <v>25</v>
          </cell>
          <cell r="C1404" t="str">
            <v>记-0056</v>
          </cell>
          <cell r="D1404" t="str">
            <v>073</v>
          </cell>
          <cell r="E1404" t="str">
            <v>鸭巴肚</v>
          </cell>
          <cell r="F1404" t="str">
            <v>结转成本</v>
          </cell>
          <cell r="G1404">
            <v>243.17830000000001</v>
          </cell>
          <cell r="H1404">
            <v>0</v>
          </cell>
          <cell r="I1404">
            <v>0</v>
          </cell>
          <cell r="J1404">
            <v>100</v>
          </cell>
          <cell r="K1404">
            <v>24317.83</v>
          </cell>
          <cell r="L1404" t="str">
            <v>贷</v>
          </cell>
          <cell r="M1404">
            <v>100</v>
          </cell>
          <cell r="N1404">
            <v>0</v>
          </cell>
          <cell r="O1404">
            <v>24317.83</v>
          </cell>
        </row>
        <row r="1405">
          <cell r="A1405" t="str">
            <v>08</v>
          </cell>
          <cell r="B1405" t="str">
            <v>25</v>
          </cell>
          <cell r="C1405" t="str">
            <v>记-0063</v>
          </cell>
          <cell r="D1405" t="str">
            <v>073</v>
          </cell>
          <cell r="E1405" t="str">
            <v>鸭巴肚</v>
          </cell>
          <cell r="F1405" t="str">
            <v>收购产品</v>
          </cell>
          <cell r="G1405">
            <v>243.17830000000001</v>
          </cell>
          <cell r="H1405">
            <v>100</v>
          </cell>
          <cell r="I1405">
            <v>24317.83</v>
          </cell>
          <cell r="J1405">
            <v>0</v>
          </cell>
          <cell r="K1405">
            <v>0</v>
          </cell>
          <cell r="L1405" t="str">
            <v>平</v>
          </cell>
          <cell r="M1405">
            <v>0</v>
          </cell>
          <cell r="N1405">
            <v>0</v>
          </cell>
          <cell r="O1405">
            <v>0</v>
          </cell>
        </row>
        <row r="1406">
          <cell r="A1406" t="str">
            <v>08</v>
          </cell>
          <cell r="F1406" t="str">
            <v>本月合计</v>
          </cell>
          <cell r="G1406">
            <v>0</v>
          </cell>
          <cell r="H1406">
            <v>100</v>
          </cell>
          <cell r="I1406">
            <v>24317.83</v>
          </cell>
          <cell r="J1406">
            <v>100</v>
          </cell>
          <cell r="K1406">
            <v>24317.83</v>
          </cell>
          <cell r="L1406" t="str">
            <v>平</v>
          </cell>
          <cell r="M1406">
            <v>0</v>
          </cell>
          <cell r="N1406">
            <v>0</v>
          </cell>
          <cell r="O1406">
            <v>0</v>
          </cell>
        </row>
        <row r="1407">
          <cell r="A1407" t="str">
            <v>08</v>
          </cell>
          <cell r="F1407" t="str">
            <v>累    计</v>
          </cell>
          <cell r="G1407">
            <v>0</v>
          </cell>
          <cell r="H1407">
            <v>150</v>
          </cell>
          <cell r="I1407">
            <v>35574.75</v>
          </cell>
          <cell r="J1407">
            <v>150</v>
          </cell>
          <cell r="K1407">
            <v>35574.75</v>
          </cell>
          <cell r="L1407" t="str">
            <v>平</v>
          </cell>
          <cell r="M1407">
            <v>0</v>
          </cell>
          <cell r="N1407">
            <v>0</v>
          </cell>
          <cell r="O1407">
            <v>0</v>
          </cell>
        </row>
        <row r="1408">
          <cell r="A1408" t="str">
            <v>09</v>
          </cell>
          <cell r="B1408" t="str">
            <v>22</v>
          </cell>
          <cell r="C1408" t="str">
            <v>记-0025</v>
          </cell>
          <cell r="D1408" t="str">
            <v>073</v>
          </cell>
          <cell r="E1408" t="str">
            <v>鸭巴肚</v>
          </cell>
          <cell r="F1408" t="str">
            <v>结转成本</v>
          </cell>
          <cell r="G1408">
            <v>243.1782</v>
          </cell>
          <cell r="H1408">
            <v>0</v>
          </cell>
          <cell r="I1408">
            <v>0</v>
          </cell>
          <cell r="J1408">
            <v>50</v>
          </cell>
          <cell r="K1408">
            <v>12158.91</v>
          </cell>
          <cell r="L1408" t="str">
            <v>贷</v>
          </cell>
          <cell r="M1408">
            <v>50</v>
          </cell>
          <cell r="N1408">
            <v>0</v>
          </cell>
          <cell r="O1408">
            <v>12158.91</v>
          </cell>
        </row>
        <row r="1409">
          <cell r="A1409" t="str">
            <v>09</v>
          </cell>
          <cell r="B1409" t="str">
            <v>22</v>
          </cell>
          <cell r="C1409" t="str">
            <v>记-0036</v>
          </cell>
          <cell r="D1409" t="str">
            <v>073</v>
          </cell>
          <cell r="E1409" t="str">
            <v>鸭巴肚</v>
          </cell>
          <cell r="F1409" t="str">
            <v>收购产品</v>
          </cell>
          <cell r="G1409">
            <v>243.1782</v>
          </cell>
          <cell r="H1409">
            <v>50</v>
          </cell>
          <cell r="I1409">
            <v>12158.91</v>
          </cell>
          <cell r="J1409">
            <v>0</v>
          </cell>
          <cell r="K1409">
            <v>0</v>
          </cell>
          <cell r="L1409" t="str">
            <v>平</v>
          </cell>
          <cell r="M1409">
            <v>0</v>
          </cell>
          <cell r="N1409">
            <v>0</v>
          </cell>
          <cell r="O1409">
            <v>0</v>
          </cell>
        </row>
        <row r="1410">
          <cell r="A1410" t="str">
            <v>09</v>
          </cell>
          <cell r="F1410" t="str">
            <v>本月合计</v>
          </cell>
          <cell r="G1410">
            <v>0</v>
          </cell>
          <cell r="H1410">
            <v>50</v>
          </cell>
          <cell r="I1410">
            <v>12158.91</v>
          </cell>
          <cell r="J1410">
            <v>50</v>
          </cell>
          <cell r="K1410">
            <v>12158.91</v>
          </cell>
          <cell r="L1410" t="str">
            <v>平</v>
          </cell>
          <cell r="M1410">
            <v>0</v>
          </cell>
          <cell r="N1410">
            <v>0</v>
          </cell>
          <cell r="O1410">
            <v>0</v>
          </cell>
        </row>
        <row r="1411">
          <cell r="A1411" t="str">
            <v>09</v>
          </cell>
          <cell r="F1411" t="str">
            <v>累    计</v>
          </cell>
          <cell r="G1411">
            <v>0</v>
          </cell>
          <cell r="H1411">
            <v>200</v>
          </cell>
          <cell r="I1411">
            <v>47733.66</v>
          </cell>
          <cell r="J1411">
            <v>200</v>
          </cell>
          <cell r="K1411">
            <v>47733.66</v>
          </cell>
          <cell r="L1411" t="str">
            <v>平</v>
          </cell>
          <cell r="M1411">
            <v>0</v>
          </cell>
          <cell r="N1411">
            <v>0</v>
          </cell>
          <cell r="O1411">
            <v>0</v>
          </cell>
        </row>
        <row r="1412">
          <cell r="A1412" t="str">
            <v>12</v>
          </cell>
          <cell r="B1412" t="str">
            <v>11</v>
          </cell>
          <cell r="C1412" t="str">
            <v>记-0024</v>
          </cell>
          <cell r="D1412" t="str">
            <v>073</v>
          </cell>
          <cell r="E1412" t="str">
            <v>鸭巴肚</v>
          </cell>
          <cell r="F1412" t="str">
            <v>收购产品</v>
          </cell>
          <cell r="G1412">
            <v>243.17823999999999</v>
          </cell>
          <cell r="H1412">
            <v>199</v>
          </cell>
          <cell r="I1412">
            <v>48392.47</v>
          </cell>
          <cell r="J1412">
            <v>0</v>
          </cell>
          <cell r="K1412">
            <v>0</v>
          </cell>
          <cell r="L1412" t="str">
            <v>借</v>
          </cell>
          <cell r="M1412">
            <v>199</v>
          </cell>
          <cell r="N1412">
            <v>0</v>
          </cell>
          <cell r="O1412">
            <v>48392.47</v>
          </cell>
        </row>
        <row r="1413">
          <cell r="A1413" t="str">
            <v>12</v>
          </cell>
          <cell r="B1413" t="str">
            <v>11</v>
          </cell>
          <cell r="C1413" t="str">
            <v>记-0033</v>
          </cell>
          <cell r="D1413" t="str">
            <v>073</v>
          </cell>
          <cell r="E1413" t="str">
            <v>鸭巴肚</v>
          </cell>
          <cell r="F1413" t="str">
            <v>结转成本</v>
          </cell>
          <cell r="G1413">
            <v>243.17823999999999</v>
          </cell>
          <cell r="H1413">
            <v>0</v>
          </cell>
          <cell r="I1413">
            <v>0</v>
          </cell>
          <cell r="J1413">
            <v>199</v>
          </cell>
          <cell r="K1413">
            <v>48392.47</v>
          </cell>
          <cell r="L1413" t="str">
            <v>平</v>
          </cell>
          <cell r="M1413">
            <v>0</v>
          </cell>
          <cell r="N1413">
            <v>0</v>
          </cell>
          <cell r="O1413">
            <v>0</v>
          </cell>
        </row>
        <row r="1414">
          <cell r="A1414" t="str">
            <v>12</v>
          </cell>
          <cell r="F1414" t="str">
            <v>本月合计</v>
          </cell>
          <cell r="G1414">
            <v>0</v>
          </cell>
          <cell r="H1414">
            <v>199</v>
          </cell>
          <cell r="I1414">
            <v>48392.47</v>
          </cell>
          <cell r="J1414">
            <v>199</v>
          </cell>
          <cell r="K1414">
            <v>48392.47</v>
          </cell>
          <cell r="L1414" t="str">
            <v>平</v>
          </cell>
          <cell r="M1414">
            <v>0</v>
          </cell>
          <cell r="N1414">
            <v>0</v>
          </cell>
          <cell r="O1414">
            <v>0</v>
          </cell>
        </row>
        <row r="1415">
          <cell r="A1415" t="str">
            <v>12</v>
          </cell>
          <cell r="E1415" t="str">
            <v>鸭巴肚</v>
          </cell>
          <cell r="F1415" t="str">
            <v>本年累计</v>
          </cell>
          <cell r="G1415">
            <v>0</v>
          </cell>
          <cell r="H1415">
            <v>399</v>
          </cell>
          <cell r="I1415">
            <v>96126.13</v>
          </cell>
          <cell r="J1415">
            <v>399</v>
          </cell>
          <cell r="K1415">
            <v>96126.13</v>
          </cell>
          <cell r="L1415" t="str">
            <v>平</v>
          </cell>
          <cell r="M1415">
            <v>0</v>
          </cell>
          <cell r="N1415">
            <v>0</v>
          </cell>
          <cell r="O1415">
            <v>0</v>
          </cell>
        </row>
        <row r="1416">
          <cell r="A1416" t="str">
            <v>01</v>
          </cell>
          <cell r="B1416" t="str">
            <v>31</v>
          </cell>
          <cell r="C1416" t="str">
            <v>记-0031</v>
          </cell>
          <cell r="D1416" t="str">
            <v>074</v>
          </cell>
          <cell r="E1416" t="str">
            <v>小黄花胶</v>
          </cell>
          <cell r="F1416" t="str">
            <v>收购产品</v>
          </cell>
          <cell r="G1416">
            <v>225.13849999999999</v>
          </cell>
          <cell r="H1416">
            <v>100</v>
          </cell>
          <cell r="I1416">
            <v>22513.85</v>
          </cell>
          <cell r="J1416">
            <v>0</v>
          </cell>
          <cell r="K1416">
            <v>0</v>
          </cell>
          <cell r="L1416" t="str">
            <v>借</v>
          </cell>
          <cell r="M1416">
            <v>100</v>
          </cell>
          <cell r="N1416">
            <v>0</v>
          </cell>
          <cell r="O1416">
            <v>22513.85</v>
          </cell>
        </row>
        <row r="1417">
          <cell r="A1417" t="str">
            <v>01</v>
          </cell>
          <cell r="B1417" t="str">
            <v>31</v>
          </cell>
          <cell r="C1417" t="str">
            <v>记-0045</v>
          </cell>
          <cell r="D1417" t="str">
            <v>074</v>
          </cell>
          <cell r="E1417" t="str">
            <v>小黄花胶</v>
          </cell>
          <cell r="F1417" t="str">
            <v>结转销售成本</v>
          </cell>
          <cell r="G1417">
            <v>225.13849999999999</v>
          </cell>
          <cell r="H1417">
            <v>0</v>
          </cell>
          <cell r="I1417">
            <v>0</v>
          </cell>
          <cell r="J1417">
            <v>100</v>
          </cell>
          <cell r="K1417">
            <v>22513.85</v>
          </cell>
          <cell r="L1417" t="str">
            <v>平</v>
          </cell>
          <cell r="M1417">
            <v>0</v>
          </cell>
          <cell r="N1417">
            <v>0</v>
          </cell>
          <cell r="O1417">
            <v>0</v>
          </cell>
        </row>
        <row r="1418">
          <cell r="A1418" t="str">
            <v>01</v>
          </cell>
          <cell r="F1418" t="str">
            <v>本月合计</v>
          </cell>
          <cell r="G1418">
            <v>0</v>
          </cell>
          <cell r="H1418">
            <v>100</v>
          </cell>
          <cell r="I1418">
            <v>22513.85</v>
          </cell>
          <cell r="J1418">
            <v>100</v>
          </cell>
          <cell r="K1418">
            <v>22513.85</v>
          </cell>
          <cell r="L1418" t="str">
            <v>平</v>
          </cell>
          <cell r="M1418">
            <v>0</v>
          </cell>
          <cell r="N1418">
            <v>0</v>
          </cell>
          <cell r="O1418">
            <v>0</v>
          </cell>
        </row>
        <row r="1419">
          <cell r="A1419" t="str">
            <v>01</v>
          </cell>
          <cell r="F1419" t="str">
            <v>累    计</v>
          </cell>
          <cell r="G1419">
            <v>0</v>
          </cell>
          <cell r="H1419">
            <v>100</v>
          </cell>
          <cell r="I1419">
            <v>22513.85</v>
          </cell>
          <cell r="J1419">
            <v>100</v>
          </cell>
          <cell r="K1419">
            <v>22513.85</v>
          </cell>
          <cell r="L1419" t="str">
            <v>平</v>
          </cell>
          <cell r="M1419">
            <v>0</v>
          </cell>
          <cell r="N1419">
            <v>0</v>
          </cell>
          <cell r="O1419">
            <v>0</v>
          </cell>
        </row>
        <row r="1420">
          <cell r="A1420" t="str">
            <v>02</v>
          </cell>
          <cell r="B1420" t="str">
            <v>28</v>
          </cell>
          <cell r="C1420" t="str">
            <v>记-0058</v>
          </cell>
          <cell r="D1420" t="str">
            <v>074</v>
          </cell>
          <cell r="E1420" t="str">
            <v>小黄花胶</v>
          </cell>
          <cell r="F1420" t="str">
            <v>结转销售成本</v>
          </cell>
          <cell r="G1420">
            <v>1125.692</v>
          </cell>
          <cell r="H1420">
            <v>0</v>
          </cell>
          <cell r="I1420">
            <v>0</v>
          </cell>
          <cell r="J1420">
            <v>10</v>
          </cell>
          <cell r="K1420">
            <v>11256.92</v>
          </cell>
          <cell r="L1420" t="str">
            <v>贷</v>
          </cell>
          <cell r="M1420">
            <v>10</v>
          </cell>
          <cell r="N1420">
            <v>0</v>
          </cell>
          <cell r="O1420">
            <v>11256.92</v>
          </cell>
        </row>
        <row r="1421">
          <cell r="A1421" t="str">
            <v>02</v>
          </cell>
          <cell r="B1421" t="str">
            <v>28</v>
          </cell>
          <cell r="C1421" t="str">
            <v>记-0068</v>
          </cell>
          <cell r="D1421" t="str">
            <v>074</v>
          </cell>
          <cell r="E1421" t="str">
            <v>小黄花胶</v>
          </cell>
          <cell r="F1421" t="str">
            <v>收购产品</v>
          </cell>
          <cell r="G1421">
            <v>225.13839999999999</v>
          </cell>
          <cell r="H1421">
            <v>50</v>
          </cell>
          <cell r="I1421">
            <v>11256.92</v>
          </cell>
          <cell r="J1421">
            <v>0</v>
          </cell>
          <cell r="K1421">
            <v>0</v>
          </cell>
          <cell r="L1421" t="str">
            <v>平</v>
          </cell>
          <cell r="M1421">
            <v>40</v>
          </cell>
          <cell r="N1421">
            <v>0</v>
          </cell>
          <cell r="O1421">
            <v>0</v>
          </cell>
        </row>
        <row r="1422">
          <cell r="A1422" t="str">
            <v>02</v>
          </cell>
          <cell r="F1422" t="str">
            <v>本月合计</v>
          </cell>
          <cell r="G1422">
            <v>0</v>
          </cell>
          <cell r="H1422">
            <v>50</v>
          </cell>
          <cell r="I1422">
            <v>11256.92</v>
          </cell>
          <cell r="J1422">
            <v>10</v>
          </cell>
          <cell r="K1422">
            <v>11256.92</v>
          </cell>
          <cell r="L1422" t="str">
            <v>平</v>
          </cell>
          <cell r="M1422">
            <v>40</v>
          </cell>
          <cell r="N1422">
            <v>0</v>
          </cell>
          <cell r="O1422">
            <v>0</v>
          </cell>
        </row>
        <row r="1423">
          <cell r="A1423" t="str">
            <v>02</v>
          </cell>
          <cell r="F1423" t="str">
            <v>累    计</v>
          </cell>
          <cell r="G1423">
            <v>0</v>
          </cell>
          <cell r="H1423">
            <v>150</v>
          </cell>
          <cell r="I1423">
            <v>33770.769999999997</v>
          </cell>
          <cell r="J1423">
            <v>110</v>
          </cell>
          <cell r="K1423">
            <v>33770.769999999997</v>
          </cell>
          <cell r="L1423" t="str">
            <v>平</v>
          </cell>
          <cell r="M1423">
            <v>40</v>
          </cell>
          <cell r="N1423">
            <v>0</v>
          </cell>
          <cell r="O1423">
            <v>0</v>
          </cell>
        </row>
        <row r="1424">
          <cell r="A1424" t="str">
            <v>03</v>
          </cell>
          <cell r="B1424" t="str">
            <v>31</v>
          </cell>
          <cell r="C1424" t="str">
            <v>记-0039</v>
          </cell>
          <cell r="D1424" t="str">
            <v>074</v>
          </cell>
          <cell r="E1424" t="str">
            <v>小黄花胶</v>
          </cell>
          <cell r="F1424" t="str">
            <v>转库存</v>
          </cell>
          <cell r="G1424">
            <v>243.17829</v>
          </cell>
          <cell r="H1424">
            <v>0</v>
          </cell>
          <cell r="I1424">
            <v>0</v>
          </cell>
          <cell r="J1424">
            <v>82</v>
          </cell>
          <cell r="K1424">
            <v>19940.62</v>
          </cell>
          <cell r="L1424" t="str">
            <v>贷</v>
          </cell>
          <cell r="M1424">
            <v>42</v>
          </cell>
          <cell r="N1424">
            <v>0</v>
          </cell>
          <cell r="O1424">
            <v>19940.62</v>
          </cell>
        </row>
        <row r="1425">
          <cell r="A1425" t="str">
            <v>03</v>
          </cell>
          <cell r="B1425" t="str">
            <v>31</v>
          </cell>
          <cell r="C1425" t="str">
            <v>记-0053</v>
          </cell>
          <cell r="D1425" t="str">
            <v>074</v>
          </cell>
          <cell r="E1425" t="str">
            <v>小黄花胶</v>
          </cell>
          <cell r="F1425" t="str">
            <v>收购产品</v>
          </cell>
          <cell r="G1425">
            <v>243.17829</v>
          </cell>
          <cell r="H1425">
            <v>82</v>
          </cell>
          <cell r="I1425">
            <v>19940.62</v>
          </cell>
          <cell r="J1425">
            <v>0</v>
          </cell>
          <cell r="K1425">
            <v>0</v>
          </cell>
          <cell r="L1425" t="str">
            <v>平</v>
          </cell>
          <cell r="M1425">
            <v>40</v>
          </cell>
          <cell r="N1425">
            <v>0</v>
          </cell>
          <cell r="O1425">
            <v>0</v>
          </cell>
        </row>
        <row r="1426">
          <cell r="A1426" t="str">
            <v>03</v>
          </cell>
          <cell r="F1426" t="str">
            <v>本月合计</v>
          </cell>
          <cell r="G1426">
            <v>0</v>
          </cell>
          <cell r="H1426">
            <v>82</v>
          </cell>
          <cell r="I1426">
            <v>19940.62</v>
          </cell>
          <cell r="J1426">
            <v>82</v>
          </cell>
          <cell r="K1426">
            <v>19940.62</v>
          </cell>
          <cell r="L1426" t="str">
            <v>平</v>
          </cell>
          <cell r="M1426">
            <v>40</v>
          </cell>
          <cell r="N1426">
            <v>0</v>
          </cell>
          <cell r="O1426">
            <v>0</v>
          </cell>
        </row>
        <row r="1427">
          <cell r="A1427" t="str">
            <v>03</v>
          </cell>
          <cell r="F1427" t="str">
            <v>累    计</v>
          </cell>
          <cell r="G1427">
            <v>0</v>
          </cell>
          <cell r="H1427">
            <v>232</v>
          </cell>
          <cell r="I1427">
            <v>53711.39</v>
          </cell>
          <cell r="J1427">
            <v>192</v>
          </cell>
          <cell r="K1427">
            <v>53711.39</v>
          </cell>
          <cell r="L1427" t="str">
            <v>平</v>
          </cell>
          <cell r="M1427">
            <v>40</v>
          </cell>
          <cell r="N1427">
            <v>0</v>
          </cell>
          <cell r="O1427">
            <v>0</v>
          </cell>
        </row>
        <row r="1428">
          <cell r="A1428" t="str">
            <v>04</v>
          </cell>
          <cell r="B1428" t="str">
            <v>30</v>
          </cell>
          <cell r="C1428" t="str">
            <v>记-0032</v>
          </cell>
          <cell r="D1428" t="str">
            <v>074</v>
          </cell>
          <cell r="E1428" t="str">
            <v>小黄花胶</v>
          </cell>
          <cell r="F1428" t="str">
            <v>收购产品</v>
          </cell>
          <cell r="G1428">
            <v>247.68189000000001</v>
          </cell>
          <cell r="H1428">
            <v>90</v>
          </cell>
          <cell r="I1428">
            <v>22291.37</v>
          </cell>
          <cell r="J1428">
            <v>0</v>
          </cell>
          <cell r="K1428">
            <v>0</v>
          </cell>
          <cell r="L1428" t="str">
            <v>借</v>
          </cell>
          <cell r="M1428">
            <v>130</v>
          </cell>
          <cell r="N1428">
            <v>0</v>
          </cell>
          <cell r="O1428">
            <v>22291.37</v>
          </cell>
        </row>
        <row r="1429">
          <cell r="A1429" t="str">
            <v>04</v>
          </cell>
          <cell r="B1429" t="str">
            <v>30</v>
          </cell>
          <cell r="C1429" t="str">
            <v>记-0050</v>
          </cell>
          <cell r="D1429" t="str">
            <v>074</v>
          </cell>
          <cell r="E1429" t="str">
            <v>小黄花胶</v>
          </cell>
          <cell r="F1429" t="str">
            <v>转成本</v>
          </cell>
          <cell r="G1429">
            <v>247.68189000000001</v>
          </cell>
          <cell r="H1429">
            <v>0</v>
          </cell>
          <cell r="I1429">
            <v>0</v>
          </cell>
          <cell r="J1429">
            <v>90</v>
          </cell>
          <cell r="K1429">
            <v>22291.37</v>
          </cell>
          <cell r="L1429" t="str">
            <v>平</v>
          </cell>
          <cell r="M1429">
            <v>40</v>
          </cell>
          <cell r="N1429">
            <v>0</v>
          </cell>
          <cell r="O1429">
            <v>0</v>
          </cell>
        </row>
        <row r="1430">
          <cell r="A1430" t="str">
            <v>04</v>
          </cell>
          <cell r="F1430" t="str">
            <v>本月合计</v>
          </cell>
          <cell r="G1430">
            <v>0</v>
          </cell>
          <cell r="H1430">
            <v>90</v>
          </cell>
          <cell r="I1430">
            <v>22291.37</v>
          </cell>
          <cell r="J1430">
            <v>90</v>
          </cell>
          <cell r="K1430">
            <v>22291.37</v>
          </cell>
          <cell r="L1430" t="str">
            <v>平</v>
          </cell>
          <cell r="M1430">
            <v>40</v>
          </cell>
          <cell r="N1430">
            <v>0</v>
          </cell>
          <cell r="O1430">
            <v>0</v>
          </cell>
        </row>
        <row r="1431">
          <cell r="A1431" t="str">
            <v>04</v>
          </cell>
          <cell r="F1431" t="str">
            <v>累    计</v>
          </cell>
          <cell r="G1431">
            <v>0</v>
          </cell>
          <cell r="H1431">
            <v>322</v>
          </cell>
          <cell r="I1431">
            <v>76002.759999999995</v>
          </cell>
          <cell r="J1431">
            <v>282</v>
          </cell>
          <cell r="K1431">
            <v>76002.759999999995</v>
          </cell>
          <cell r="L1431" t="str">
            <v>平</v>
          </cell>
          <cell r="M1431">
            <v>40</v>
          </cell>
          <cell r="N1431">
            <v>0</v>
          </cell>
          <cell r="O1431">
            <v>0</v>
          </cell>
        </row>
        <row r="1432">
          <cell r="A1432" t="str">
            <v>07</v>
          </cell>
          <cell r="B1432" t="str">
            <v>22</v>
          </cell>
          <cell r="C1432" t="str">
            <v>记-0050</v>
          </cell>
          <cell r="D1432" t="str">
            <v>074</v>
          </cell>
          <cell r="E1432" t="str">
            <v>小黄花胶</v>
          </cell>
          <cell r="F1432" t="str">
            <v>结转成本</v>
          </cell>
          <cell r="G1432">
            <v>225.1807</v>
          </cell>
          <cell r="H1432">
            <v>0</v>
          </cell>
          <cell r="I1432">
            <v>0</v>
          </cell>
          <cell r="J1432">
            <v>100</v>
          </cell>
          <cell r="K1432">
            <v>22518.07</v>
          </cell>
          <cell r="L1432" t="str">
            <v>贷</v>
          </cell>
          <cell r="M1432">
            <v>60</v>
          </cell>
          <cell r="N1432">
            <v>0</v>
          </cell>
          <cell r="O1432">
            <v>22518.07</v>
          </cell>
        </row>
        <row r="1433">
          <cell r="A1433" t="str">
            <v>07</v>
          </cell>
          <cell r="B1433" t="str">
            <v>22</v>
          </cell>
          <cell r="C1433" t="str">
            <v>记-0055</v>
          </cell>
          <cell r="D1433" t="str">
            <v>074</v>
          </cell>
          <cell r="E1433" t="str">
            <v>小黄花胶</v>
          </cell>
          <cell r="F1433" t="str">
            <v>收购产品</v>
          </cell>
          <cell r="G1433">
            <v>225.1807</v>
          </cell>
          <cell r="H1433">
            <v>100</v>
          </cell>
          <cell r="I1433">
            <v>22518.07</v>
          </cell>
          <cell r="J1433">
            <v>0</v>
          </cell>
          <cell r="K1433">
            <v>0</v>
          </cell>
          <cell r="L1433" t="str">
            <v>平</v>
          </cell>
          <cell r="M1433">
            <v>40</v>
          </cell>
          <cell r="N1433">
            <v>0</v>
          </cell>
          <cell r="O1433">
            <v>0</v>
          </cell>
        </row>
        <row r="1434">
          <cell r="A1434" t="str">
            <v>07</v>
          </cell>
          <cell r="F1434" t="str">
            <v>本月合计</v>
          </cell>
          <cell r="G1434">
            <v>0</v>
          </cell>
          <cell r="H1434">
            <v>100</v>
          </cell>
          <cell r="I1434">
            <v>22518.07</v>
          </cell>
          <cell r="J1434">
            <v>100</v>
          </cell>
          <cell r="K1434">
            <v>22518.07</v>
          </cell>
          <cell r="L1434" t="str">
            <v>平</v>
          </cell>
          <cell r="M1434">
            <v>40</v>
          </cell>
          <cell r="N1434">
            <v>0</v>
          </cell>
          <cell r="O1434">
            <v>0</v>
          </cell>
        </row>
        <row r="1435">
          <cell r="A1435" t="str">
            <v>07</v>
          </cell>
          <cell r="F1435" t="str">
            <v>累    计</v>
          </cell>
          <cell r="G1435">
            <v>0</v>
          </cell>
          <cell r="H1435">
            <v>422</v>
          </cell>
          <cell r="I1435">
            <v>98520.83</v>
          </cell>
          <cell r="J1435">
            <v>382</v>
          </cell>
          <cell r="K1435">
            <v>98520.83</v>
          </cell>
          <cell r="L1435" t="str">
            <v>平</v>
          </cell>
          <cell r="M1435">
            <v>40</v>
          </cell>
          <cell r="N1435">
            <v>0</v>
          </cell>
          <cell r="O1435">
            <v>0</v>
          </cell>
        </row>
        <row r="1436">
          <cell r="A1436" t="str">
            <v>08</v>
          </cell>
          <cell r="B1436" t="str">
            <v>25</v>
          </cell>
          <cell r="C1436" t="str">
            <v>记-0056</v>
          </cell>
          <cell r="D1436" t="str">
            <v>074</v>
          </cell>
          <cell r="E1436" t="str">
            <v>小黄花胶</v>
          </cell>
          <cell r="F1436" t="str">
            <v>结转成本</v>
          </cell>
          <cell r="G1436">
            <v>243.1782</v>
          </cell>
          <cell r="H1436">
            <v>0</v>
          </cell>
          <cell r="I1436">
            <v>0</v>
          </cell>
          <cell r="J1436">
            <v>50</v>
          </cell>
          <cell r="K1436">
            <v>12158.91</v>
          </cell>
          <cell r="L1436" t="str">
            <v>贷</v>
          </cell>
          <cell r="M1436">
            <v>10</v>
          </cell>
          <cell r="N1436">
            <v>0</v>
          </cell>
          <cell r="O1436">
            <v>12158.91</v>
          </cell>
        </row>
        <row r="1437">
          <cell r="A1437" t="str">
            <v>08</v>
          </cell>
          <cell r="B1437" t="str">
            <v>25</v>
          </cell>
          <cell r="C1437" t="str">
            <v>记-0063</v>
          </cell>
          <cell r="D1437" t="str">
            <v>074</v>
          </cell>
          <cell r="E1437" t="str">
            <v>小黄花胶</v>
          </cell>
          <cell r="F1437" t="str">
            <v>收购产品</v>
          </cell>
          <cell r="G1437">
            <v>243.1782</v>
          </cell>
          <cell r="H1437">
            <v>50</v>
          </cell>
          <cell r="I1437">
            <v>12158.91</v>
          </cell>
          <cell r="J1437">
            <v>0</v>
          </cell>
          <cell r="K1437">
            <v>0</v>
          </cell>
          <cell r="L1437" t="str">
            <v>平</v>
          </cell>
          <cell r="M1437">
            <v>40</v>
          </cell>
          <cell r="N1437">
            <v>0</v>
          </cell>
          <cell r="O1437">
            <v>0</v>
          </cell>
        </row>
        <row r="1438">
          <cell r="A1438" t="str">
            <v>08</v>
          </cell>
          <cell r="F1438" t="str">
            <v>本月合计</v>
          </cell>
          <cell r="G1438">
            <v>0</v>
          </cell>
          <cell r="H1438">
            <v>50</v>
          </cell>
          <cell r="I1438">
            <v>12158.91</v>
          </cell>
          <cell r="J1438">
            <v>50</v>
          </cell>
          <cell r="K1438">
            <v>12158.91</v>
          </cell>
          <cell r="L1438" t="str">
            <v>平</v>
          </cell>
          <cell r="M1438">
            <v>40</v>
          </cell>
          <cell r="N1438">
            <v>0</v>
          </cell>
          <cell r="O1438">
            <v>0</v>
          </cell>
        </row>
        <row r="1439">
          <cell r="A1439" t="str">
            <v>08</v>
          </cell>
          <cell r="F1439" t="str">
            <v>累    计</v>
          </cell>
          <cell r="G1439">
            <v>0</v>
          </cell>
          <cell r="H1439">
            <v>472</v>
          </cell>
          <cell r="I1439">
            <v>110679.74</v>
          </cell>
          <cell r="J1439">
            <v>432</v>
          </cell>
          <cell r="K1439">
            <v>110679.74</v>
          </cell>
          <cell r="L1439" t="str">
            <v>平</v>
          </cell>
          <cell r="M1439">
            <v>40</v>
          </cell>
          <cell r="N1439">
            <v>0</v>
          </cell>
          <cell r="O1439">
            <v>0</v>
          </cell>
        </row>
        <row r="1440">
          <cell r="A1440" t="str">
            <v>10</v>
          </cell>
          <cell r="B1440" t="str">
            <v>22</v>
          </cell>
          <cell r="C1440" t="str">
            <v>记-0022</v>
          </cell>
          <cell r="D1440" t="str">
            <v>074</v>
          </cell>
          <cell r="E1440" t="str">
            <v>小黄花胶</v>
          </cell>
          <cell r="F1440" t="str">
            <v>结转成本</v>
          </cell>
          <cell r="G1440">
            <v>243.17824999999999</v>
          </cell>
          <cell r="H1440">
            <v>0</v>
          </cell>
          <cell r="I1440">
            <v>0</v>
          </cell>
          <cell r="J1440">
            <v>97</v>
          </cell>
          <cell r="K1440">
            <v>23588.29</v>
          </cell>
          <cell r="L1440" t="str">
            <v>贷</v>
          </cell>
          <cell r="M1440">
            <v>57</v>
          </cell>
          <cell r="N1440">
            <v>0</v>
          </cell>
          <cell r="O1440">
            <v>23588.29</v>
          </cell>
        </row>
        <row r="1441">
          <cell r="A1441" t="str">
            <v>10</v>
          </cell>
          <cell r="B1441" t="str">
            <v>22</v>
          </cell>
          <cell r="C1441" t="str">
            <v>记-0032</v>
          </cell>
          <cell r="D1441" t="str">
            <v>074</v>
          </cell>
          <cell r="E1441" t="str">
            <v>小黄花胶</v>
          </cell>
          <cell r="F1441" t="str">
            <v>收购产品</v>
          </cell>
          <cell r="G1441">
            <v>243.17824999999999</v>
          </cell>
          <cell r="H1441">
            <v>97</v>
          </cell>
          <cell r="I1441">
            <v>23588.29</v>
          </cell>
          <cell r="J1441">
            <v>0</v>
          </cell>
          <cell r="K1441">
            <v>0</v>
          </cell>
          <cell r="L1441" t="str">
            <v>平</v>
          </cell>
          <cell r="M1441">
            <v>40</v>
          </cell>
          <cell r="N1441">
            <v>0</v>
          </cell>
          <cell r="O1441">
            <v>0</v>
          </cell>
        </row>
        <row r="1442">
          <cell r="A1442" t="str">
            <v>10</v>
          </cell>
          <cell r="F1442" t="str">
            <v>本月合计</v>
          </cell>
          <cell r="G1442">
            <v>0</v>
          </cell>
          <cell r="H1442">
            <v>97</v>
          </cell>
          <cell r="I1442">
            <v>23588.29</v>
          </cell>
          <cell r="J1442">
            <v>97</v>
          </cell>
          <cell r="K1442">
            <v>23588.29</v>
          </cell>
          <cell r="L1442" t="str">
            <v>平</v>
          </cell>
          <cell r="M1442">
            <v>40</v>
          </cell>
          <cell r="N1442">
            <v>0</v>
          </cell>
          <cell r="O1442">
            <v>0</v>
          </cell>
        </row>
        <row r="1443">
          <cell r="A1443" t="str">
            <v>10</v>
          </cell>
          <cell r="F1443" t="str">
            <v>累    计</v>
          </cell>
          <cell r="G1443">
            <v>0</v>
          </cell>
          <cell r="H1443">
            <v>569</v>
          </cell>
          <cell r="I1443">
            <v>134268.03</v>
          </cell>
          <cell r="J1443">
            <v>529</v>
          </cell>
          <cell r="K1443">
            <v>134268.03</v>
          </cell>
          <cell r="L1443" t="str">
            <v>平</v>
          </cell>
          <cell r="M1443">
            <v>40</v>
          </cell>
          <cell r="N1443">
            <v>0</v>
          </cell>
          <cell r="O1443">
            <v>0</v>
          </cell>
        </row>
        <row r="1444">
          <cell r="A1444" t="str">
            <v>12</v>
          </cell>
          <cell r="B1444" t="str">
            <v>11</v>
          </cell>
          <cell r="C1444" t="str">
            <v>记-0024</v>
          </cell>
          <cell r="D1444" t="str">
            <v>074</v>
          </cell>
          <cell r="E1444" t="str">
            <v>小黄花胶</v>
          </cell>
          <cell r="F1444" t="str">
            <v>收购产品</v>
          </cell>
          <cell r="G1444">
            <v>243.17827</v>
          </cell>
          <cell r="H1444">
            <v>300</v>
          </cell>
          <cell r="I1444">
            <v>72953.48</v>
          </cell>
          <cell r="J1444">
            <v>0</v>
          </cell>
          <cell r="K1444">
            <v>0</v>
          </cell>
          <cell r="L1444" t="str">
            <v>借</v>
          </cell>
          <cell r="M1444">
            <v>340</v>
          </cell>
          <cell r="N1444">
            <v>0</v>
          </cell>
          <cell r="O1444">
            <v>72953.48</v>
          </cell>
        </row>
        <row r="1445">
          <cell r="A1445" t="str">
            <v>12</v>
          </cell>
          <cell r="B1445" t="str">
            <v>11</v>
          </cell>
          <cell r="C1445" t="str">
            <v>记-0033</v>
          </cell>
          <cell r="D1445" t="str">
            <v>074</v>
          </cell>
          <cell r="E1445" t="str">
            <v>小黄花胶</v>
          </cell>
          <cell r="F1445" t="str">
            <v>结转成本</v>
          </cell>
          <cell r="G1445">
            <v>243.17827</v>
          </cell>
          <cell r="H1445">
            <v>0</v>
          </cell>
          <cell r="I1445">
            <v>0</v>
          </cell>
          <cell r="J1445">
            <v>300</v>
          </cell>
          <cell r="K1445">
            <v>72953.48</v>
          </cell>
          <cell r="L1445" t="str">
            <v>平</v>
          </cell>
          <cell r="M1445">
            <v>40</v>
          </cell>
          <cell r="N1445">
            <v>0</v>
          </cell>
          <cell r="O1445">
            <v>0</v>
          </cell>
        </row>
        <row r="1446">
          <cell r="A1446" t="str">
            <v>12</v>
          </cell>
          <cell r="B1446" t="str">
            <v>31</v>
          </cell>
          <cell r="C1446" t="str">
            <v>记-0169</v>
          </cell>
          <cell r="D1446" t="str">
            <v>074</v>
          </cell>
          <cell r="E1446" t="str">
            <v>小黄花胶</v>
          </cell>
          <cell r="F1446" t="str">
            <v>调整2月58号凭</v>
          </cell>
          <cell r="G1446">
            <v>1125.692</v>
          </cell>
          <cell r="H1446">
            <v>0</v>
          </cell>
          <cell r="I1446">
            <v>0</v>
          </cell>
          <cell r="J1446">
            <v>-10</v>
          </cell>
          <cell r="K1446">
            <v>-11256.92</v>
          </cell>
          <cell r="L1446" t="str">
            <v>借</v>
          </cell>
          <cell r="M1446">
            <v>50</v>
          </cell>
          <cell r="N1446">
            <v>0</v>
          </cell>
          <cell r="O1446">
            <v>11256.92</v>
          </cell>
        </row>
        <row r="1447">
          <cell r="A1447" t="str">
            <v>12</v>
          </cell>
          <cell r="B1447" t="str">
            <v>31</v>
          </cell>
          <cell r="C1447" t="str">
            <v>记-0169</v>
          </cell>
          <cell r="D1447" t="str">
            <v>074</v>
          </cell>
          <cell r="E1447" t="str">
            <v>小黄花胶</v>
          </cell>
          <cell r="F1447" t="str">
            <v>调整2月58号凭</v>
          </cell>
          <cell r="G1447">
            <v>225.13839999999999</v>
          </cell>
          <cell r="H1447">
            <v>0</v>
          </cell>
          <cell r="I1447">
            <v>0</v>
          </cell>
          <cell r="J1447">
            <v>50</v>
          </cell>
          <cell r="K1447">
            <v>11256.92</v>
          </cell>
          <cell r="L1447" t="str">
            <v>平</v>
          </cell>
          <cell r="M1447">
            <v>0</v>
          </cell>
          <cell r="N1447">
            <v>0</v>
          </cell>
          <cell r="O1447">
            <v>0</v>
          </cell>
        </row>
        <row r="1448">
          <cell r="A1448" t="str">
            <v>12</v>
          </cell>
          <cell r="F1448" t="str">
            <v>本月合计</v>
          </cell>
          <cell r="G1448">
            <v>0</v>
          </cell>
          <cell r="H1448">
            <v>300</v>
          </cell>
          <cell r="I1448">
            <v>72953.48</v>
          </cell>
          <cell r="J1448">
            <v>340</v>
          </cell>
          <cell r="K1448">
            <v>72953.48</v>
          </cell>
          <cell r="L1448" t="str">
            <v>平</v>
          </cell>
          <cell r="M1448">
            <v>0</v>
          </cell>
          <cell r="N1448">
            <v>0</v>
          </cell>
          <cell r="O1448">
            <v>0</v>
          </cell>
        </row>
        <row r="1449">
          <cell r="A1449" t="str">
            <v>12</v>
          </cell>
          <cell r="E1449" t="str">
            <v>小黄花胶</v>
          </cell>
          <cell r="F1449" t="str">
            <v>本年累计</v>
          </cell>
          <cell r="G1449">
            <v>0</v>
          </cell>
          <cell r="H1449">
            <v>869</v>
          </cell>
          <cell r="I1449">
            <v>207221.51</v>
          </cell>
          <cell r="J1449">
            <v>869</v>
          </cell>
          <cell r="K1449">
            <v>207221.51</v>
          </cell>
          <cell r="L1449" t="str">
            <v>平</v>
          </cell>
          <cell r="M1449">
            <v>0</v>
          </cell>
          <cell r="N1449">
            <v>0</v>
          </cell>
          <cell r="O1449">
            <v>0</v>
          </cell>
        </row>
        <row r="1450">
          <cell r="A1450" t="str">
            <v>01</v>
          </cell>
          <cell r="B1450" t="str">
            <v>31</v>
          </cell>
          <cell r="C1450" t="str">
            <v>记-0032</v>
          </cell>
          <cell r="D1450" t="str">
            <v>075</v>
          </cell>
          <cell r="E1450" t="str">
            <v>一等红参片</v>
          </cell>
          <cell r="F1450" t="str">
            <v>收购产品</v>
          </cell>
          <cell r="G1450">
            <v>181.07400000000001</v>
          </cell>
          <cell r="H1450">
            <v>50</v>
          </cell>
          <cell r="I1450">
            <v>9053.7000000000007</v>
          </cell>
          <cell r="J1450">
            <v>0</v>
          </cell>
          <cell r="K1450">
            <v>0</v>
          </cell>
          <cell r="L1450" t="str">
            <v>借</v>
          </cell>
          <cell r="M1450">
            <v>50</v>
          </cell>
          <cell r="N1450">
            <v>0</v>
          </cell>
          <cell r="O1450">
            <v>9053.7000000000007</v>
          </cell>
        </row>
        <row r="1451">
          <cell r="A1451" t="str">
            <v>01</v>
          </cell>
          <cell r="B1451" t="str">
            <v>31</v>
          </cell>
          <cell r="C1451" t="str">
            <v>记-0046</v>
          </cell>
          <cell r="D1451" t="str">
            <v>075</v>
          </cell>
          <cell r="E1451" t="str">
            <v>一等红参片</v>
          </cell>
          <cell r="F1451" t="str">
            <v>结转销售成本</v>
          </cell>
          <cell r="G1451">
            <v>181.07400000000001</v>
          </cell>
          <cell r="H1451">
            <v>0</v>
          </cell>
          <cell r="I1451">
            <v>0</v>
          </cell>
          <cell r="J1451">
            <v>50</v>
          </cell>
          <cell r="K1451">
            <v>9053.7000000000007</v>
          </cell>
          <cell r="L1451" t="str">
            <v>平</v>
          </cell>
          <cell r="M1451">
            <v>0</v>
          </cell>
          <cell r="N1451">
            <v>0</v>
          </cell>
          <cell r="O1451">
            <v>0</v>
          </cell>
        </row>
        <row r="1452">
          <cell r="A1452" t="str">
            <v>01</v>
          </cell>
          <cell r="F1452" t="str">
            <v>本月合计</v>
          </cell>
          <cell r="G1452">
            <v>0</v>
          </cell>
          <cell r="H1452">
            <v>50</v>
          </cell>
          <cell r="I1452">
            <v>9053.7000000000007</v>
          </cell>
          <cell r="J1452">
            <v>50</v>
          </cell>
          <cell r="K1452">
            <v>9053.7000000000007</v>
          </cell>
          <cell r="L1452" t="str">
            <v>平</v>
          </cell>
          <cell r="M1452">
            <v>0</v>
          </cell>
          <cell r="N1452">
            <v>0</v>
          </cell>
          <cell r="O1452">
            <v>0</v>
          </cell>
        </row>
        <row r="1453">
          <cell r="A1453" t="str">
            <v>01</v>
          </cell>
          <cell r="E1453" t="str">
            <v>一等红参片</v>
          </cell>
          <cell r="F1453" t="str">
            <v>本年累计</v>
          </cell>
          <cell r="G1453">
            <v>0</v>
          </cell>
          <cell r="H1453">
            <v>50</v>
          </cell>
          <cell r="I1453">
            <v>9053.7000000000007</v>
          </cell>
          <cell r="J1453">
            <v>50</v>
          </cell>
          <cell r="K1453">
            <v>9053.7000000000007</v>
          </cell>
          <cell r="L1453" t="str">
            <v>平</v>
          </cell>
          <cell r="M1453">
            <v>0</v>
          </cell>
          <cell r="N1453">
            <v>0</v>
          </cell>
          <cell r="O1453">
            <v>0</v>
          </cell>
        </row>
        <row r="1454">
          <cell r="A1454" t="str">
            <v>01</v>
          </cell>
          <cell r="B1454" t="str">
            <v>31</v>
          </cell>
          <cell r="C1454" t="str">
            <v>记-0032</v>
          </cell>
          <cell r="D1454" t="str">
            <v>076</v>
          </cell>
          <cell r="E1454" t="str">
            <v>大血茸片</v>
          </cell>
          <cell r="F1454" t="str">
            <v>收购产品</v>
          </cell>
          <cell r="G1454">
            <v>1419.52574</v>
          </cell>
          <cell r="H1454">
            <v>12.82</v>
          </cell>
          <cell r="I1454">
            <v>18198.32</v>
          </cell>
          <cell r="J1454">
            <v>0</v>
          </cell>
          <cell r="K1454">
            <v>0</v>
          </cell>
          <cell r="L1454" t="str">
            <v>借</v>
          </cell>
          <cell r="M1454">
            <v>12.82</v>
          </cell>
          <cell r="N1454">
            <v>0</v>
          </cell>
          <cell r="O1454">
            <v>18198.32</v>
          </cell>
        </row>
        <row r="1455">
          <cell r="A1455" t="str">
            <v>01</v>
          </cell>
          <cell r="B1455" t="str">
            <v>31</v>
          </cell>
          <cell r="C1455" t="str">
            <v>记-0046</v>
          </cell>
          <cell r="D1455" t="str">
            <v>076</v>
          </cell>
          <cell r="E1455" t="str">
            <v>大血茸片</v>
          </cell>
          <cell r="F1455" t="str">
            <v>结转销售成本</v>
          </cell>
          <cell r="G1455">
            <v>1419.52574</v>
          </cell>
          <cell r="H1455">
            <v>0</v>
          </cell>
          <cell r="I1455">
            <v>0</v>
          </cell>
          <cell r="J1455">
            <v>12.82</v>
          </cell>
          <cell r="K1455">
            <v>18198.32</v>
          </cell>
          <cell r="L1455" t="str">
            <v>平</v>
          </cell>
          <cell r="M1455">
            <v>0</v>
          </cell>
          <cell r="N1455">
            <v>0</v>
          </cell>
          <cell r="O1455">
            <v>0</v>
          </cell>
        </row>
        <row r="1456">
          <cell r="A1456" t="str">
            <v>01</v>
          </cell>
          <cell r="F1456" t="str">
            <v>本月合计</v>
          </cell>
          <cell r="G1456">
            <v>0</v>
          </cell>
          <cell r="H1456">
            <v>12.82</v>
          </cell>
          <cell r="I1456">
            <v>18198.32</v>
          </cell>
          <cell r="J1456">
            <v>12.82</v>
          </cell>
          <cell r="K1456">
            <v>18198.32</v>
          </cell>
          <cell r="L1456" t="str">
            <v>平</v>
          </cell>
          <cell r="M1456">
            <v>0</v>
          </cell>
          <cell r="N1456">
            <v>0</v>
          </cell>
          <cell r="O1456">
            <v>0</v>
          </cell>
        </row>
        <row r="1457">
          <cell r="A1457" t="str">
            <v>01</v>
          </cell>
          <cell r="F1457" t="str">
            <v>累    计</v>
          </cell>
          <cell r="G1457">
            <v>0</v>
          </cell>
          <cell r="H1457">
            <v>12.82</v>
          </cell>
          <cell r="I1457">
            <v>18198.32</v>
          </cell>
          <cell r="J1457">
            <v>12.82</v>
          </cell>
          <cell r="K1457">
            <v>18198.32</v>
          </cell>
          <cell r="L1457" t="str">
            <v>平</v>
          </cell>
          <cell r="M1457">
            <v>0</v>
          </cell>
          <cell r="N1457">
            <v>0</v>
          </cell>
          <cell r="O1457">
            <v>0</v>
          </cell>
        </row>
        <row r="1458">
          <cell r="A1458" t="str">
            <v>02</v>
          </cell>
          <cell r="B1458" t="str">
            <v>28</v>
          </cell>
          <cell r="C1458" t="str">
            <v>记-0062</v>
          </cell>
          <cell r="D1458" t="str">
            <v>076</v>
          </cell>
          <cell r="E1458" t="str">
            <v>大血茸片</v>
          </cell>
          <cell r="F1458" t="str">
            <v>结转成本</v>
          </cell>
          <cell r="G1458">
            <v>1419.5259000000001</v>
          </cell>
          <cell r="H1458">
            <v>0</v>
          </cell>
          <cell r="I1458">
            <v>0</v>
          </cell>
          <cell r="J1458">
            <v>14.09</v>
          </cell>
          <cell r="K1458">
            <v>20001.12</v>
          </cell>
          <cell r="L1458" t="str">
            <v>贷</v>
          </cell>
          <cell r="M1458">
            <v>14.09</v>
          </cell>
          <cell r="N1458">
            <v>0</v>
          </cell>
          <cell r="O1458">
            <v>20001.12</v>
          </cell>
        </row>
        <row r="1459">
          <cell r="A1459" t="str">
            <v>02</v>
          </cell>
          <cell r="B1459" t="str">
            <v>28</v>
          </cell>
          <cell r="C1459" t="str">
            <v>记-0066</v>
          </cell>
          <cell r="D1459" t="str">
            <v>076</v>
          </cell>
          <cell r="E1459" t="str">
            <v>大血茸片</v>
          </cell>
          <cell r="F1459" t="str">
            <v>收购产品</v>
          </cell>
          <cell r="G1459">
            <v>1419.5259000000001</v>
          </cell>
          <cell r="H1459">
            <v>14.09</v>
          </cell>
          <cell r="I1459">
            <v>20001.12</v>
          </cell>
          <cell r="J1459">
            <v>0</v>
          </cell>
          <cell r="K1459">
            <v>0</v>
          </cell>
          <cell r="L1459" t="str">
            <v>平</v>
          </cell>
          <cell r="M1459">
            <v>0</v>
          </cell>
          <cell r="N1459">
            <v>0</v>
          </cell>
          <cell r="O1459">
            <v>0</v>
          </cell>
        </row>
        <row r="1460">
          <cell r="A1460" t="str">
            <v>02</v>
          </cell>
          <cell r="F1460" t="str">
            <v>本月合计</v>
          </cell>
          <cell r="G1460">
            <v>0</v>
          </cell>
          <cell r="H1460">
            <v>14.09</v>
          </cell>
          <cell r="I1460">
            <v>20001.12</v>
          </cell>
          <cell r="J1460">
            <v>14.09</v>
          </cell>
          <cell r="K1460">
            <v>20001.12</v>
          </cell>
          <cell r="L1460" t="str">
            <v>平</v>
          </cell>
          <cell r="M1460">
            <v>0</v>
          </cell>
          <cell r="N1460">
            <v>0</v>
          </cell>
          <cell r="O1460">
            <v>0</v>
          </cell>
        </row>
        <row r="1461">
          <cell r="A1461" t="str">
            <v>02</v>
          </cell>
          <cell r="E1461" t="str">
            <v>大血茸片</v>
          </cell>
          <cell r="F1461" t="str">
            <v>本年累计</v>
          </cell>
          <cell r="G1461">
            <v>0</v>
          </cell>
          <cell r="H1461">
            <v>26.91</v>
          </cell>
          <cell r="I1461">
            <v>38199.440000000002</v>
          </cell>
          <cell r="J1461">
            <v>26.91</v>
          </cell>
          <cell r="K1461">
            <v>38199.440000000002</v>
          </cell>
          <cell r="L1461" t="str">
            <v>平</v>
          </cell>
          <cell r="M1461">
            <v>0</v>
          </cell>
          <cell r="N1461">
            <v>0</v>
          </cell>
          <cell r="O1461">
            <v>0</v>
          </cell>
        </row>
        <row r="1462">
          <cell r="A1462" t="str">
            <v>01</v>
          </cell>
          <cell r="B1462" t="str">
            <v>31</v>
          </cell>
          <cell r="C1462" t="str">
            <v>记-0032</v>
          </cell>
          <cell r="D1462" t="str">
            <v>077</v>
          </cell>
          <cell r="E1462" t="str">
            <v>桑枝片</v>
          </cell>
          <cell r="F1462" t="str">
            <v>收购产品</v>
          </cell>
          <cell r="G1462">
            <v>4.9007800000000001</v>
          </cell>
          <cell r="H1462">
            <v>51</v>
          </cell>
          <cell r="I1462">
            <v>249.94</v>
          </cell>
          <cell r="J1462">
            <v>0</v>
          </cell>
          <cell r="K1462">
            <v>0</v>
          </cell>
          <cell r="L1462" t="str">
            <v>借</v>
          </cell>
          <cell r="M1462">
            <v>51</v>
          </cell>
          <cell r="N1462">
            <v>0</v>
          </cell>
          <cell r="O1462">
            <v>249.94</v>
          </cell>
        </row>
        <row r="1463">
          <cell r="A1463" t="str">
            <v>01</v>
          </cell>
          <cell r="B1463" t="str">
            <v>31</v>
          </cell>
          <cell r="C1463" t="str">
            <v>记-0046</v>
          </cell>
          <cell r="D1463" t="str">
            <v>077</v>
          </cell>
          <cell r="E1463" t="str">
            <v>桑枝片</v>
          </cell>
          <cell r="F1463" t="str">
            <v>结转销售成本</v>
          </cell>
          <cell r="G1463">
            <v>4.9007800000000001</v>
          </cell>
          <cell r="H1463">
            <v>0</v>
          </cell>
          <cell r="I1463">
            <v>0</v>
          </cell>
          <cell r="J1463">
            <v>51</v>
          </cell>
          <cell r="K1463">
            <v>249.94</v>
          </cell>
          <cell r="L1463" t="str">
            <v>平</v>
          </cell>
          <cell r="M1463">
            <v>0</v>
          </cell>
          <cell r="N1463">
            <v>0</v>
          </cell>
          <cell r="O1463">
            <v>0</v>
          </cell>
        </row>
        <row r="1464">
          <cell r="A1464" t="str">
            <v>01</v>
          </cell>
          <cell r="F1464" t="str">
            <v>本月合计</v>
          </cell>
          <cell r="G1464">
            <v>0</v>
          </cell>
          <cell r="H1464">
            <v>51</v>
          </cell>
          <cell r="I1464">
            <v>249.94</v>
          </cell>
          <cell r="J1464">
            <v>51</v>
          </cell>
          <cell r="K1464">
            <v>249.94</v>
          </cell>
          <cell r="L1464" t="str">
            <v>平</v>
          </cell>
          <cell r="M1464">
            <v>0</v>
          </cell>
          <cell r="N1464">
            <v>0</v>
          </cell>
          <cell r="O1464">
            <v>0</v>
          </cell>
        </row>
        <row r="1465">
          <cell r="A1465" t="str">
            <v>01</v>
          </cell>
          <cell r="E1465" t="str">
            <v>桑枝片</v>
          </cell>
          <cell r="F1465" t="str">
            <v>本年累计</v>
          </cell>
          <cell r="G1465">
            <v>0</v>
          </cell>
          <cell r="H1465">
            <v>51</v>
          </cell>
          <cell r="I1465">
            <v>249.94</v>
          </cell>
          <cell r="J1465">
            <v>51</v>
          </cell>
          <cell r="K1465">
            <v>249.94</v>
          </cell>
          <cell r="L1465" t="str">
            <v>平</v>
          </cell>
          <cell r="M1465">
            <v>0</v>
          </cell>
          <cell r="N1465">
            <v>0</v>
          </cell>
          <cell r="O1465">
            <v>0</v>
          </cell>
        </row>
        <row r="1466">
          <cell r="A1466" t="str">
            <v>01</v>
          </cell>
          <cell r="B1466" t="str">
            <v>31</v>
          </cell>
          <cell r="C1466" t="str">
            <v>记-0032</v>
          </cell>
          <cell r="D1466" t="str">
            <v>078</v>
          </cell>
          <cell r="E1466" t="str">
            <v>土伏苓</v>
          </cell>
          <cell r="F1466" t="str">
            <v>收购产品</v>
          </cell>
          <cell r="G1466">
            <v>5.2387300000000003</v>
          </cell>
          <cell r="H1466">
            <v>86.5</v>
          </cell>
          <cell r="I1466">
            <v>453.15</v>
          </cell>
          <cell r="J1466">
            <v>0</v>
          </cell>
          <cell r="K1466">
            <v>0</v>
          </cell>
          <cell r="L1466" t="str">
            <v>借</v>
          </cell>
          <cell r="M1466">
            <v>86.5</v>
          </cell>
          <cell r="N1466">
            <v>0</v>
          </cell>
          <cell r="O1466">
            <v>453.15</v>
          </cell>
        </row>
        <row r="1467">
          <cell r="A1467" t="str">
            <v>01</v>
          </cell>
          <cell r="B1467" t="str">
            <v>31</v>
          </cell>
          <cell r="C1467" t="str">
            <v>记-0046</v>
          </cell>
          <cell r="D1467" t="str">
            <v>078</v>
          </cell>
          <cell r="E1467" t="str">
            <v>土伏苓</v>
          </cell>
          <cell r="F1467" t="str">
            <v>结转销售成本</v>
          </cell>
          <cell r="G1467">
            <v>5.2387300000000003</v>
          </cell>
          <cell r="H1467">
            <v>0</v>
          </cell>
          <cell r="I1467">
            <v>0</v>
          </cell>
          <cell r="J1467">
            <v>86.5</v>
          </cell>
          <cell r="K1467">
            <v>453.15</v>
          </cell>
          <cell r="L1467" t="str">
            <v>平</v>
          </cell>
          <cell r="M1467">
            <v>0</v>
          </cell>
          <cell r="N1467">
            <v>0</v>
          </cell>
          <cell r="O1467">
            <v>0</v>
          </cell>
        </row>
        <row r="1468">
          <cell r="A1468" t="str">
            <v>01</v>
          </cell>
          <cell r="F1468" t="str">
            <v>本月合计</v>
          </cell>
          <cell r="G1468">
            <v>0</v>
          </cell>
          <cell r="H1468">
            <v>86.5</v>
          </cell>
          <cell r="I1468">
            <v>453.15</v>
          </cell>
          <cell r="J1468">
            <v>86.5</v>
          </cell>
          <cell r="K1468">
            <v>453.15</v>
          </cell>
          <cell r="L1468" t="str">
            <v>平</v>
          </cell>
          <cell r="M1468">
            <v>0</v>
          </cell>
          <cell r="N1468">
            <v>0</v>
          </cell>
          <cell r="O1468">
            <v>0</v>
          </cell>
        </row>
        <row r="1469">
          <cell r="A1469" t="str">
            <v>01</v>
          </cell>
          <cell r="E1469" t="str">
            <v>土伏苓</v>
          </cell>
          <cell r="F1469" t="str">
            <v>本年累计</v>
          </cell>
          <cell r="G1469">
            <v>0</v>
          </cell>
          <cell r="H1469">
            <v>86.5</v>
          </cell>
          <cell r="I1469">
            <v>453.15</v>
          </cell>
          <cell r="J1469">
            <v>86.5</v>
          </cell>
          <cell r="K1469">
            <v>453.15</v>
          </cell>
          <cell r="L1469" t="str">
            <v>平</v>
          </cell>
          <cell r="M1469">
            <v>0</v>
          </cell>
          <cell r="N1469">
            <v>0</v>
          </cell>
          <cell r="O1469">
            <v>0</v>
          </cell>
        </row>
        <row r="1470">
          <cell r="A1470" t="str">
            <v>01</v>
          </cell>
          <cell r="B1470" t="str">
            <v>31</v>
          </cell>
          <cell r="C1470" t="str">
            <v>记-0032</v>
          </cell>
          <cell r="D1470" t="str">
            <v>079</v>
          </cell>
          <cell r="E1470" t="str">
            <v>芽根</v>
          </cell>
          <cell r="F1470" t="str">
            <v>收购产品</v>
          </cell>
          <cell r="G1470">
            <v>2.70377</v>
          </cell>
          <cell r="H1470">
            <v>69</v>
          </cell>
          <cell r="I1470">
            <v>186.56</v>
          </cell>
          <cell r="J1470">
            <v>0</v>
          </cell>
          <cell r="K1470">
            <v>0</v>
          </cell>
          <cell r="L1470" t="str">
            <v>借</v>
          </cell>
          <cell r="M1470">
            <v>69</v>
          </cell>
          <cell r="N1470">
            <v>0</v>
          </cell>
          <cell r="O1470">
            <v>186.56</v>
          </cell>
        </row>
        <row r="1471">
          <cell r="A1471" t="str">
            <v>01</v>
          </cell>
          <cell r="B1471" t="str">
            <v>31</v>
          </cell>
          <cell r="C1471" t="str">
            <v>记-0046</v>
          </cell>
          <cell r="D1471" t="str">
            <v>079</v>
          </cell>
          <cell r="E1471" t="str">
            <v>芽根</v>
          </cell>
          <cell r="F1471" t="str">
            <v>结转销售成本</v>
          </cell>
          <cell r="G1471">
            <v>2.70377</v>
          </cell>
          <cell r="H1471">
            <v>0</v>
          </cell>
          <cell r="I1471">
            <v>0</v>
          </cell>
          <cell r="J1471">
            <v>69</v>
          </cell>
          <cell r="K1471">
            <v>186.56</v>
          </cell>
          <cell r="L1471" t="str">
            <v>平</v>
          </cell>
          <cell r="M1471">
            <v>0</v>
          </cell>
          <cell r="N1471">
            <v>0</v>
          </cell>
          <cell r="O1471">
            <v>0</v>
          </cell>
        </row>
        <row r="1472">
          <cell r="A1472" t="str">
            <v>01</v>
          </cell>
          <cell r="F1472" t="str">
            <v>本月合计</v>
          </cell>
          <cell r="G1472">
            <v>0</v>
          </cell>
          <cell r="H1472">
            <v>69</v>
          </cell>
          <cell r="I1472">
            <v>186.56</v>
          </cell>
          <cell r="J1472">
            <v>69</v>
          </cell>
          <cell r="K1472">
            <v>186.56</v>
          </cell>
          <cell r="L1472" t="str">
            <v>平</v>
          </cell>
          <cell r="M1472">
            <v>0</v>
          </cell>
          <cell r="N1472">
            <v>0</v>
          </cell>
          <cell r="O1472">
            <v>0</v>
          </cell>
        </row>
        <row r="1473">
          <cell r="A1473" t="str">
            <v>01</v>
          </cell>
          <cell r="E1473" t="str">
            <v>芽根</v>
          </cell>
          <cell r="F1473" t="str">
            <v>本年累计</v>
          </cell>
          <cell r="G1473">
            <v>0</v>
          </cell>
          <cell r="H1473">
            <v>69</v>
          </cell>
          <cell r="I1473">
            <v>186.56</v>
          </cell>
          <cell r="J1473">
            <v>69</v>
          </cell>
          <cell r="K1473">
            <v>186.56</v>
          </cell>
          <cell r="L1473" t="str">
            <v>平</v>
          </cell>
          <cell r="M1473">
            <v>0</v>
          </cell>
          <cell r="N1473">
            <v>0</v>
          </cell>
          <cell r="O1473">
            <v>0</v>
          </cell>
        </row>
        <row r="1474">
          <cell r="A1474" t="str">
            <v>01</v>
          </cell>
          <cell r="B1474" t="str">
            <v>31</v>
          </cell>
          <cell r="C1474" t="str">
            <v>记-0032</v>
          </cell>
          <cell r="D1474" t="str">
            <v>080</v>
          </cell>
          <cell r="E1474" t="str">
            <v>红参须</v>
          </cell>
          <cell r="F1474" t="str">
            <v>收购产品</v>
          </cell>
          <cell r="G1474">
            <v>68.441500000000005</v>
          </cell>
          <cell r="H1474">
            <v>40</v>
          </cell>
          <cell r="I1474">
            <v>2737.66</v>
          </cell>
          <cell r="J1474">
            <v>0</v>
          </cell>
          <cell r="K1474">
            <v>0</v>
          </cell>
          <cell r="L1474" t="str">
            <v>借</v>
          </cell>
          <cell r="M1474">
            <v>40</v>
          </cell>
          <cell r="N1474">
            <v>0</v>
          </cell>
          <cell r="O1474">
            <v>2737.66</v>
          </cell>
        </row>
        <row r="1475">
          <cell r="A1475" t="str">
            <v>01</v>
          </cell>
          <cell r="B1475" t="str">
            <v>31</v>
          </cell>
          <cell r="C1475" t="str">
            <v>记-0046</v>
          </cell>
          <cell r="D1475" t="str">
            <v>080</v>
          </cell>
          <cell r="E1475" t="str">
            <v>红参须</v>
          </cell>
          <cell r="F1475" t="str">
            <v>结转销售成本</v>
          </cell>
          <cell r="G1475">
            <v>68.441500000000005</v>
          </cell>
          <cell r="H1475">
            <v>0</v>
          </cell>
          <cell r="I1475">
            <v>0</v>
          </cell>
          <cell r="J1475">
            <v>40</v>
          </cell>
          <cell r="K1475">
            <v>2737.66</v>
          </cell>
          <cell r="L1475" t="str">
            <v>平</v>
          </cell>
          <cell r="M1475">
            <v>0</v>
          </cell>
          <cell r="N1475">
            <v>0</v>
          </cell>
          <cell r="O1475">
            <v>0</v>
          </cell>
        </row>
        <row r="1476">
          <cell r="A1476" t="str">
            <v>01</v>
          </cell>
          <cell r="F1476" t="str">
            <v>本月合计</v>
          </cell>
          <cell r="G1476">
            <v>0</v>
          </cell>
          <cell r="H1476">
            <v>40</v>
          </cell>
          <cell r="I1476">
            <v>2737.66</v>
          </cell>
          <cell r="J1476">
            <v>40</v>
          </cell>
          <cell r="K1476">
            <v>2737.66</v>
          </cell>
          <cell r="L1476" t="str">
            <v>平</v>
          </cell>
          <cell r="M1476">
            <v>0</v>
          </cell>
          <cell r="N1476">
            <v>0</v>
          </cell>
          <cell r="O1476">
            <v>0</v>
          </cell>
        </row>
        <row r="1477">
          <cell r="A1477" t="str">
            <v>01</v>
          </cell>
          <cell r="E1477" t="str">
            <v>红参须</v>
          </cell>
          <cell r="F1477" t="str">
            <v>本年累计</v>
          </cell>
          <cell r="G1477">
            <v>0</v>
          </cell>
          <cell r="H1477">
            <v>40</v>
          </cell>
          <cell r="I1477">
            <v>2737.66</v>
          </cell>
          <cell r="J1477">
            <v>40</v>
          </cell>
          <cell r="K1477">
            <v>2737.66</v>
          </cell>
          <cell r="L1477" t="str">
            <v>平</v>
          </cell>
          <cell r="M1477">
            <v>0</v>
          </cell>
          <cell r="N1477">
            <v>0</v>
          </cell>
          <cell r="O1477">
            <v>0</v>
          </cell>
        </row>
        <row r="1478">
          <cell r="A1478" t="str">
            <v>01</v>
          </cell>
          <cell r="B1478" t="str">
            <v>31</v>
          </cell>
          <cell r="C1478" t="str">
            <v>记-0034</v>
          </cell>
          <cell r="D1478" t="str">
            <v>081</v>
          </cell>
          <cell r="E1478" t="str">
            <v>会安盏</v>
          </cell>
          <cell r="F1478" t="str">
            <v>收购产品</v>
          </cell>
          <cell r="G1478">
            <v>21795.97322</v>
          </cell>
          <cell r="H1478">
            <v>2.9129999999999998</v>
          </cell>
          <cell r="I1478">
            <v>63491.67</v>
          </cell>
          <cell r="J1478">
            <v>0</v>
          </cell>
          <cell r="K1478">
            <v>0</v>
          </cell>
          <cell r="L1478" t="str">
            <v>借</v>
          </cell>
          <cell r="M1478">
            <v>2.9129999999999998</v>
          </cell>
          <cell r="N1478">
            <v>0</v>
          </cell>
          <cell r="O1478">
            <v>63491.67</v>
          </cell>
        </row>
        <row r="1479">
          <cell r="A1479" t="str">
            <v>01</v>
          </cell>
          <cell r="B1479" t="str">
            <v>31</v>
          </cell>
          <cell r="C1479" t="str">
            <v>记-0048</v>
          </cell>
          <cell r="D1479" t="str">
            <v>081</v>
          </cell>
          <cell r="E1479" t="str">
            <v>会安盏</v>
          </cell>
          <cell r="F1479" t="str">
            <v>结转销售成本</v>
          </cell>
          <cell r="G1479">
            <v>21795.97322</v>
          </cell>
          <cell r="H1479">
            <v>0</v>
          </cell>
          <cell r="I1479">
            <v>0</v>
          </cell>
          <cell r="J1479">
            <v>2.9129999999999998</v>
          </cell>
          <cell r="K1479">
            <v>63491.67</v>
          </cell>
          <cell r="L1479" t="str">
            <v>平</v>
          </cell>
          <cell r="M1479">
            <v>0</v>
          </cell>
          <cell r="N1479">
            <v>0</v>
          </cell>
          <cell r="O1479">
            <v>0</v>
          </cell>
        </row>
        <row r="1480">
          <cell r="A1480" t="str">
            <v>01</v>
          </cell>
          <cell r="F1480" t="str">
            <v>本月合计</v>
          </cell>
          <cell r="G1480">
            <v>0</v>
          </cell>
          <cell r="H1480">
            <v>2.9129999999999998</v>
          </cell>
          <cell r="I1480">
            <v>63491.67</v>
          </cell>
          <cell r="J1480">
            <v>2.9129999999999998</v>
          </cell>
          <cell r="K1480">
            <v>63491.67</v>
          </cell>
          <cell r="L1480" t="str">
            <v>平</v>
          </cell>
          <cell r="M1480">
            <v>0</v>
          </cell>
          <cell r="N1480">
            <v>0</v>
          </cell>
          <cell r="O1480">
            <v>0</v>
          </cell>
        </row>
        <row r="1481">
          <cell r="A1481" t="str">
            <v>01</v>
          </cell>
          <cell r="F1481" t="str">
            <v>累    计</v>
          </cell>
          <cell r="G1481">
            <v>0</v>
          </cell>
          <cell r="H1481">
            <v>2.9129999999999998</v>
          </cell>
          <cell r="I1481">
            <v>63491.67</v>
          </cell>
          <cell r="J1481">
            <v>2.9129999999999998</v>
          </cell>
          <cell r="K1481">
            <v>63491.67</v>
          </cell>
          <cell r="L1481" t="str">
            <v>平</v>
          </cell>
          <cell r="M1481">
            <v>0</v>
          </cell>
          <cell r="N1481">
            <v>0</v>
          </cell>
          <cell r="O1481">
            <v>0</v>
          </cell>
        </row>
        <row r="1482">
          <cell r="A1482" t="str">
            <v>02</v>
          </cell>
          <cell r="B1482" t="str">
            <v>28</v>
          </cell>
          <cell r="C1482" t="str">
            <v>记-0060</v>
          </cell>
          <cell r="D1482" t="str">
            <v>081</v>
          </cell>
          <cell r="E1482" t="str">
            <v>会安盏</v>
          </cell>
          <cell r="F1482" t="str">
            <v>结转成本</v>
          </cell>
          <cell r="G1482">
            <v>51.542299999999997</v>
          </cell>
          <cell r="H1482">
            <v>0</v>
          </cell>
          <cell r="I1482">
            <v>0</v>
          </cell>
          <cell r="J1482">
            <v>1001</v>
          </cell>
          <cell r="K1482">
            <v>51593.84</v>
          </cell>
          <cell r="L1482" t="str">
            <v>贷</v>
          </cell>
          <cell r="M1482">
            <v>1001</v>
          </cell>
          <cell r="N1482">
            <v>0</v>
          </cell>
          <cell r="O1482">
            <v>51593.84</v>
          </cell>
        </row>
        <row r="1483">
          <cell r="A1483" t="str">
            <v>02</v>
          </cell>
          <cell r="B1483" t="str">
            <v>28</v>
          </cell>
          <cell r="C1483" t="str">
            <v>记-0061</v>
          </cell>
          <cell r="D1483" t="str">
            <v>081</v>
          </cell>
          <cell r="E1483" t="str">
            <v>会安盏</v>
          </cell>
          <cell r="F1483" t="str">
            <v>结转成本</v>
          </cell>
          <cell r="G1483">
            <v>57.119019999999999</v>
          </cell>
          <cell r="H1483">
            <v>0</v>
          </cell>
          <cell r="I1483">
            <v>0</v>
          </cell>
          <cell r="J1483">
            <v>1300</v>
          </cell>
          <cell r="K1483">
            <v>74254.720000000001</v>
          </cell>
          <cell r="L1483" t="str">
            <v>贷</v>
          </cell>
          <cell r="M1483">
            <v>2301</v>
          </cell>
          <cell r="N1483">
            <v>0</v>
          </cell>
          <cell r="O1483">
            <v>125848.56</v>
          </cell>
        </row>
        <row r="1484">
          <cell r="A1484" t="str">
            <v>02</v>
          </cell>
          <cell r="B1484" t="str">
            <v>28</v>
          </cell>
          <cell r="C1484" t="str">
            <v>记-0065</v>
          </cell>
          <cell r="D1484" t="str">
            <v>081</v>
          </cell>
          <cell r="E1484" t="str">
            <v>会安盏</v>
          </cell>
          <cell r="F1484" t="str">
            <v>收购产品</v>
          </cell>
          <cell r="G1484">
            <v>57.119019999999999</v>
          </cell>
          <cell r="H1484">
            <v>1300</v>
          </cell>
          <cell r="I1484">
            <v>74254.720000000001</v>
          </cell>
          <cell r="J1484">
            <v>0</v>
          </cell>
          <cell r="K1484">
            <v>0</v>
          </cell>
          <cell r="L1484" t="str">
            <v>贷</v>
          </cell>
          <cell r="M1484">
            <v>1001</v>
          </cell>
          <cell r="N1484">
            <v>0</v>
          </cell>
          <cell r="O1484">
            <v>51593.84</v>
          </cell>
        </row>
        <row r="1485">
          <cell r="A1485" t="str">
            <v>02</v>
          </cell>
          <cell r="B1485" t="str">
            <v>28</v>
          </cell>
          <cell r="C1485" t="str">
            <v>记-0067</v>
          </cell>
          <cell r="D1485" t="str">
            <v>081</v>
          </cell>
          <cell r="E1485" t="str">
            <v>会安盏</v>
          </cell>
          <cell r="F1485" t="str">
            <v>收购产品</v>
          </cell>
          <cell r="G1485">
            <v>51.542299999999997</v>
          </cell>
          <cell r="H1485">
            <v>1001</v>
          </cell>
          <cell r="I1485">
            <v>51593.84</v>
          </cell>
          <cell r="J1485">
            <v>0</v>
          </cell>
          <cell r="K1485">
            <v>0</v>
          </cell>
          <cell r="L1485" t="str">
            <v>平</v>
          </cell>
          <cell r="M1485">
            <v>0</v>
          </cell>
          <cell r="N1485">
            <v>0</v>
          </cell>
          <cell r="O1485">
            <v>0</v>
          </cell>
        </row>
        <row r="1486">
          <cell r="A1486" t="str">
            <v>02</v>
          </cell>
          <cell r="F1486" t="str">
            <v>本月合计</v>
          </cell>
          <cell r="G1486">
            <v>0</v>
          </cell>
          <cell r="H1486">
            <v>2301</v>
          </cell>
          <cell r="I1486">
            <v>125848.56</v>
          </cell>
          <cell r="J1486">
            <v>2301</v>
          </cell>
          <cell r="K1486">
            <v>125848.56</v>
          </cell>
          <cell r="L1486" t="str">
            <v>平</v>
          </cell>
          <cell r="M1486">
            <v>0</v>
          </cell>
          <cell r="N1486">
            <v>0</v>
          </cell>
          <cell r="O1486">
            <v>0</v>
          </cell>
        </row>
        <row r="1487">
          <cell r="A1487" t="str">
            <v>02</v>
          </cell>
          <cell r="F1487" t="str">
            <v>累    计</v>
          </cell>
          <cell r="G1487">
            <v>0</v>
          </cell>
          <cell r="H1487">
            <v>2303.913</v>
          </cell>
          <cell r="I1487">
            <v>189340.23</v>
          </cell>
          <cell r="J1487">
            <v>2303.913</v>
          </cell>
          <cell r="K1487">
            <v>189340.23</v>
          </cell>
          <cell r="L1487" t="str">
            <v>平</v>
          </cell>
          <cell r="M1487">
            <v>0</v>
          </cell>
          <cell r="N1487">
            <v>0</v>
          </cell>
          <cell r="O1487">
            <v>0</v>
          </cell>
        </row>
        <row r="1488">
          <cell r="A1488" t="str">
            <v>04</v>
          </cell>
          <cell r="B1488" t="str">
            <v>30</v>
          </cell>
          <cell r="C1488" t="str">
            <v>记-0041</v>
          </cell>
          <cell r="D1488" t="str">
            <v>081</v>
          </cell>
          <cell r="E1488" t="str">
            <v>会安盏</v>
          </cell>
          <cell r="F1488" t="str">
            <v>收购产品</v>
          </cell>
          <cell r="G1488">
            <v>65.65307</v>
          </cell>
          <cell r="H1488">
            <v>500.1</v>
          </cell>
          <cell r="I1488">
            <v>32833.1</v>
          </cell>
          <cell r="J1488">
            <v>0</v>
          </cell>
          <cell r="K1488">
            <v>0</v>
          </cell>
          <cell r="L1488" t="str">
            <v>借</v>
          </cell>
          <cell r="M1488">
            <v>500.1</v>
          </cell>
          <cell r="N1488">
            <v>0</v>
          </cell>
          <cell r="O1488">
            <v>32833.1</v>
          </cell>
        </row>
        <row r="1489">
          <cell r="A1489" t="str">
            <v>04</v>
          </cell>
          <cell r="B1489" t="str">
            <v>30</v>
          </cell>
          <cell r="C1489" t="str">
            <v>记-0042</v>
          </cell>
          <cell r="D1489" t="str">
            <v>081</v>
          </cell>
          <cell r="E1489" t="str">
            <v>会安盏</v>
          </cell>
          <cell r="F1489" t="str">
            <v>收购产品</v>
          </cell>
          <cell r="G1489">
            <v>51.542299999999997</v>
          </cell>
          <cell r="H1489">
            <v>200</v>
          </cell>
          <cell r="I1489">
            <v>10308.459999999999</v>
          </cell>
          <cell r="J1489">
            <v>0</v>
          </cell>
          <cell r="K1489">
            <v>0</v>
          </cell>
          <cell r="L1489" t="str">
            <v>借</v>
          </cell>
          <cell r="M1489">
            <v>700.1</v>
          </cell>
          <cell r="N1489">
            <v>0</v>
          </cell>
          <cell r="O1489">
            <v>43141.56</v>
          </cell>
        </row>
        <row r="1490">
          <cell r="A1490" t="str">
            <v>04</v>
          </cell>
          <cell r="B1490" t="str">
            <v>30</v>
          </cell>
          <cell r="C1490" t="str">
            <v>记-0044</v>
          </cell>
          <cell r="D1490" t="str">
            <v>081</v>
          </cell>
          <cell r="E1490" t="str">
            <v>会安盏</v>
          </cell>
          <cell r="F1490" t="str">
            <v>转成本</v>
          </cell>
          <cell r="G1490">
            <v>51.542299999999997</v>
          </cell>
          <cell r="H1490">
            <v>0</v>
          </cell>
          <cell r="I1490">
            <v>0</v>
          </cell>
          <cell r="J1490">
            <v>200</v>
          </cell>
          <cell r="K1490">
            <v>10308.459999999999</v>
          </cell>
          <cell r="L1490" t="str">
            <v>借</v>
          </cell>
          <cell r="M1490">
            <v>500.1</v>
          </cell>
          <cell r="N1490">
            <v>0</v>
          </cell>
          <cell r="O1490">
            <v>32833.1</v>
          </cell>
        </row>
        <row r="1491">
          <cell r="A1491" t="str">
            <v>04</v>
          </cell>
          <cell r="B1491" t="str">
            <v>30</v>
          </cell>
          <cell r="C1491" t="str">
            <v>记-0045</v>
          </cell>
          <cell r="D1491" t="str">
            <v>081</v>
          </cell>
          <cell r="E1491" t="str">
            <v>会安盏</v>
          </cell>
          <cell r="F1491" t="str">
            <v>转成本</v>
          </cell>
          <cell r="G1491">
            <v>65.65307</v>
          </cell>
          <cell r="H1491">
            <v>0</v>
          </cell>
          <cell r="I1491">
            <v>0</v>
          </cell>
          <cell r="J1491">
            <v>500.1</v>
          </cell>
          <cell r="K1491">
            <v>32833.1</v>
          </cell>
          <cell r="L1491" t="str">
            <v>平</v>
          </cell>
          <cell r="M1491">
            <v>0</v>
          </cell>
          <cell r="N1491">
            <v>0</v>
          </cell>
          <cell r="O1491">
            <v>0</v>
          </cell>
        </row>
        <row r="1492">
          <cell r="A1492" t="str">
            <v>04</v>
          </cell>
          <cell r="F1492" t="str">
            <v>本月合计</v>
          </cell>
          <cell r="G1492">
            <v>0</v>
          </cell>
          <cell r="H1492">
            <v>700.1</v>
          </cell>
          <cell r="I1492">
            <v>43141.56</v>
          </cell>
          <cell r="J1492">
            <v>700.1</v>
          </cell>
          <cell r="K1492">
            <v>43141.56</v>
          </cell>
          <cell r="L1492" t="str">
            <v>平</v>
          </cell>
          <cell r="M1492">
            <v>0</v>
          </cell>
          <cell r="N1492">
            <v>0</v>
          </cell>
          <cell r="O1492">
            <v>0</v>
          </cell>
        </row>
        <row r="1493">
          <cell r="A1493" t="str">
            <v>04</v>
          </cell>
          <cell r="F1493" t="str">
            <v>累    计</v>
          </cell>
          <cell r="G1493">
            <v>0</v>
          </cell>
          <cell r="H1493">
            <v>3004.0129999999999</v>
          </cell>
          <cell r="I1493">
            <v>232481.79</v>
          </cell>
          <cell r="J1493">
            <v>3004.0129999999999</v>
          </cell>
          <cell r="K1493">
            <v>232481.79</v>
          </cell>
          <cell r="L1493" t="str">
            <v>平</v>
          </cell>
          <cell r="M1493">
            <v>0</v>
          </cell>
          <cell r="N1493">
            <v>0</v>
          </cell>
          <cell r="O1493">
            <v>0</v>
          </cell>
        </row>
        <row r="1494">
          <cell r="A1494" t="str">
            <v>05</v>
          </cell>
          <cell r="B1494" t="str">
            <v>31</v>
          </cell>
          <cell r="C1494" t="str">
            <v>记-0084</v>
          </cell>
          <cell r="D1494" t="str">
            <v>081</v>
          </cell>
          <cell r="E1494" t="str">
            <v>会安盏</v>
          </cell>
          <cell r="F1494" t="str">
            <v>调整4月41号凭</v>
          </cell>
          <cell r="G1494">
            <v>65.65307</v>
          </cell>
          <cell r="H1494">
            <v>-500.1</v>
          </cell>
          <cell r="I1494">
            <v>-32833.1</v>
          </cell>
          <cell r="J1494">
            <v>0</v>
          </cell>
          <cell r="K1494">
            <v>0</v>
          </cell>
          <cell r="L1494" t="str">
            <v>贷</v>
          </cell>
          <cell r="M1494">
            <v>500.1</v>
          </cell>
          <cell r="N1494">
            <v>0</v>
          </cell>
          <cell r="O1494">
            <v>32833.1</v>
          </cell>
        </row>
        <row r="1495">
          <cell r="A1495" t="str">
            <v>05</v>
          </cell>
          <cell r="B1495" t="str">
            <v>31</v>
          </cell>
          <cell r="C1495" t="str">
            <v>记-0085</v>
          </cell>
          <cell r="D1495" t="str">
            <v>081</v>
          </cell>
          <cell r="E1495" t="str">
            <v>会安盏</v>
          </cell>
          <cell r="F1495" t="str">
            <v>调整4月41号凭</v>
          </cell>
          <cell r="G1495">
            <v>65.65307</v>
          </cell>
          <cell r="H1495">
            <v>500.1</v>
          </cell>
          <cell r="I1495">
            <v>32833.1</v>
          </cell>
          <cell r="J1495">
            <v>0</v>
          </cell>
          <cell r="K1495">
            <v>0</v>
          </cell>
          <cell r="L1495" t="str">
            <v>平</v>
          </cell>
          <cell r="M1495">
            <v>0</v>
          </cell>
          <cell r="N1495">
            <v>0</v>
          </cell>
          <cell r="O1495">
            <v>0</v>
          </cell>
        </row>
        <row r="1496">
          <cell r="A1496" t="str">
            <v>05</v>
          </cell>
          <cell r="F1496" t="str">
            <v>本月合计</v>
          </cell>
          <cell r="G1496">
            <v>0</v>
          </cell>
          <cell r="H1496">
            <v>0</v>
          </cell>
          <cell r="I1496">
            <v>0</v>
          </cell>
          <cell r="J1496">
            <v>0</v>
          </cell>
          <cell r="K1496">
            <v>0</v>
          </cell>
          <cell r="L1496" t="str">
            <v>平</v>
          </cell>
          <cell r="M1496">
            <v>0</v>
          </cell>
          <cell r="N1496">
            <v>0</v>
          </cell>
          <cell r="O1496">
            <v>0</v>
          </cell>
        </row>
        <row r="1497">
          <cell r="A1497" t="str">
            <v>05</v>
          </cell>
          <cell r="F1497" t="str">
            <v>累    计</v>
          </cell>
          <cell r="G1497">
            <v>0</v>
          </cell>
          <cell r="H1497">
            <v>3004.0129999999999</v>
          </cell>
          <cell r="I1497">
            <v>232481.79</v>
          </cell>
          <cell r="J1497">
            <v>3004.0129999999999</v>
          </cell>
          <cell r="K1497">
            <v>232481.79</v>
          </cell>
          <cell r="L1497" t="str">
            <v>平</v>
          </cell>
          <cell r="M1497">
            <v>0</v>
          </cell>
          <cell r="N1497">
            <v>0</v>
          </cell>
          <cell r="O1497">
            <v>0</v>
          </cell>
        </row>
        <row r="1498">
          <cell r="A1498" t="str">
            <v>07</v>
          </cell>
          <cell r="B1498" t="str">
            <v>22</v>
          </cell>
          <cell r="C1498" t="str">
            <v>记-0052</v>
          </cell>
          <cell r="D1498" t="str">
            <v>081</v>
          </cell>
          <cell r="E1498" t="str">
            <v>会安盏</v>
          </cell>
          <cell r="F1498" t="str">
            <v>结转成本</v>
          </cell>
          <cell r="G1498">
            <v>57.456989999999998</v>
          </cell>
          <cell r="H1498">
            <v>0</v>
          </cell>
          <cell r="I1498">
            <v>0</v>
          </cell>
          <cell r="J1498">
            <v>830</v>
          </cell>
          <cell r="K1498">
            <v>47689.3</v>
          </cell>
          <cell r="L1498" t="str">
            <v>贷</v>
          </cell>
          <cell r="M1498">
            <v>830</v>
          </cell>
          <cell r="N1498">
            <v>0</v>
          </cell>
          <cell r="O1498">
            <v>47689.3</v>
          </cell>
        </row>
        <row r="1499">
          <cell r="A1499" t="str">
            <v>07</v>
          </cell>
          <cell r="B1499" t="str">
            <v>22</v>
          </cell>
          <cell r="C1499" t="str">
            <v>记-0054</v>
          </cell>
          <cell r="D1499" t="str">
            <v>081</v>
          </cell>
          <cell r="E1499" t="str">
            <v>会安盏</v>
          </cell>
          <cell r="F1499" t="str">
            <v>收购产品</v>
          </cell>
          <cell r="G1499">
            <v>57.456989999999998</v>
          </cell>
          <cell r="H1499">
            <v>830</v>
          </cell>
          <cell r="I1499">
            <v>47689.3</v>
          </cell>
          <cell r="J1499">
            <v>0</v>
          </cell>
          <cell r="K1499">
            <v>0</v>
          </cell>
          <cell r="L1499" t="str">
            <v>平</v>
          </cell>
          <cell r="M1499">
            <v>0</v>
          </cell>
          <cell r="N1499">
            <v>0</v>
          </cell>
          <cell r="O1499">
            <v>0</v>
          </cell>
        </row>
        <row r="1500">
          <cell r="A1500" t="str">
            <v>07</v>
          </cell>
          <cell r="F1500" t="str">
            <v>本月合计</v>
          </cell>
          <cell r="G1500">
            <v>0</v>
          </cell>
          <cell r="H1500">
            <v>830</v>
          </cell>
          <cell r="I1500">
            <v>47689.3</v>
          </cell>
          <cell r="J1500">
            <v>830</v>
          </cell>
          <cell r="K1500">
            <v>47689.3</v>
          </cell>
          <cell r="L1500" t="str">
            <v>平</v>
          </cell>
          <cell r="M1500">
            <v>0</v>
          </cell>
          <cell r="N1500">
            <v>0</v>
          </cell>
          <cell r="O1500">
            <v>0</v>
          </cell>
        </row>
        <row r="1501">
          <cell r="A1501" t="str">
            <v>07</v>
          </cell>
          <cell r="F1501" t="str">
            <v>累    计</v>
          </cell>
          <cell r="G1501">
            <v>0</v>
          </cell>
          <cell r="H1501">
            <v>3834.0129999999999</v>
          </cell>
          <cell r="I1501">
            <v>280171.09000000003</v>
          </cell>
          <cell r="J1501">
            <v>3834.0129999999999</v>
          </cell>
          <cell r="K1501">
            <v>280171.09000000003</v>
          </cell>
          <cell r="L1501" t="str">
            <v>平</v>
          </cell>
          <cell r="M1501">
            <v>0</v>
          </cell>
          <cell r="N1501">
            <v>0</v>
          </cell>
          <cell r="O1501">
            <v>0</v>
          </cell>
        </row>
        <row r="1502">
          <cell r="A1502" t="str">
            <v>09</v>
          </cell>
          <cell r="B1502" t="str">
            <v>22</v>
          </cell>
          <cell r="C1502" t="str">
            <v>记-0035</v>
          </cell>
          <cell r="D1502" t="str">
            <v>081</v>
          </cell>
          <cell r="E1502" t="str">
            <v>会安盏</v>
          </cell>
          <cell r="F1502" t="str">
            <v>结转成本</v>
          </cell>
          <cell r="G1502">
            <v>50.697330000000001</v>
          </cell>
          <cell r="H1502">
            <v>0</v>
          </cell>
          <cell r="I1502">
            <v>0</v>
          </cell>
          <cell r="J1502">
            <v>150</v>
          </cell>
          <cell r="K1502">
            <v>7604.6</v>
          </cell>
          <cell r="L1502" t="str">
            <v>贷</v>
          </cell>
          <cell r="M1502">
            <v>150</v>
          </cell>
          <cell r="N1502">
            <v>0</v>
          </cell>
          <cell r="O1502">
            <v>7604.6</v>
          </cell>
        </row>
        <row r="1503">
          <cell r="A1503" t="str">
            <v>09</v>
          </cell>
          <cell r="B1503" t="str">
            <v>22</v>
          </cell>
          <cell r="C1503" t="str">
            <v>记-0039</v>
          </cell>
          <cell r="D1503" t="str">
            <v>081</v>
          </cell>
          <cell r="E1503" t="str">
            <v>会安盏</v>
          </cell>
          <cell r="F1503" t="str">
            <v>收购产品</v>
          </cell>
          <cell r="G1503">
            <v>50.697330000000001</v>
          </cell>
          <cell r="H1503">
            <v>150</v>
          </cell>
          <cell r="I1503">
            <v>7604.6</v>
          </cell>
          <cell r="J1503">
            <v>0</v>
          </cell>
          <cell r="K1503">
            <v>0</v>
          </cell>
          <cell r="L1503" t="str">
            <v>平</v>
          </cell>
          <cell r="M1503">
            <v>0</v>
          </cell>
          <cell r="N1503">
            <v>0</v>
          </cell>
          <cell r="O1503">
            <v>0</v>
          </cell>
        </row>
        <row r="1504">
          <cell r="A1504" t="str">
            <v>09</v>
          </cell>
          <cell r="B1504" t="str">
            <v>22</v>
          </cell>
          <cell r="C1504" t="str">
            <v>记-0049</v>
          </cell>
          <cell r="D1504" t="str">
            <v>081</v>
          </cell>
          <cell r="E1504" t="str">
            <v>会安盏</v>
          </cell>
          <cell r="F1504" t="str">
            <v>结转成本</v>
          </cell>
          <cell r="G1504">
            <v>58.301949999999998</v>
          </cell>
          <cell r="H1504">
            <v>0</v>
          </cell>
          <cell r="I1504">
            <v>0</v>
          </cell>
          <cell r="J1504">
            <v>503</v>
          </cell>
          <cell r="K1504">
            <v>29325.88</v>
          </cell>
          <cell r="L1504" t="str">
            <v>贷</v>
          </cell>
          <cell r="M1504">
            <v>503</v>
          </cell>
          <cell r="N1504">
            <v>0</v>
          </cell>
          <cell r="O1504">
            <v>29325.88</v>
          </cell>
        </row>
        <row r="1505">
          <cell r="A1505" t="str">
            <v>09</v>
          </cell>
          <cell r="B1505" t="str">
            <v>22</v>
          </cell>
          <cell r="C1505" t="str">
            <v>记-0050</v>
          </cell>
          <cell r="D1505" t="str">
            <v>081</v>
          </cell>
          <cell r="E1505" t="str">
            <v>会安盏</v>
          </cell>
          <cell r="F1505" t="str">
            <v>结转成本</v>
          </cell>
          <cell r="G1505">
            <v>51.542299999999997</v>
          </cell>
          <cell r="H1505">
            <v>0</v>
          </cell>
          <cell r="I1505">
            <v>0</v>
          </cell>
          <cell r="J1505">
            <v>800</v>
          </cell>
          <cell r="K1505">
            <v>41233.839999999997</v>
          </cell>
          <cell r="L1505" t="str">
            <v>贷</v>
          </cell>
          <cell r="M1505">
            <v>1303</v>
          </cell>
          <cell r="N1505">
            <v>0</v>
          </cell>
          <cell r="O1505">
            <v>70559.72</v>
          </cell>
        </row>
        <row r="1506">
          <cell r="A1506" t="str">
            <v>09</v>
          </cell>
          <cell r="B1506" t="str">
            <v>22</v>
          </cell>
          <cell r="C1506" t="str">
            <v>记-0051</v>
          </cell>
          <cell r="D1506" t="str">
            <v>081</v>
          </cell>
          <cell r="E1506" t="str">
            <v>会安盏</v>
          </cell>
          <cell r="F1506" t="str">
            <v>收购产品</v>
          </cell>
          <cell r="G1506">
            <v>51.542299999999997</v>
          </cell>
          <cell r="H1506">
            <v>800</v>
          </cell>
          <cell r="I1506">
            <v>41233.839999999997</v>
          </cell>
          <cell r="J1506">
            <v>0</v>
          </cell>
          <cell r="K1506">
            <v>0</v>
          </cell>
          <cell r="L1506" t="str">
            <v>贷</v>
          </cell>
          <cell r="M1506">
            <v>503</v>
          </cell>
          <cell r="N1506">
            <v>0</v>
          </cell>
          <cell r="O1506">
            <v>29325.88</v>
          </cell>
        </row>
        <row r="1507">
          <cell r="A1507" t="str">
            <v>09</v>
          </cell>
          <cell r="B1507" t="str">
            <v>22</v>
          </cell>
          <cell r="C1507" t="str">
            <v>记-0052</v>
          </cell>
          <cell r="D1507" t="str">
            <v>081</v>
          </cell>
          <cell r="E1507" t="str">
            <v>会安盏</v>
          </cell>
          <cell r="F1507" t="str">
            <v>收购产品</v>
          </cell>
          <cell r="G1507">
            <v>58.301949999999998</v>
          </cell>
          <cell r="H1507">
            <v>503</v>
          </cell>
          <cell r="I1507">
            <v>29325.88</v>
          </cell>
          <cell r="J1507">
            <v>0</v>
          </cell>
          <cell r="K1507">
            <v>0</v>
          </cell>
          <cell r="L1507" t="str">
            <v>平</v>
          </cell>
          <cell r="M1507">
            <v>0</v>
          </cell>
          <cell r="N1507">
            <v>0</v>
          </cell>
          <cell r="O1507">
            <v>0</v>
          </cell>
        </row>
        <row r="1508">
          <cell r="A1508" t="str">
            <v>09</v>
          </cell>
          <cell r="F1508" t="str">
            <v>本月合计</v>
          </cell>
          <cell r="G1508">
            <v>0</v>
          </cell>
          <cell r="H1508">
            <v>1453</v>
          </cell>
          <cell r="I1508">
            <v>78164.320000000007</v>
          </cell>
          <cell r="J1508">
            <v>1453</v>
          </cell>
          <cell r="K1508">
            <v>78164.320000000007</v>
          </cell>
          <cell r="L1508" t="str">
            <v>平</v>
          </cell>
          <cell r="M1508">
            <v>0</v>
          </cell>
          <cell r="N1508">
            <v>0</v>
          </cell>
          <cell r="O1508">
            <v>0</v>
          </cell>
        </row>
        <row r="1509">
          <cell r="A1509" t="str">
            <v>09</v>
          </cell>
          <cell r="F1509" t="str">
            <v>累    计</v>
          </cell>
          <cell r="G1509">
            <v>0</v>
          </cell>
          <cell r="H1509">
            <v>5287.0129999999999</v>
          </cell>
          <cell r="I1509">
            <v>358335.41</v>
          </cell>
          <cell r="J1509">
            <v>5287.0129999999999</v>
          </cell>
          <cell r="K1509">
            <v>358335.41</v>
          </cell>
          <cell r="L1509" t="str">
            <v>平</v>
          </cell>
          <cell r="M1509">
            <v>0</v>
          </cell>
          <cell r="N1509">
            <v>0</v>
          </cell>
          <cell r="O1509">
            <v>0</v>
          </cell>
        </row>
        <row r="1510">
          <cell r="A1510" t="str">
            <v>12</v>
          </cell>
          <cell r="B1510" t="str">
            <v>11</v>
          </cell>
          <cell r="C1510" t="str">
            <v>记-0017</v>
          </cell>
          <cell r="D1510" t="str">
            <v>081</v>
          </cell>
          <cell r="E1510" t="str">
            <v>会安盏</v>
          </cell>
          <cell r="F1510" t="str">
            <v>收购产品</v>
          </cell>
          <cell r="G1510">
            <v>50.697330000000001</v>
          </cell>
          <cell r="H1510">
            <v>307</v>
          </cell>
          <cell r="I1510">
            <v>15564.08</v>
          </cell>
          <cell r="J1510">
            <v>0</v>
          </cell>
          <cell r="K1510">
            <v>0</v>
          </cell>
          <cell r="L1510" t="str">
            <v>借</v>
          </cell>
          <cell r="M1510">
            <v>307</v>
          </cell>
          <cell r="N1510">
            <v>0</v>
          </cell>
          <cell r="O1510">
            <v>15564.08</v>
          </cell>
        </row>
        <row r="1511">
          <cell r="A1511" t="str">
            <v>12</v>
          </cell>
          <cell r="B1511" t="str">
            <v>11</v>
          </cell>
          <cell r="C1511" t="str">
            <v>记-0019</v>
          </cell>
          <cell r="D1511" t="str">
            <v>081</v>
          </cell>
          <cell r="E1511" t="str">
            <v>会安盏</v>
          </cell>
          <cell r="F1511" t="str">
            <v>收购产品</v>
          </cell>
          <cell r="G1511">
            <v>50.697360000000003</v>
          </cell>
          <cell r="H1511">
            <v>140</v>
          </cell>
          <cell r="I1511">
            <v>7097.63</v>
          </cell>
          <cell r="J1511">
            <v>0</v>
          </cell>
          <cell r="K1511">
            <v>0</v>
          </cell>
          <cell r="L1511" t="str">
            <v>借</v>
          </cell>
          <cell r="M1511">
            <v>447</v>
          </cell>
          <cell r="N1511">
            <v>0</v>
          </cell>
          <cell r="O1511">
            <v>22661.71</v>
          </cell>
        </row>
        <row r="1512">
          <cell r="A1512" t="str">
            <v>12</v>
          </cell>
          <cell r="B1512" t="str">
            <v>11</v>
          </cell>
          <cell r="C1512" t="str">
            <v>记-0025</v>
          </cell>
          <cell r="D1512" t="str">
            <v>081</v>
          </cell>
          <cell r="E1512" t="str">
            <v>会安盏</v>
          </cell>
          <cell r="F1512" t="str">
            <v>收购产品</v>
          </cell>
          <cell r="G1512">
            <v>50.697339999999997</v>
          </cell>
          <cell r="H1512">
            <v>557</v>
          </cell>
          <cell r="I1512">
            <v>28238.42</v>
          </cell>
          <cell r="J1512">
            <v>0</v>
          </cell>
          <cell r="K1512">
            <v>0</v>
          </cell>
          <cell r="L1512" t="str">
            <v>借</v>
          </cell>
          <cell r="M1512">
            <v>1004</v>
          </cell>
          <cell r="N1512">
            <v>0</v>
          </cell>
          <cell r="O1512">
            <v>50900.13</v>
          </cell>
        </row>
        <row r="1513">
          <cell r="A1513" t="str">
            <v>12</v>
          </cell>
          <cell r="B1513" t="str">
            <v>11</v>
          </cell>
          <cell r="C1513" t="str">
            <v>记-0027</v>
          </cell>
          <cell r="D1513" t="str">
            <v>081</v>
          </cell>
          <cell r="E1513" t="str">
            <v>会安盏</v>
          </cell>
          <cell r="F1513" t="str">
            <v>结转成本</v>
          </cell>
          <cell r="G1513">
            <v>50.697360000000003</v>
          </cell>
          <cell r="H1513">
            <v>0</v>
          </cell>
          <cell r="I1513">
            <v>0</v>
          </cell>
          <cell r="J1513">
            <v>140</v>
          </cell>
          <cell r="K1513">
            <v>7097.63</v>
          </cell>
          <cell r="L1513" t="str">
            <v>借</v>
          </cell>
          <cell r="M1513">
            <v>864</v>
          </cell>
          <cell r="N1513">
            <v>0</v>
          </cell>
          <cell r="O1513">
            <v>43802.5</v>
          </cell>
        </row>
        <row r="1514">
          <cell r="A1514" t="str">
            <v>12</v>
          </cell>
          <cell r="B1514" t="str">
            <v>11</v>
          </cell>
          <cell r="C1514" t="str">
            <v>记-0034</v>
          </cell>
          <cell r="D1514" t="str">
            <v>081</v>
          </cell>
          <cell r="E1514" t="str">
            <v>会安盏</v>
          </cell>
          <cell r="F1514" t="str">
            <v>结转成本</v>
          </cell>
          <cell r="G1514">
            <v>50.697339999999997</v>
          </cell>
          <cell r="H1514">
            <v>0</v>
          </cell>
          <cell r="I1514">
            <v>0</v>
          </cell>
          <cell r="J1514">
            <v>557</v>
          </cell>
          <cell r="K1514">
            <v>28238.42</v>
          </cell>
          <cell r="L1514" t="str">
            <v>借</v>
          </cell>
          <cell r="M1514">
            <v>307</v>
          </cell>
          <cell r="N1514">
            <v>0</v>
          </cell>
          <cell r="O1514">
            <v>15564.08</v>
          </cell>
        </row>
        <row r="1515">
          <cell r="A1515" t="str">
            <v>12</v>
          </cell>
          <cell r="B1515" t="str">
            <v>11</v>
          </cell>
          <cell r="C1515" t="str">
            <v>记-0036</v>
          </cell>
          <cell r="D1515" t="str">
            <v>081</v>
          </cell>
          <cell r="E1515" t="str">
            <v>会安盏</v>
          </cell>
          <cell r="F1515" t="str">
            <v>结转成本</v>
          </cell>
          <cell r="G1515">
            <v>50.697330000000001</v>
          </cell>
          <cell r="H1515">
            <v>0</v>
          </cell>
          <cell r="I1515">
            <v>0</v>
          </cell>
          <cell r="J1515">
            <v>307</v>
          </cell>
          <cell r="K1515">
            <v>15564.08</v>
          </cell>
          <cell r="L1515" t="str">
            <v>平</v>
          </cell>
          <cell r="M1515">
            <v>0</v>
          </cell>
          <cell r="N1515">
            <v>0</v>
          </cell>
          <cell r="O1515">
            <v>0</v>
          </cell>
        </row>
        <row r="1516">
          <cell r="A1516" t="str">
            <v>12</v>
          </cell>
          <cell r="F1516" t="str">
            <v>本月合计</v>
          </cell>
          <cell r="G1516">
            <v>0</v>
          </cell>
          <cell r="H1516">
            <v>1004</v>
          </cell>
          <cell r="I1516">
            <v>50900.13</v>
          </cell>
          <cell r="J1516">
            <v>1004</v>
          </cell>
          <cell r="K1516">
            <v>50900.13</v>
          </cell>
          <cell r="L1516" t="str">
            <v>平</v>
          </cell>
          <cell r="M1516">
            <v>0</v>
          </cell>
          <cell r="N1516">
            <v>0</v>
          </cell>
          <cell r="O1516">
            <v>0</v>
          </cell>
        </row>
        <row r="1517">
          <cell r="A1517" t="str">
            <v>12</v>
          </cell>
          <cell r="E1517" t="str">
            <v>会安盏</v>
          </cell>
          <cell r="F1517" t="str">
            <v>本年累计</v>
          </cell>
          <cell r="G1517">
            <v>0</v>
          </cell>
          <cell r="H1517">
            <v>6291.0129999999999</v>
          </cell>
          <cell r="I1517">
            <v>409235.54</v>
          </cell>
          <cell r="J1517">
            <v>6291.0129999999999</v>
          </cell>
          <cell r="K1517">
            <v>409235.54</v>
          </cell>
          <cell r="L1517" t="str">
            <v>平</v>
          </cell>
          <cell r="M1517">
            <v>0</v>
          </cell>
          <cell r="N1517">
            <v>0</v>
          </cell>
          <cell r="O1517">
            <v>0</v>
          </cell>
        </row>
        <row r="1518">
          <cell r="A1518" t="str">
            <v>01</v>
          </cell>
          <cell r="B1518" t="str">
            <v>31</v>
          </cell>
          <cell r="C1518" t="str">
            <v>记-0036</v>
          </cell>
          <cell r="D1518" t="str">
            <v>082</v>
          </cell>
          <cell r="E1518" t="str">
            <v>雪哈膏</v>
          </cell>
          <cell r="F1518" t="str">
            <v>收购产品</v>
          </cell>
          <cell r="G1518">
            <v>3802.3006700000001</v>
          </cell>
          <cell r="H1518">
            <v>15</v>
          </cell>
          <cell r="I1518">
            <v>57034.51</v>
          </cell>
          <cell r="J1518">
            <v>0</v>
          </cell>
          <cell r="K1518">
            <v>0</v>
          </cell>
          <cell r="L1518" t="str">
            <v>借</v>
          </cell>
          <cell r="M1518">
            <v>15</v>
          </cell>
          <cell r="N1518">
            <v>0</v>
          </cell>
          <cell r="O1518">
            <v>57034.51</v>
          </cell>
        </row>
        <row r="1519">
          <cell r="A1519" t="str">
            <v>01</v>
          </cell>
          <cell r="B1519" t="str">
            <v>31</v>
          </cell>
          <cell r="C1519" t="str">
            <v>记-0050</v>
          </cell>
          <cell r="D1519" t="str">
            <v>082</v>
          </cell>
          <cell r="E1519" t="str">
            <v>雪哈膏</v>
          </cell>
          <cell r="F1519" t="str">
            <v>结转销售成本</v>
          </cell>
          <cell r="G1519">
            <v>3802.3006700000001</v>
          </cell>
          <cell r="H1519">
            <v>0</v>
          </cell>
          <cell r="I1519">
            <v>0</v>
          </cell>
          <cell r="J1519">
            <v>15</v>
          </cell>
          <cell r="K1519">
            <v>57034.51</v>
          </cell>
          <cell r="L1519" t="str">
            <v>平</v>
          </cell>
          <cell r="M1519">
            <v>0</v>
          </cell>
          <cell r="N1519">
            <v>0</v>
          </cell>
          <cell r="O1519">
            <v>0</v>
          </cell>
        </row>
        <row r="1520">
          <cell r="A1520" t="str">
            <v>01</v>
          </cell>
          <cell r="F1520" t="str">
            <v>本月合计</v>
          </cell>
          <cell r="G1520">
            <v>0</v>
          </cell>
          <cell r="H1520">
            <v>15</v>
          </cell>
          <cell r="I1520">
            <v>57034.51</v>
          </cell>
          <cell r="J1520">
            <v>15</v>
          </cell>
          <cell r="K1520">
            <v>57034.51</v>
          </cell>
          <cell r="L1520" t="str">
            <v>平</v>
          </cell>
          <cell r="M1520">
            <v>0</v>
          </cell>
          <cell r="N1520">
            <v>0</v>
          </cell>
          <cell r="O1520">
            <v>0</v>
          </cell>
        </row>
        <row r="1521">
          <cell r="A1521" t="str">
            <v>01</v>
          </cell>
          <cell r="F1521" t="str">
            <v>累    计</v>
          </cell>
          <cell r="G1521">
            <v>0</v>
          </cell>
          <cell r="H1521">
            <v>15</v>
          </cell>
          <cell r="I1521">
            <v>57034.51</v>
          </cell>
          <cell r="J1521">
            <v>15</v>
          </cell>
          <cell r="K1521">
            <v>57034.51</v>
          </cell>
          <cell r="L1521" t="str">
            <v>平</v>
          </cell>
          <cell r="M1521">
            <v>0</v>
          </cell>
          <cell r="N1521">
            <v>0</v>
          </cell>
          <cell r="O1521">
            <v>0</v>
          </cell>
        </row>
        <row r="1522">
          <cell r="A1522" t="str">
            <v>06</v>
          </cell>
          <cell r="B1522" t="str">
            <v>24</v>
          </cell>
          <cell r="C1522" t="str">
            <v>记-0025</v>
          </cell>
          <cell r="D1522" t="str">
            <v>082</v>
          </cell>
          <cell r="E1522" t="str">
            <v>雪哈膏</v>
          </cell>
          <cell r="F1522" t="str">
            <v>收购产品</v>
          </cell>
          <cell r="G1522">
            <v>3210.83167</v>
          </cell>
          <cell r="H1522">
            <v>30</v>
          </cell>
          <cell r="I1522">
            <v>96324.95</v>
          </cell>
          <cell r="J1522">
            <v>0</v>
          </cell>
          <cell r="K1522">
            <v>0</v>
          </cell>
          <cell r="L1522" t="str">
            <v>借</v>
          </cell>
          <cell r="M1522">
            <v>30</v>
          </cell>
          <cell r="N1522">
            <v>0</v>
          </cell>
          <cell r="O1522">
            <v>96324.95</v>
          </cell>
        </row>
        <row r="1523">
          <cell r="A1523" t="str">
            <v>06</v>
          </cell>
          <cell r="B1523" t="str">
            <v>24</v>
          </cell>
          <cell r="C1523" t="str">
            <v>记-0026</v>
          </cell>
          <cell r="D1523" t="str">
            <v>082</v>
          </cell>
          <cell r="E1523" t="str">
            <v>雪哈膏</v>
          </cell>
          <cell r="F1523" t="str">
            <v>转成本</v>
          </cell>
          <cell r="G1523">
            <v>3210.83167</v>
          </cell>
          <cell r="H1523">
            <v>0</v>
          </cell>
          <cell r="I1523">
            <v>0</v>
          </cell>
          <cell r="J1523">
            <v>30</v>
          </cell>
          <cell r="K1523">
            <v>96324.95</v>
          </cell>
          <cell r="L1523" t="str">
            <v>平</v>
          </cell>
          <cell r="M1523">
            <v>0</v>
          </cell>
          <cell r="N1523">
            <v>0</v>
          </cell>
          <cell r="O1523">
            <v>0</v>
          </cell>
        </row>
        <row r="1524">
          <cell r="A1524" t="str">
            <v>06</v>
          </cell>
          <cell r="F1524" t="str">
            <v>本月合计</v>
          </cell>
          <cell r="G1524">
            <v>0</v>
          </cell>
          <cell r="H1524">
            <v>30</v>
          </cell>
          <cell r="I1524">
            <v>96324.95</v>
          </cell>
          <cell r="J1524">
            <v>30</v>
          </cell>
          <cell r="K1524">
            <v>96324.95</v>
          </cell>
          <cell r="L1524" t="str">
            <v>平</v>
          </cell>
          <cell r="M1524">
            <v>0</v>
          </cell>
          <cell r="N1524">
            <v>0</v>
          </cell>
          <cell r="O1524">
            <v>0</v>
          </cell>
        </row>
        <row r="1525">
          <cell r="A1525" t="str">
            <v>06</v>
          </cell>
          <cell r="F1525" t="str">
            <v>累    计</v>
          </cell>
          <cell r="G1525">
            <v>0</v>
          </cell>
          <cell r="H1525">
            <v>45</v>
          </cell>
          <cell r="I1525">
            <v>153359.46</v>
          </cell>
          <cell r="J1525">
            <v>45</v>
          </cell>
          <cell r="K1525">
            <v>153359.46</v>
          </cell>
          <cell r="L1525" t="str">
            <v>平</v>
          </cell>
          <cell r="M1525">
            <v>0</v>
          </cell>
          <cell r="N1525">
            <v>0</v>
          </cell>
          <cell r="O1525">
            <v>0</v>
          </cell>
        </row>
        <row r="1526">
          <cell r="A1526" t="str">
            <v>08</v>
          </cell>
          <cell r="B1526" t="str">
            <v>25</v>
          </cell>
          <cell r="C1526" t="str">
            <v>记-0059</v>
          </cell>
          <cell r="D1526" t="str">
            <v>082</v>
          </cell>
          <cell r="E1526" t="str">
            <v>雪哈膏</v>
          </cell>
          <cell r="F1526" t="str">
            <v>结转成本</v>
          </cell>
          <cell r="G1526">
            <v>4055.7874999999999</v>
          </cell>
          <cell r="H1526">
            <v>0</v>
          </cell>
          <cell r="I1526">
            <v>0</v>
          </cell>
          <cell r="J1526">
            <v>20</v>
          </cell>
          <cell r="K1526">
            <v>81115.75</v>
          </cell>
          <cell r="L1526" t="str">
            <v>贷</v>
          </cell>
          <cell r="M1526">
            <v>20</v>
          </cell>
          <cell r="N1526">
            <v>0</v>
          </cell>
          <cell r="O1526">
            <v>81115.75</v>
          </cell>
        </row>
        <row r="1527">
          <cell r="A1527" t="str">
            <v>08</v>
          </cell>
          <cell r="B1527" t="str">
            <v>25</v>
          </cell>
          <cell r="C1527" t="str">
            <v>记-0059</v>
          </cell>
          <cell r="D1527" t="str">
            <v>082</v>
          </cell>
          <cell r="E1527" t="str">
            <v>雪哈膏</v>
          </cell>
          <cell r="F1527" t="str">
            <v>结转成本</v>
          </cell>
          <cell r="G1527">
            <v>4123.3838800000003</v>
          </cell>
          <cell r="H1527">
            <v>0</v>
          </cell>
          <cell r="I1527">
            <v>0</v>
          </cell>
          <cell r="J1527">
            <v>33.5</v>
          </cell>
          <cell r="K1527">
            <v>138133.35999999999</v>
          </cell>
          <cell r="L1527" t="str">
            <v>贷</v>
          </cell>
          <cell r="M1527">
            <v>53.5</v>
          </cell>
          <cell r="N1527">
            <v>0</v>
          </cell>
          <cell r="O1527">
            <v>219249.11</v>
          </cell>
        </row>
        <row r="1528">
          <cell r="A1528" t="str">
            <v>08</v>
          </cell>
          <cell r="B1528" t="str">
            <v>25</v>
          </cell>
          <cell r="C1528" t="str">
            <v>记-0066</v>
          </cell>
          <cell r="D1528" t="str">
            <v>082</v>
          </cell>
          <cell r="E1528" t="str">
            <v>雪哈膏</v>
          </cell>
          <cell r="F1528" t="str">
            <v>收购产品</v>
          </cell>
          <cell r="G1528">
            <v>4055.7874999999999</v>
          </cell>
          <cell r="H1528">
            <v>20</v>
          </cell>
          <cell r="I1528">
            <v>81115.75</v>
          </cell>
          <cell r="J1528">
            <v>0</v>
          </cell>
          <cell r="K1528">
            <v>0</v>
          </cell>
          <cell r="L1528" t="str">
            <v>贷</v>
          </cell>
          <cell r="M1528">
            <v>33.5</v>
          </cell>
          <cell r="N1528">
            <v>0</v>
          </cell>
          <cell r="O1528">
            <v>138133.35999999999</v>
          </cell>
        </row>
        <row r="1529">
          <cell r="A1529" t="str">
            <v>08</v>
          </cell>
          <cell r="B1529" t="str">
            <v>25</v>
          </cell>
          <cell r="C1529" t="str">
            <v>记-0066</v>
          </cell>
          <cell r="D1529" t="str">
            <v>082</v>
          </cell>
          <cell r="E1529" t="str">
            <v>雪哈膏</v>
          </cell>
          <cell r="F1529" t="str">
            <v>收购产品</v>
          </cell>
          <cell r="G1529">
            <v>4123.3838800000003</v>
          </cell>
          <cell r="H1529">
            <v>33.5</v>
          </cell>
          <cell r="I1529">
            <v>138133.35999999999</v>
          </cell>
          <cell r="J1529">
            <v>0</v>
          </cell>
          <cell r="K1529">
            <v>0</v>
          </cell>
          <cell r="L1529" t="str">
            <v>平</v>
          </cell>
          <cell r="M1529">
            <v>0</v>
          </cell>
          <cell r="N1529">
            <v>0</v>
          </cell>
          <cell r="O1529">
            <v>0</v>
          </cell>
        </row>
        <row r="1530">
          <cell r="A1530" t="str">
            <v>08</v>
          </cell>
          <cell r="F1530" t="str">
            <v>本月合计</v>
          </cell>
          <cell r="G1530">
            <v>0</v>
          </cell>
          <cell r="H1530">
            <v>53.5</v>
          </cell>
          <cell r="I1530">
            <v>219249.11</v>
          </cell>
          <cell r="J1530">
            <v>53.5</v>
          </cell>
          <cell r="K1530">
            <v>219249.11</v>
          </cell>
          <cell r="L1530" t="str">
            <v>平</v>
          </cell>
          <cell r="M1530">
            <v>0</v>
          </cell>
          <cell r="N1530">
            <v>0</v>
          </cell>
          <cell r="O1530">
            <v>0</v>
          </cell>
        </row>
        <row r="1531">
          <cell r="A1531" t="str">
            <v>08</v>
          </cell>
          <cell r="F1531" t="str">
            <v>累    计</v>
          </cell>
          <cell r="G1531">
            <v>0</v>
          </cell>
          <cell r="H1531">
            <v>98.5</v>
          </cell>
          <cell r="I1531">
            <v>372608.57</v>
          </cell>
          <cell r="J1531">
            <v>98.5</v>
          </cell>
          <cell r="K1531">
            <v>372608.57</v>
          </cell>
          <cell r="L1531" t="str">
            <v>平</v>
          </cell>
          <cell r="M1531">
            <v>0</v>
          </cell>
          <cell r="N1531">
            <v>0</v>
          </cell>
          <cell r="O1531">
            <v>0</v>
          </cell>
        </row>
        <row r="1532">
          <cell r="A1532" t="str">
            <v>10</v>
          </cell>
          <cell r="B1532" t="str">
            <v>22</v>
          </cell>
          <cell r="C1532" t="str">
            <v>记-0025</v>
          </cell>
          <cell r="D1532" t="str">
            <v>082</v>
          </cell>
          <cell r="E1532" t="str">
            <v>雪哈膏</v>
          </cell>
          <cell r="F1532" t="str">
            <v>结转成本</v>
          </cell>
          <cell r="G1532">
            <v>4055.78757</v>
          </cell>
          <cell r="H1532">
            <v>0</v>
          </cell>
          <cell r="I1532">
            <v>0</v>
          </cell>
          <cell r="J1532">
            <v>37</v>
          </cell>
          <cell r="K1532">
            <v>150064.14000000001</v>
          </cell>
          <cell r="L1532" t="str">
            <v>贷</v>
          </cell>
          <cell r="M1532">
            <v>37</v>
          </cell>
          <cell r="N1532">
            <v>0</v>
          </cell>
          <cell r="O1532">
            <v>150064.14000000001</v>
          </cell>
        </row>
        <row r="1533">
          <cell r="A1533" t="str">
            <v>10</v>
          </cell>
          <cell r="B1533" t="str">
            <v>22</v>
          </cell>
          <cell r="C1533" t="str">
            <v>记-0029</v>
          </cell>
          <cell r="D1533" t="str">
            <v>082</v>
          </cell>
          <cell r="E1533" t="str">
            <v>雪哈膏</v>
          </cell>
          <cell r="F1533" t="str">
            <v>收购产品</v>
          </cell>
          <cell r="G1533">
            <v>4055.78757</v>
          </cell>
          <cell r="H1533">
            <v>37</v>
          </cell>
          <cell r="I1533">
            <v>150064.14000000001</v>
          </cell>
          <cell r="J1533">
            <v>0</v>
          </cell>
          <cell r="K1533">
            <v>0</v>
          </cell>
          <cell r="L1533" t="str">
            <v>平</v>
          </cell>
          <cell r="M1533">
            <v>0</v>
          </cell>
          <cell r="N1533">
            <v>0</v>
          </cell>
          <cell r="O1533">
            <v>0</v>
          </cell>
        </row>
        <row r="1534">
          <cell r="A1534" t="str">
            <v>10</v>
          </cell>
          <cell r="F1534" t="str">
            <v>本月合计</v>
          </cell>
          <cell r="G1534">
            <v>0</v>
          </cell>
          <cell r="H1534">
            <v>37</v>
          </cell>
          <cell r="I1534">
            <v>150064.14000000001</v>
          </cell>
          <cell r="J1534">
            <v>37</v>
          </cell>
          <cell r="K1534">
            <v>150064.14000000001</v>
          </cell>
          <cell r="L1534" t="str">
            <v>平</v>
          </cell>
          <cell r="M1534">
            <v>0</v>
          </cell>
          <cell r="N1534">
            <v>0</v>
          </cell>
          <cell r="O1534">
            <v>0</v>
          </cell>
        </row>
        <row r="1535">
          <cell r="A1535" t="str">
            <v>10</v>
          </cell>
          <cell r="F1535" t="str">
            <v>累    计</v>
          </cell>
          <cell r="G1535">
            <v>0</v>
          </cell>
          <cell r="H1535">
            <v>135.5</v>
          </cell>
          <cell r="I1535">
            <v>522672.71</v>
          </cell>
          <cell r="J1535">
            <v>135.5</v>
          </cell>
          <cell r="K1535">
            <v>522672.71</v>
          </cell>
          <cell r="L1535" t="str">
            <v>平</v>
          </cell>
          <cell r="M1535">
            <v>0</v>
          </cell>
          <cell r="N1535">
            <v>0</v>
          </cell>
          <cell r="O1535">
            <v>0</v>
          </cell>
        </row>
        <row r="1536">
          <cell r="A1536" t="str">
            <v>12</v>
          </cell>
          <cell r="B1536" t="str">
            <v>11</v>
          </cell>
          <cell r="C1536" t="str">
            <v>记-0026</v>
          </cell>
          <cell r="D1536" t="str">
            <v>082</v>
          </cell>
          <cell r="E1536" t="str">
            <v>雪哈膏</v>
          </cell>
          <cell r="F1536" t="str">
            <v>收购产品</v>
          </cell>
          <cell r="G1536">
            <v>3210.8318199999999</v>
          </cell>
          <cell r="H1536">
            <v>33</v>
          </cell>
          <cell r="I1536">
            <v>105957.45</v>
          </cell>
          <cell r="J1536">
            <v>0</v>
          </cell>
          <cell r="K1536">
            <v>0</v>
          </cell>
          <cell r="L1536" t="str">
            <v>借</v>
          </cell>
          <cell r="M1536">
            <v>33</v>
          </cell>
          <cell r="N1536">
            <v>0</v>
          </cell>
          <cell r="O1536">
            <v>105957.45</v>
          </cell>
        </row>
        <row r="1537">
          <cell r="A1537" t="str">
            <v>12</v>
          </cell>
          <cell r="B1537" t="str">
            <v>11</v>
          </cell>
          <cell r="C1537" t="str">
            <v>记-0035</v>
          </cell>
          <cell r="D1537" t="str">
            <v>082</v>
          </cell>
          <cell r="E1537" t="str">
            <v>雪哈膏</v>
          </cell>
          <cell r="F1537" t="str">
            <v>结转成本</v>
          </cell>
          <cell r="G1537">
            <v>3210.8318199999999</v>
          </cell>
          <cell r="H1537">
            <v>0</v>
          </cell>
          <cell r="I1537">
            <v>0</v>
          </cell>
          <cell r="J1537">
            <v>33</v>
          </cell>
          <cell r="K1537">
            <v>105957.45</v>
          </cell>
          <cell r="L1537" t="str">
            <v>平</v>
          </cell>
          <cell r="M1537">
            <v>0</v>
          </cell>
          <cell r="N1537">
            <v>0</v>
          </cell>
          <cell r="O1537">
            <v>0</v>
          </cell>
        </row>
        <row r="1538">
          <cell r="A1538" t="str">
            <v>12</v>
          </cell>
          <cell r="B1538" t="str">
            <v>31</v>
          </cell>
          <cell r="C1538" t="str">
            <v>记-0144</v>
          </cell>
          <cell r="D1538" t="str">
            <v>082</v>
          </cell>
          <cell r="E1538" t="str">
            <v>雪哈膏</v>
          </cell>
          <cell r="F1538" t="str">
            <v>收购产品</v>
          </cell>
          <cell r="G1538">
            <v>4055.788</v>
          </cell>
          <cell r="H1538">
            <v>10</v>
          </cell>
          <cell r="I1538">
            <v>40557.879999999997</v>
          </cell>
          <cell r="J1538">
            <v>0</v>
          </cell>
          <cell r="K1538">
            <v>0</v>
          </cell>
          <cell r="L1538" t="str">
            <v>借</v>
          </cell>
          <cell r="M1538">
            <v>10</v>
          </cell>
          <cell r="N1538">
            <v>0</v>
          </cell>
          <cell r="O1538">
            <v>40557.879999999997</v>
          </cell>
        </row>
        <row r="1539">
          <cell r="A1539" t="str">
            <v>12</v>
          </cell>
          <cell r="B1539" t="str">
            <v>31</v>
          </cell>
          <cell r="C1539" t="str">
            <v>记-0144</v>
          </cell>
          <cell r="D1539" t="str">
            <v>082</v>
          </cell>
          <cell r="E1539" t="str">
            <v>雪哈膏</v>
          </cell>
          <cell r="F1539" t="str">
            <v>收购产品</v>
          </cell>
          <cell r="G1539">
            <v>363.33100000000002</v>
          </cell>
          <cell r="H1539">
            <v>70</v>
          </cell>
          <cell r="I1539">
            <v>25433.17</v>
          </cell>
          <cell r="J1539">
            <v>0</v>
          </cell>
          <cell r="K1539">
            <v>0</v>
          </cell>
          <cell r="L1539" t="str">
            <v>借</v>
          </cell>
          <cell r="M1539">
            <v>80</v>
          </cell>
          <cell r="N1539">
            <v>0</v>
          </cell>
          <cell r="O1539">
            <v>65991.05</v>
          </cell>
        </row>
        <row r="1540">
          <cell r="A1540" t="str">
            <v>12</v>
          </cell>
          <cell r="B1540" t="str">
            <v>31</v>
          </cell>
          <cell r="C1540" t="str">
            <v>记-0145</v>
          </cell>
          <cell r="D1540" t="str">
            <v>082</v>
          </cell>
          <cell r="E1540" t="str">
            <v>雪哈膏</v>
          </cell>
          <cell r="F1540" t="str">
            <v>结转成本</v>
          </cell>
          <cell r="G1540">
            <v>4055.788</v>
          </cell>
          <cell r="H1540">
            <v>0</v>
          </cell>
          <cell r="I1540">
            <v>0</v>
          </cell>
          <cell r="J1540">
            <v>10</v>
          </cell>
          <cell r="K1540">
            <v>40557.879999999997</v>
          </cell>
          <cell r="L1540" t="str">
            <v>借</v>
          </cell>
          <cell r="M1540">
            <v>70</v>
          </cell>
          <cell r="N1540">
            <v>0</v>
          </cell>
          <cell r="O1540">
            <v>25433.17</v>
          </cell>
        </row>
        <row r="1541">
          <cell r="A1541" t="str">
            <v>12</v>
          </cell>
          <cell r="B1541" t="str">
            <v>31</v>
          </cell>
          <cell r="C1541" t="str">
            <v>记-0145</v>
          </cell>
          <cell r="D1541" t="str">
            <v>082</v>
          </cell>
          <cell r="E1541" t="str">
            <v>雪哈膏</v>
          </cell>
          <cell r="F1541" t="str">
            <v>结转成本</v>
          </cell>
          <cell r="G1541">
            <v>363.33100000000002</v>
          </cell>
          <cell r="H1541">
            <v>0</v>
          </cell>
          <cell r="I1541">
            <v>0</v>
          </cell>
          <cell r="J1541">
            <v>70</v>
          </cell>
          <cell r="K1541">
            <v>25433.17</v>
          </cell>
          <cell r="L1541" t="str">
            <v>平</v>
          </cell>
          <cell r="M1541">
            <v>0</v>
          </cell>
          <cell r="N1541">
            <v>0</v>
          </cell>
          <cell r="O1541">
            <v>0</v>
          </cell>
        </row>
        <row r="1542">
          <cell r="A1542" t="str">
            <v>12</v>
          </cell>
          <cell r="F1542" t="str">
            <v>本月合计</v>
          </cell>
          <cell r="G1542">
            <v>0</v>
          </cell>
          <cell r="H1542">
            <v>113</v>
          </cell>
          <cell r="I1542">
            <v>171948.5</v>
          </cell>
          <cell r="J1542">
            <v>113</v>
          </cell>
          <cell r="K1542">
            <v>171948.5</v>
          </cell>
          <cell r="L1542" t="str">
            <v>平</v>
          </cell>
          <cell r="M1542">
            <v>0</v>
          </cell>
          <cell r="N1542">
            <v>0</v>
          </cell>
          <cell r="O1542">
            <v>0</v>
          </cell>
        </row>
        <row r="1543">
          <cell r="A1543" t="str">
            <v>12</v>
          </cell>
          <cell r="E1543" t="str">
            <v>雪哈膏</v>
          </cell>
          <cell r="F1543" t="str">
            <v>本年累计</v>
          </cell>
          <cell r="G1543">
            <v>0</v>
          </cell>
          <cell r="H1543">
            <v>248.5</v>
          </cell>
          <cell r="I1543">
            <v>694621.21</v>
          </cell>
          <cell r="J1543">
            <v>248.5</v>
          </cell>
          <cell r="K1543">
            <v>694621.21</v>
          </cell>
          <cell r="L1543" t="str">
            <v>平</v>
          </cell>
          <cell r="M1543">
            <v>0</v>
          </cell>
          <cell r="N1543">
            <v>0</v>
          </cell>
          <cell r="O1543">
            <v>0</v>
          </cell>
        </row>
        <row r="1544">
          <cell r="A1544" t="str">
            <v>03</v>
          </cell>
          <cell r="B1544" t="str">
            <v>31</v>
          </cell>
          <cell r="C1544" t="str">
            <v>记-0039</v>
          </cell>
          <cell r="D1544" t="str">
            <v>083</v>
          </cell>
          <cell r="E1544" t="str">
            <v>敏鱼肚</v>
          </cell>
          <cell r="F1544" t="str">
            <v>转库存</v>
          </cell>
          <cell r="G1544">
            <v>206.71</v>
          </cell>
          <cell r="H1544">
            <v>0</v>
          </cell>
          <cell r="I1544">
            <v>0</v>
          </cell>
          <cell r="J1544">
            <v>20</v>
          </cell>
          <cell r="K1544">
            <v>4134.2</v>
          </cell>
          <cell r="L1544" t="str">
            <v>贷</v>
          </cell>
          <cell r="M1544">
            <v>20</v>
          </cell>
          <cell r="N1544">
            <v>0</v>
          </cell>
          <cell r="O1544">
            <v>4134.2</v>
          </cell>
        </row>
        <row r="1545">
          <cell r="A1545" t="str">
            <v>03</v>
          </cell>
          <cell r="B1545" t="str">
            <v>31</v>
          </cell>
          <cell r="C1545" t="str">
            <v>记-0039</v>
          </cell>
          <cell r="D1545" t="str">
            <v>083</v>
          </cell>
          <cell r="E1545" t="str">
            <v>敏鱼肚</v>
          </cell>
          <cell r="F1545" t="str">
            <v>转库存</v>
          </cell>
          <cell r="G1545">
            <v>585.41931</v>
          </cell>
          <cell r="H1545">
            <v>0</v>
          </cell>
          <cell r="I1545">
            <v>0</v>
          </cell>
          <cell r="J1545">
            <v>29</v>
          </cell>
          <cell r="K1545">
            <v>16977.16</v>
          </cell>
          <cell r="L1545" t="str">
            <v>贷</v>
          </cell>
          <cell r="M1545">
            <v>49</v>
          </cell>
          <cell r="N1545">
            <v>0</v>
          </cell>
          <cell r="O1545">
            <v>21111.360000000001</v>
          </cell>
        </row>
        <row r="1546">
          <cell r="A1546" t="str">
            <v>03</v>
          </cell>
          <cell r="B1546" t="str">
            <v>31</v>
          </cell>
          <cell r="C1546" t="str">
            <v>记-0053</v>
          </cell>
          <cell r="D1546" t="str">
            <v>083</v>
          </cell>
          <cell r="E1546" t="str">
            <v>敏鱼肚</v>
          </cell>
          <cell r="F1546" t="str">
            <v>收购产品</v>
          </cell>
          <cell r="G1546">
            <v>206.71</v>
          </cell>
          <cell r="H1546">
            <v>20</v>
          </cell>
          <cell r="I1546">
            <v>4134.2</v>
          </cell>
          <cell r="J1546">
            <v>0</v>
          </cell>
          <cell r="K1546">
            <v>0</v>
          </cell>
          <cell r="L1546" t="str">
            <v>贷</v>
          </cell>
          <cell r="M1546">
            <v>29</v>
          </cell>
          <cell r="N1546">
            <v>0</v>
          </cell>
          <cell r="O1546">
            <v>16977.16</v>
          </cell>
        </row>
        <row r="1547">
          <cell r="A1547" t="str">
            <v>03</v>
          </cell>
          <cell r="B1547" t="str">
            <v>31</v>
          </cell>
          <cell r="C1547" t="str">
            <v>记-0053</v>
          </cell>
          <cell r="D1547" t="str">
            <v>083</v>
          </cell>
          <cell r="E1547" t="str">
            <v>敏鱼肚</v>
          </cell>
          <cell r="F1547" t="str">
            <v>收购产品</v>
          </cell>
          <cell r="G1547">
            <v>585.41931</v>
          </cell>
          <cell r="H1547">
            <v>29</v>
          </cell>
          <cell r="I1547">
            <v>16977.16</v>
          </cell>
          <cell r="J1547">
            <v>0</v>
          </cell>
          <cell r="K1547">
            <v>0</v>
          </cell>
          <cell r="L1547" t="str">
            <v>平</v>
          </cell>
          <cell r="M1547">
            <v>0</v>
          </cell>
          <cell r="N1547">
            <v>0</v>
          </cell>
          <cell r="O1547">
            <v>0</v>
          </cell>
        </row>
        <row r="1548">
          <cell r="A1548" t="str">
            <v>03</v>
          </cell>
          <cell r="F1548" t="str">
            <v>本月合计</v>
          </cell>
          <cell r="G1548">
            <v>0</v>
          </cell>
          <cell r="H1548">
            <v>49</v>
          </cell>
          <cell r="I1548">
            <v>21111.360000000001</v>
          </cell>
          <cell r="J1548">
            <v>49</v>
          </cell>
          <cell r="K1548">
            <v>21111.360000000001</v>
          </cell>
          <cell r="L1548" t="str">
            <v>平</v>
          </cell>
          <cell r="M1548">
            <v>0</v>
          </cell>
          <cell r="N1548">
            <v>0</v>
          </cell>
          <cell r="O1548">
            <v>0</v>
          </cell>
        </row>
        <row r="1549">
          <cell r="A1549" t="str">
            <v>03</v>
          </cell>
          <cell r="F1549" t="str">
            <v>累    计</v>
          </cell>
          <cell r="G1549">
            <v>0</v>
          </cell>
          <cell r="H1549">
            <v>49</v>
          </cell>
          <cell r="I1549">
            <v>21111.360000000001</v>
          </cell>
          <cell r="J1549">
            <v>49</v>
          </cell>
          <cell r="K1549">
            <v>21111.360000000001</v>
          </cell>
          <cell r="L1549" t="str">
            <v>平</v>
          </cell>
          <cell r="M1549">
            <v>0</v>
          </cell>
          <cell r="N1549">
            <v>0</v>
          </cell>
          <cell r="O1549">
            <v>0</v>
          </cell>
        </row>
        <row r="1550">
          <cell r="A1550" t="str">
            <v>04</v>
          </cell>
          <cell r="B1550" t="str">
            <v>30</v>
          </cell>
          <cell r="C1550" t="str">
            <v>记-0032</v>
          </cell>
          <cell r="D1550" t="str">
            <v>083</v>
          </cell>
          <cell r="E1550" t="str">
            <v>敏鱼肚</v>
          </cell>
          <cell r="F1550" t="str">
            <v>收购产品</v>
          </cell>
          <cell r="G1550">
            <v>495.35550000000001</v>
          </cell>
          <cell r="H1550">
            <v>20</v>
          </cell>
          <cell r="I1550">
            <v>9907.11</v>
          </cell>
          <cell r="J1550">
            <v>0</v>
          </cell>
          <cell r="K1550">
            <v>0</v>
          </cell>
          <cell r="L1550" t="str">
            <v>借</v>
          </cell>
          <cell r="M1550">
            <v>20</v>
          </cell>
          <cell r="N1550">
            <v>0</v>
          </cell>
          <cell r="O1550">
            <v>9907.11</v>
          </cell>
        </row>
        <row r="1551">
          <cell r="A1551" t="str">
            <v>04</v>
          </cell>
          <cell r="B1551" t="str">
            <v>30</v>
          </cell>
          <cell r="C1551" t="str">
            <v>记-0050</v>
          </cell>
          <cell r="D1551" t="str">
            <v>083</v>
          </cell>
          <cell r="E1551" t="str">
            <v>敏鱼肚</v>
          </cell>
          <cell r="F1551" t="str">
            <v>转成本</v>
          </cell>
          <cell r="G1551">
            <v>495.35550000000001</v>
          </cell>
          <cell r="H1551">
            <v>0</v>
          </cell>
          <cell r="I1551">
            <v>0</v>
          </cell>
          <cell r="J1551">
            <v>20</v>
          </cell>
          <cell r="K1551">
            <v>9907.11</v>
          </cell>
          <cell r="L1551" t="str">
            <v>平</v>
          </cell>
          <cell r="M1551">
            <v>0</v>
          </cell>
          <cell r="N1551">
            <v>0</v>
          </cell>
          <cell r="O1551">
            <v>0</v>
          </cell>
        </row>
        <row r="1552">
          <cell r="A1552" t="str">
            <v>04</v>
          </cell>
          <cell r="F1552" t="str">
            <v>本月合计</v>
          </cell>
          <cell r="G1552">
            <v>0</v>
          </cell>
          <cell r="H1552">
            <v>20</v>
          </cell>
          <cell r="I1552">
            <v>9907.11</v>
          </cell>
          <cell r="J1552">
            <v>20</v>
          </cell>
          <cell r="K1552">
            <v>9907.11</v>
          </cell>
          <cell r="L1552" t="str">
            <v>平</v>
          </cell>
          <cell r="M1552">
            <v>0</v>
          </cell>
          <cell r="N1552">
            <v>0</v>
          </cell>
          <cell r="O1552">
            <v>0</v>
          </cell>
        </row>
        <row r="1553">
          <cell r="A1553" t="str">
            <v>04</v>
          </cell>
          <cell r="F1553" t="str">
            <v>累    计</v>
          </cell>
          <cell r="G1553">
            <v>0</v>
          </cell>
          <cell r="H1553">
            <v>69</v>
          </cell>
          <cell r="I1553">
            <v>31018.47</v>
          </cell>
          <cell r="J1553">
            <v>69</v>
          </cell>
          <cell r="K1553">
            <v>31018.47</v>
          </cell>
          <cell r="L1553" t="str">
            <v>平</v>
          </cell>
          <cell r="M1553">
            <v>0</v>
          </cell>
          <cell r="N1553">
            <v>0</v>
          </cell>
          <cell r="O1553">
            <v>0</v>
          </cell>
        </row>
        <row r="1554">
          <cell r="A1554" t="str">
            <v>06</v>
          </cell>
          <cell r="B1554" t="str">
            <v>24</v>
          </cell>
          <cell r="C1554" t="str">
            <v>记-0022</v>
          </cell>
          <cell r="D1554" t="str">
            <v>083</v>
          </cell>
          <cell r="E1554" t="str">
            <v>敏鱼肚</v>
          </cell>
          <cell r="F1554" t="str">
            <v>收购产品</v>
          </cell>
          <cell r="G1554">
            <v>207.18308999999999</v>
          </cell>
          <cell r="H1554">
            <v>48.5</v>
          </cell>
          <cell r="I1554">
            <v>10048.379999999999</v>
          </cell>
          <cell r="J1554">
            <v>0</v>
          </cell>
          <cell r="K1554">
            <v>0</v>
          </cell>
          <cell r="L1554" t="str">
            <v>借</v>
          </cell>
          <cell r="M1554">
            <v>48.5</v>
          </cell>
          <cell r="N1554">
            <v>0</v>
          </cell>
          <cell r="O1554">
            <v>10048.379999999999</v>
          </cell>
        </row>
        <row r="1555">
          <cell r="A1555" t="str">
            <v>06</v>
          </cell>
          <cell r="B1555" t="str">
            <v>24</v>
          </cell>
          <cell r="C1555" t="str">
            <v>记-0032</v>
          </cell>
          <cell r="D1555" t="str">
            <v>083</v>
          </cell>
          <cell r="E1555" t="str">
            <v>敏鱼肚</v>
          </cell>
          <cell r="F1555" t="str">
            <v>转成本</v>
          </cell>
          <cell r="G1555">
            <v>207.18308999999999</v>
          </cell>
          <cell r="H1555">
            <v>0</v>
          </cell>
          <cell r="I1555">
            <v>0</v>
          </cell>
          <cell r="J1555">
            <v>48.5</v>
          </cell>
          <cell r="K1555">
            <v>10048.379999999999</v>
          </cell>
          <cell r="L1555" t="str">
            <v>平</v>
          </cell>
          <cell r="M1555">
            <v>0</v>
          </cell>
          <cell r="N1555">
            <v>0</v>
          </cell>
          <cell r="O1555">
            <v>0</v>
          </cell>
        </row>
        <row r="1556">
          <cell r="A1556" t="str">
            <v>06</v>
          </cell>
          <cell r="F1556" t="str">
            <v>本月合计</v>
          </cell>
          <cell r="G1556">
            <v>0</v>
          </cell>
          <cell r="H1556">
            <v>48.5</v>
          </cell>
          <cell r="I1556">
            <v>10048.379999999999</v>
          </cell>
          <cell r="J1556">
            <v>48.5</v>
          </cell>
          <cell r="K1556">
            <v>10048.379999999999</v>
          </cell>
          <cell r="L1556" t="str">
            <v>平</v>
          </cell>
          <cell r="M1556">
            <v>0</v>
          </cell>
          <cell r="N1556">
            <v>0</v>
          </cell>
          <cell r="O1556">
            <v>0</v>
          </cell>
        </row>
        <row r="1557">
          <cell r="A1557" t="str">
            <v>06</v>
          </cell>
          <cell r="F1557" t="str">
            <v>累    计</v>
          </cell>
          <cell r="G1557">
            <v>0</v>
          </cell>
          <cell r="H1557">
            <v>117.5</v>
          </cell>
          <cell r="I1557">
            <v>41066.85</v>
          </cell>
          <cell r="J1557">
            <v>117.5</v>
          </cell>
          <cell r="K1557">
            <v>41066.85</v>
          </cell>
          <cell r="L1557" t="str">
            <v>平</v>
          </cell>
          <cell r="M1557">
            <v>0</v>
          </cell>
          <cell r="N1557">
            <v>0</v>
          </cell>
          <cell r="O1557">
            <v>0</v>
          </cell>
        </row>
        <row r="1558">
          <cell r="A1558" t="str">
            <v>08</v>
          </cell>
          <cell r="B1558" t="str">
            <v>25</v>
          </cell>
          <cell r="C1558" t="str">
            <v>记-0056</v>
          </cell>
          <cell r="D1558" t="str">
            <v>083</v>
          </cell>
          <cell r="E1558" t="str">
            <v>敏鱼肚</v>
          </cell>
          <cell r="F1558" t="str">
            <v>结转成本</v>
          </cell>
          <cell r="G1558">
            <v>207.18333000000001</v>
          </cell>
          <cell r="H1558">
            <v>0</v>
          </cell>
          <cell r="I1558">
            <v>0</v>
          </cell>
          <cell r="J1558">
            <v>15</v>
          </cell>
          <cell r="K1558">
            <v>3107.75</v>
          </cell>
          <cell r="L1558" t="str">
            <v>贷</v>
          </cell>
          <cell r="M1558">
            <v>15</v>
          </cell>
          <cell r="N1558">
            <v>0</v>
          </cell>
          <cell r="O1558">
            <v>3107.75</v>
          </cell>
        </row>
        <row r="1559">
          <cell r="A1559" t="str">
            <v>08</v>
          </cell>
          <cell r="B1559" t="str">
            <v>25</v>
          </cell>
          <cell r="C1559" t="str">
            <v>记-0056</v>
          </cell>
          <cell r="D1559" t="str">
            <v>083</v>
          </cell>
          <cell r="E1559" t="str">
            <v>敏鱼肚</v>
          </cell>
          <cell r="F1559" t="str">
            <v>结转成本</v>
          </cell>
          <cell r="G1559">
            <v>585.51199999999994</v>
          </cell>
          <cell r="H1559">
            <v>0</v>
          </cell>
          <cell r="I1559">
            <v>0</v>
          </cell>
          <cell r="J1559">
            <v>20</v>
          </cell>
          <cell r="K1559">
            <v>11710.24</v>
          </cell>
          <cell r="L1559" t="str">
            <v>贷</v>
          </cell>
          <cell r="M1559">
            <v>35</v>
          </cell>
          <cell r="N1559">
            <v>0</v>
          </cell>
          <cell r="O1559">
            <v>14817.99</v>
          </cell>
        </row>
        <row r="1560">
          <cell r="A1560" t="str">
            <v>08</v>
          </cell>
          <cell r="B1560" t="str">
            <v>25</v>
          </cell>
          <cell r="C1560" t="str">
            <v>记-0063</v>
          </cell>
          <cell r="D1560" t="str">
            <v>083</v>
          </cell>
          <cell r="E1560" t="str">
            <v>敏鱼肚</v>
          </cell>
          <cell r="F1560" t="str">
            <v>收购产品</v>
          </cell>
          <cell r="G1560">
            <v>207.18333000000001</v>
          </cell>
          <cell r="H1560">
            <v>15</v>
          </cell>
          <cell r="I1560">
            <v>3107.75</v>
          </cell>
          <cell r="J1560">
            <v>0</v>
          </cell>
          <cell r="K1560">
            <v>0</v>
          </cell>
          <cell r="L1560" t="str">
            <v>贷</v>
          </cell>
          <cell r="M1560">
            <v>20</v>
          </cell>
          <cell r="N1560">
            <v>0</v>
          </cell>
          <cell r="O1560">
            <v>11710.24</v>
          </cell>
        </row>
        <row r="1561">
          <cell r="A1561" t="str">
            <v>08</v>
          </cell>
          <cell r="B1561" t="str">
            <v>25</v>
          </cell>
          <cell r="C1561" t="str">
            <v>记-0063</v>
          </cell>
          <cell r="D1561" t="str">
            <v>083</v>
          </cell>
          <cell r="E1561" t="str">
            <v>敏鱼肚</v>
          </cell>
          <cell r="F1561" t="str">
            <v>收购产品</v>
          </cell>
          <cell r="G1561">
            <v>585.51199999999994</v>
          </cell>
          <cell r="H1561">
            <v>20</v>
          </cell>
          <cell r="I1561">
            <v>11710.24</v>
          </cell>
          <cell r="J1561">
            <v>0</v>
          </cell>
          <cell r="K1561">
            <v>0</v>
          </cell>
          <cell r="L1561" t="str">
            <v>平</v>
          </cell>
          <cell r="M1561">
            <v>0</v>
          </cell>
          <cell r="N1561">
            <v>0</v>
          </cell>
          <cell r="O1561">
            <v>0</v>
          </cell>
        </row>
        <row r="1562">
          <cell r="A1562" t="str">
            <v>08</v>
          </cell>
          <cell r="F1562" t="str">
            <v>本月合计</v>
          </cell>
          <cell r="G1562">
            <v>0</v>
          </cell>
          <cell r="H1562">
            <v>35</v>
          </cell>
          <cell r="I1562">
            <v>14817.99</v>
          </cell>
          <cell r="J1562">
            <v>35</v>
          </cell>
          <cell r="K1562">
            <v>14817.99</v>
          </cell>
          <cell r="L1562" t="str">
            <v>平</v>
          </cell>
          <cell r="M1562">
            <v>0</v>
          </cell>
          <cell r="N1562">
            <v>0</v>
          </cell>
          <cell r="O1562">
            <v>0</v>
          </cell>
        </row>
        <row r="1563">
          <cell r="A1563" t="str">
            <v>08</v>
          </cell>
          <cell r="E1563" t="str">
            <v>敏鱼肚</v>
          </cell>
          <cell r="F1563" t="str">
            <v>本年累计</v>
          </cell>
          <cell r="G1563">
            <v>0</v>
          </cell>
          <cell r="H1563">
            <v>152.5</v>
          </cell>
          <cell r="I1563">
            <v>55884.84</v>
          </cell>
          <cell r="J1563">
            <v>152.5</v>
          </cell>
          <cell r="K1563">
            <v>55884.84</v>
          </cell>
          <cell r="L1563" t="str">
            <v>平</v>
          </cell>
          <cell r="M1563">
            <v>0</v>
          </cell>
          <cell r="N1563">
            <v>0</v>
          </cell>
          <cell r="O1563">
            <v>0</v>
          </cell>
        </row>
        <row r="1564">
          <cell r="A1564" t="str">
            <v>03</v>
          </cell>
          <cell r="B1564" t="str">
            <v>31</v>
          </cell>
          <cell r="C1564" t="str">
            <v>记-0039</v>
          </cell>
          <cell r="D1564" t="str">
            <v>084</v>
          </cell>
          <cell r="E1564" t="str">
            <v>人参</v>
          </cell>
          <cell r="F1564" t="str">
            <v>转库存</v>
          </cell>
          <cell r="G1564">
            <v>247.67339999999999</v>
          </cell>
          <cell r="H1564">
            <v>0</v>
          </cell>
          <cell r="I1564">
            <v>0</v>
          </cell>
          <cell r="J1564">
            <v>31.2</v>
          </cell>
          <cell r="K1564">
            <v>7727.41</v>
          </cell>
          <cell r="L1564" t="str">
            <v>贷</v>
          </cell>
          <cell r="M1564">
            <v>31.2</v>
          </cell>
          <cell r="N1564">
            <v>0</v>
          </cell>
          <cell r="O1564">
            <v>7727.41</v>
          </cell>
        </row>
        <row r="1565">
          <cell r="A1565" t="str">
            <v>03</v>
          </cell>
          <cell r="B1565" t="str">
            <v>31</v>
          </cell>
          <cell r="C1565" t="str">
            <v>记-0053</v>
          </cell>
          <cell r="D1565" t="str">
            <v>084</v>
          </cell>
          <cell r="E1565" t="str">
            <v>人参</v>
          </cell>
          <cell r="F1565" t="str">
            <v>收购产品</v>
          </cell>
          <cell r="G1565">
            <v>247.67339999999999</v>
          </cell>
          <cell r="H1565">
            <v>31.2</v>
          </cell>
          <cell r="I1565">
            <v>7727.41</v>
          </cell>
          <cell r="J1565">
            <v>0</v>
          </cell>
          <cell r="K1565">
            <v>0</v>
          </cell>
          <cell r="L1565" t="str">
            <v>平</v>
          </cell>
          <cell r="M1565">
            <v>0</v>
          </cell>
          <cell r="N1565">
            <v>0</v>
          </cell>
          <cell r="O1565">
            <v>0</v>
          </cell>
        </row>
        <row r="1566">
          <cell r="A1566" t="str">
            <v>03</v>
          </cell>
          <cell r="F1566" t="str">
            <v>本月合计</v>
          </cell>
          <cell r="G1566">
            <v>0</v>
          </cell>
          <cell r="H1566">
            <v>31.2</v>
          </cell>
          <cell r="I1566">
            <v>7727.41</v>
          </cell>
          <cell r="J1566">
            <v>31.2</v>
          </cell>
          <cell r="K1566">
            <v>7727.41</v>
          </cell>
          <cell r="L1566" t="str">
            <v>平</v>
          </cell>
          <cell r="M1566">
            <v>0</v>
          </cell>
          <cell r="N1566">
            <v>0</v>
          </cell>
          <cell r="O1566">
            <v>0</v>
          </cell>
        </row>
        <row r="1567">
          <cell r="A1567" t="str">
            <v>03</v>
          </cell>
          <cell r="F1567" t="str">
            <v>累    计</v>
          </cell>
          <cell r="G1567">
            <v>0</v>
          </cell>
          <cell r="H1567">
            <v>31.2</v>
          </cell>
          <cell r="I1567">
            <v>7727.41</v>
          </cell>
          <cell r="J1567">
            <v>31.2</v>
          </cell>
          <cell r="K1567">
            <v>7727.41</v>
          </cell>
          <cell r="L1567" t="str">
            <v>平</v>
          </cell>
          <cell r="M1567">
            <v>0</v>
          </cell>
          <cell r="N1567">
            <v>0</v>
          </cell>
          <cell r="O1567">
            <v>0</v>
          </cell>
        </row>
        <row r="1568">
          <cell r="A1568" t="str">
            <v>12</v>
          </cell>
          <cell r="B1568" t="str">
            <v>11</v>
          </cell>
          <cell r="C1568" t="str">
            <v>记-0022</v>
          </cell>
          <cell r="D1568" t="str">
            <v>084</v>
          </cell>
          <cell r="E1568" t="str">
            <v>人参</v>
          </cell>
          <cell r="F1568" t="str">
            <v>收购产品</v>
          </cell>
          <cell r="G1568">
            <v>295.73453000000001</v>
          </cell>
          <cell r="H1568">
            <v>1429</v>
          </cell>
          <cell r="I1568">
            <v>422604.64</v>
          </cell>
          <cell r="J1568">
            <v>0</v>
          </cell>
          <cell r="K1568">
            <v>0</v>
          </cell>
          <cell r="L1568" t="str">
            <v>借</v>
          </cell>
          <cell r="M1568">
            <v>1429</v>
          </cell>
          <cell r="N1568">
            <v>0</v>
          </cell>
          <cell r="O1568">
            <v>422604.64</v>
          </cell>
        </row>
        <row r="1569">
          <cell r="A1569" t="str">
            <v>12</v>
          </cell>
          <cell r="B1569" t="str">
            <v>11</v>
          </cell>
          <cell r="C1569" t="str">
            <v>记-0031</v>
          </cell>
          <cell r="D1569" t="str">
            <v>084</v>
          </cell>
          <cell r="E1569" t="str">
            <v>人参</v>
          </cell>
          <cell r="F1569" t="str">
            <v>结转成本</v>
          </cell>
          <cell r="G1569">
            <v>295.73453000000001</v>
          </cell>
          <cell r="H1569">
            <v>0</v>
          </cell>
          <cell r="I1569">
            <v>0</v>
          </cell>
          <cell r="J1569">
            <v>1429</v>
          </cell>
          <cell r="K1569">
            <v>422604.64</v>
          </cell>
          <cell r="L1569" t="str">
            <v>平</v>
          </cell>
          <cell r="M1569">
            <v>0</v>
          </cell>
          <cell r="N1569">
            <v>0</v>
          </cell>
          <cell r="O1569">
            <v>0</v>
          </cell>
        </row>
        <row r="1570">
          <cell r="A1570" t="str">
            <v>12</v>
          </cell>
          <cell r="F1570" t="str">
            <v>本月合计</v>
          </cell>
          <cell r="G1570">
            <v>0</v>
          </cell>
          <cell r="H1570">
            <v>1429</v>
          </cell>
          <cell r="I1570">
            <v>422604.64</v>
          </cell>
          <cell r="J1570">
            <v>1429</v>
          </cell>
          <cell r="K1570">
            <v>422604.64</v>
          </cell>
          <cell r="L1570" t="str">
            <v>平</v>
          </cell>
          <cell r="M1570">
            <v>0</v>
          </cell>
          <cell r="N1570">
            <v>0</v>
          </cell>
          <cell r="O1570">
            <v>0</v>
          </cell>
        </row>
        <row r="1571">
          <cell r="A1571" t="str">
            <v>12</v>
          </cell>
          <cell r="E1571" t="str">
            <v>人参</v>
          </cell>
          <cell r="F1571" t="str">
            <v>本年累计</v>
          </cell>
          <cell r="G1571">
            <v>0</v>
          </cell>
          <cell r="H1571">
            <v>1460.2</v>
          </cell>
          <cell r="I1571">
            <v>430332.05</v>
          </cell>
          <cell r="J1571">
            <v>1460.2</v>
          </cell>
          <cell r="K1571">
            <v>430332.05</v>
          </cell>
          <cell r="L1571" t="str">
            <v>平</v>
          </cell>
          <cell r="M1571">
            <v>0</v>
          </cell>
          <cell r="N1571">
            <v>0</v>
          </cell>
          <cell r="O1571">
            <v>0</v>
          </cell>
        </row>
        <row r="1572">
          <cell r="A1572" t="str">
            <v>02</v>
          </cell>
          <cell r="B1572" t="str">
            <v>28</v>
          </cell>
          <cell r="C1572" t="str">
            <v>记-0058</v>
          </cell>
          <cell r="D1572" t="str">
            <v>085</v>
          </cell>
          <cell r="E1572" t="str">
            <v>勾翅</v>
          </cell>
          <cell r="F1572" t="str">
            <v>结转销售成本</v>
          </cell>
          <cell r="G1572">
            <v>929.45100000000002</v>
          </cell>
          <cell r="H1572">
            <v>0</v>
          </cell>
          <cell r="I1572">
            <v>0</v>
          </cell>
          <cell r="J1572">
            <v>10</v>
          </cell>
          <cell r="K1572">
            <v>9294.51</v>
          </cell>
          <cell r="L1572" t="str">
            <v>贷</v>
          </cell>
          <cell r="M1572">
            <v>10</v>
          </cell>
          <cell r="N1572">
            <v>0</v>
          </cell>
          <cell r="O1572">
            <v>9294.51</v>
          </cell>
        </row>
        <row r="1573">
          <cell r="A1573" t="str">
            <v>02</v>
          </cell>
          <cell r="B1573" t="str">
            <v>28</v>
          </cell>
          <cell r="C1573" t="str">
            <v>记-0058</v>
          </cell>
          <cell r="D1573" t="str">
            <v>085</v>
          </cell>
          <cell r="E1573" t="str">
            <v>勾翅</v>
          </cell>
          <cell r="F1573" t="str">
            <v>结转销售成本</v>
          </cell>
          <cell r="G1573">
            <v>1035.73867</v>
          </cell>
          <cell r="H1573">
            <v>0</v>
          </cell>
          <cell r="I1573">
            <v>0</v>
          </cell>
          <cell r="J1573">
            <v>7.5</v>
          </cell>
          <cell r="K1573">
            <v>7768.04</v>
          </cell>
          <cell r="L1573" t="str">
            <v>贷</v>
          </cell>
          <cell r="M1573">
            <v>17.5</v>
          </cell>
          <cell r="N1573">
            <v>0</v>
          </cell>
          <cell r="O1573">
            <v>17062.55</v>
          </cell>
        </row>
        <row r="1574">
          <cell r="A1574" t="str">
            <v>02</v>
          </cell>
          <cell r="B1574" t="str">
            <v>28</v>
          </cell>
          <cell r="C1574" t="str">
            <v>记-0058</v>
          </cell>
          <cell r="D1574" t="str">
            <v>085</v>
          </cell>
          <cell r="E1574" t="str">
            <v>勾翅</v>
          </cell>
          <cell r="F1574" t="str">
            <v>结转销售成本</v>
          </cell>
          <cell r="G1574">
            <v>1182.93778</v>
          </cell>
          <cell r="H1574">
            <v>0</v>
          </cell>
          <cell r="I1574">
            <v>0</v>
          </cell>
          <cell r="J1574">
            <v>15.75</v>
          </cell>
          <cell r="K1574">
            <v>18631.27</v>
          </cell>
          <cell r="L1574" t="str">
            <v>贷</v>
          </cell>
          <cell r="M1574">
            <v>33.25</v>
          </cell>
          <cell r="N1574">
            <v>0</v>
          </cell>
          <cell r="O1574">
            <v>35693.82</v>
          </cell>
        </row>
        <row r="1575">
          <cell r="A1575" t="str">
            <v>02</v>
          </cell>
          <cell r="B1575" t="str">
            <v>28</v>
          </cell>
          <cell r="C1575" t="str">
            <v>记-0058</v>
          </cell>
          <cell r="D1575" t="str">
            <v>085</v>
          </cell>
          <cell r="E1575" t="str">
            <v>勾翅</v>
          </cell>
          <cell r="F1575" t="str">
            <v>结转销售成本</v>
          </cell>
          <cell r="G1575">
            <v>1098.44217</v>
          </cell>
          <cell r="H1575">
            <v>0</v>
          </cell>
          <cell r="I1575">
            <v>0</v>
          </cell>
          <cell r="J1575">
            <v>8.3000000000000007</v>
          </cell>
          <cell r="K1575">
            <v>9117.07</v>
          </cell>
          <cell r="L1575" t="str">
            <v>贷</v>
          </cell>
          <cell r="M1575">
            <v>41.55</v>
          </cell>
          <cell r="N1575">
            <v>0</v>
          </cell>
          <cell r="O1575">
            <v>44810.89</v>
          </cell>
        </row>
        <row r="1576">
          <cell r="A1576" t="str">
            <v>02</v>
          </cell>
          <cell r="B1576" t="str">
            <v>28</v>
          </cell>
          <cell r="C1576" t="str">
            <v>记-0068</v>
          </cell>
          <cell r="D1576" t="str">
            <v>085</v>
          </cell>
          <cell r="E1576" t="str">
            <v>勾翅</v>
          </cell>
          <cell r="F1576" t="str">
            <v>收购产品</v>
          </cell>
          <cell r="G1576">
            <v>929.45100000000002</v>
          </cell>
          <cell r="H1576">
            <v>10</v>
          </cell>
          <cell r="I1576">
            <v>9294.51</v>
          </cell>
          <cell r="J1576">
            <v>0</v>
          </cell>
          <cell r="K1576">
            <v>0</v>
          </cell>
          <cell r="L1576" t="str">
            <v>贷</v>
          </cell>
          <cell r="M1576">
            <v>31.55</v>
          </cell>
          <cell r="N1576">
            <v>0</v>
          </cell>
          <cell r="O1576">
            <v>35516.379999999997</v>
          </cell>
        </row>
        <row r="1577">
          <cell r="A1577" t="str">
            <v>02</v>
          </cell>
          <cell r="B1577" t="str">
            <v>28</v>
          </cell>
          <cell r="C1577" t="str">
            <v>记-0068</v>
          </cell>
          <cell r="D1577" t="str">
            <v>085</v>
          </cell>
          <cell r="E1577" t="str">
            <v>勾翅</v>
          </cell>
          <cell r="F1577" t="str">
            <v>收购产品</v>
          </cell>
          <cell r="G1577">
            <v>1035.73867</v>
          </cell>
          <cell r="H1577">
            <v>7.5</v>
          </cell>
          <cell r="I1577">
            <v>7768.04</v>
          </cell>
          <cell r="J1577">
            <v>0</v>
          </cell>
          <cell r="K1577">
            <v>0</v>
          </cell>
          <cell r="L1577" t="str">
            <v>贷</v>
          </cell>
          <cell r="M1577">
            <v>24.05</v>
          </cell>
          <cell r="N1577">
            <v>0</v>
          </cell>
          <cell r="O1577">
            <v>27748.34</v>
          </cell>
        </row>
        <row r="1578">
          <cell r="A1578" t="str">
            <v>02</v>
          </cell>
          <cell r="B1578" t="str">
            <v>28</v>
          </cell>
          <cell r="C1578" t="str">
            <v>记-0068</v>
          </cell>
          <cell r="D1578" t="str">
            <v>085</v>
          </cell>
          <cell r="E1578" t="str">
            <v>勾翅</v>
          </cell>
          <cell r="F1578" t="str">
            <v>收购产品</v>
          </cell>
          <cell r="G1578">
            <v>1182.93778</v>
          </cell>
          <cell r="H1578">
            <v>15.75</v>
          </cell>
          <cell r="I1578">
            <v>18631.27</v>
          </cell>
          <cell r="J1578">
            <v>0</v>
          </cell>
          <cell r="K1578">
            <v>0</v>
          </cell>
          <cell r="L1578" t="str">
            <v>贷</v>
          </cell>
          <cell r="M1578">
            <v>8.3000000000000007</v>
          </cell>
          <cell r="N1578">
            <v>0</v>
          </cell>
          <cell r="O1578">
            <v>9117.07</v>
          </cell>
        </row>
        <row r="1579">
          <cell r="A1579" t="str">
            <v>02</v>
          </cell>
          <cell r="B1579" t="str">
            <v>28</v>
          </cell>
          <cell r="C1579" t="str">
            <v>记-0068</v>
          </cell>
          <cell r="D1579" t="str">
            <v>085</v>
          </cell>
          <cell r="E1579" t="str">
            <v>勾翅</v>
          </cell>
          <cell r="F1579" t="str">
            <v>收购产品</v>
          </cell>
          <cell r="G1579">
            <v>1098.44217</v>
          </cell>
          <cell r="H1579">
            <v>8.3000000000000007</v>
          </cell>
          <cell r="I1579">
            <v>9117.07</v>
          </cell>
          <cell r="J1579">
            <v>0</v>
          </cell>
          <cell r="K1579">
            <v>0</v>
          </cell>
          <cell r="L1579" t="str">
            <v>平</v>
          </cell>
          <cell r="M1579">
            <v>0</v>
          </cell>
          <cell r="N1579">
            <v>0</v>
          </cell>
          <cell r="O1579">
            <v>0</v>
          </cell>
        </row>
        <row r="1580">
          <cell r="A1580" t="str">
            <v>02</v>
          </cell>
          <cell r="F1580" t="str">
            <v>本月合计</v>
          </cell>
          <cell r="G1580">
            <v>0</v>
          </cell>
          <cell r="H1580">
            <v>41.55</v>
          </cell>
          <cell r="I1580">
            <v>44810.89</v>
          </cell>
          <cell r="J1580">
            <v>41.55</v>
          </cell>
          <cell r="K1580">
            <v>44810.89</v>
          </cell>
          <cell r="L1580" t="str">
            <v>平</v>
          </cell>
          <cell r="M1580">
            <v>0</v>
          </cell>
          <cell r="N1580">
            <v>0</v>
          </cell>
          <cell r="O1580">
            <v>0</v>
          </cell>
        </row>
        <row r="1581">
          <cell r="A1581" t="str">
            <v>02</v>
          </cell>
          <cell r="F1581" t="str">
            <v>累    计</v>
          </cell>
          <cell r="G1581">
            <v>0</v>
          </cell>
          <cell r="H1581">
            <v>41.55</v>
          </cell>
          <cell r="I1581">
            <v>44810.89</v>
          </cell>
          <cell r="J1581">
            <v>41.55</v>
          </cell>
          <cell r="K1581">
            <v>44810.89</v>
          </cell>
          <cell r="L1581" t="str">
            <v>平</v>
          </cell>
          <cell r="M1581">
            <v>0</v>
          </cell>
          <cell r="N1581">
            <v>0</v>
          </cell>
          <cell r="O1581">
            <v>0</v>
          </cell>
        </row>
        <row r="1582">
          <cell r="A1582" t="str">
            <v>06</v>
          </cell>
          <cell r="B1582" t="str">
            <v>24</v>
          </cell>
          <cell r="C1582" t="str">
            <v>记-0022</v>
          </cell>
          <cell r="D1582" t="str">
            <v>085</v>
          </cell>
          <cell r="E1582" t="str">
            <v>勾翅</v>
          </cell>
          <cell r="F1582" t="str">
            <v>收购产品</v>
          </cell>
          <cell r="G1582">
            <v>900.72244999999998</v>
          </cell>
          <cell r="H1582">
            <v>9.6199999999999992</v>
          </cell>
          <cell r="I1582">
            <v>8664.9500000000007</v>
          </cell>
          <cell r="J1582">
            <v>0</v>
          </cell>
          <cell r="K1582">
            <v>0</v>
          </cell>
          <cell r="L1582" t="str">
            <v>借</v>
          </cell>
          <cell r="M1582">
            <v>9.6199999999999992</v>
          </cell>
          <cell r="N1582">
            <v>0</v>
          </cell>
          <cell r="O1582">
            <v>8664.9500000000007</v>
          </cell>
        </row>
        <row r="1583">
          <cell r="A1583" t="str">
            <v>06</v>
          </cell>
          <cell r="B1583" t="str">
            <v>24</v>
          </cell>
          <cell r="C1583" t="str">
            <v>记-0032</v>
          </cell>
          <cell r="D1583" t="str">
            <v>085</v>
          </cell>
          <cell r="E1583" t="str">
            <v>勾翅</v>
          </cell>
          <cell r="F1583" t="str">
            <v>转成本</v>
          </cell>
          <cell r="G1583">
            <v>900.72244999999998</v>
          </cell>
          <cell r="H1583">
            <v>0</v>
          </cell>
          <cell r="I1583">
            <v>0</v>
          </cell>
          <cell r="J1583">
            <v>9.6199999999999992</v>
          </cell>
          <cell r="K1583">
            <v>8664.9500000000007</v>
          </cell>
          <cell r="L1583" t="str">
            <v>平</v>
          </cell>
          <cell r="M1583">
            <v>0</v>
          </cell>
          <cell r="N1583">
            <v>0</v>
          </cell>
          <cell r="O1583">
            <v>0</v>
          </cell>
        </row>
        <row r="1584">
          <cell r="A1584" t="str">
            <v>06</v>
          </cell>
          <cell r="F1584" t="str">
            <v>本月合计</v>
          </cell>
          <cell r="G1584">
            <v>0</v>
          </cell>
          <cell r="H1584">
            <v>9.6199999999999992</v>
          </cell>
          <cell r="I1584">
            <v>8664.9500000000007</v>
          </cell>
          <cell r="J1584">
            <v>9.6199999999999992</v>
          </cell>
          <cell r="K1584">
            <v>8664.9500000000007</v>
          </cell>
          <cell r="L1584" t="str">
            <v>平</v>
          </cell>
          <cell r="M1584">
            <v>0</v>
          </cell>
          <cell r="N1584">
            <v>0</v>
          </cell>
          <cell r="O1584">
            <v>0</v>
          </cell>
        </row>
        <row r="1585">
          <cell r="A1585" t="str">
            <v>06</v>
          </cell>
          <cell r="F1585" t="str">
            <v>累    计</v>
          </cell>
          <cell r="G1585">
            <v>0</v>
          </cell>
          <cell r="H1585">
            <v>51.17</v>
          </cell>
          <cell r="I1585">
            <v>53475.839999999997</v>
          </cell>
          <cell r="J1585">
            <v>51.17</v>
          </cell>
          <cell r="K1585">
            <v>53475.839999999997</v>
          </cell>
          <cell r="L1585" t="str">
            <v>平</v>
          </cell>
          <cell r="M1585">
            <v>0</v>
          </cell>
          <cell r="N1585">
            <v>0</v>
          </cell>
          <cell r="O1585">
            <v>0</v>
          </cell>
        </row>
        <row r="1586">
          <cell r="A1586" t="str">
            <v>08</v>
          </cell>
          <cell r="B1586" t="str">
            <v>25</v>
          </cell>
          <cell r="C1586" t="str">
            <v>记-0057</v>
          </cell>
          <cell r="D1586" t="str">
            <v>085</v>
          </cell>
          <cell r="E1586" t="str">
            <v>勾翅</v>
          </cell>
          <cell r="F1586" t="str">
            <v>结转成本</v>
          </cell>
          <cell r="G1586">
            <v>1098.4422400000001</v>
          </cell>
          <cell r="H1586">
            <v>0</v>
          </cell>
          <cell r="I1586">
            <v>0</v>
          </cell>
          <cell r="J1586">
            <v>15.15</v>
          </cell>
          <cell r="K1586">
            <v>16641.400000000001</v>
          </cell>
          <cell r="L1586" t="str">
            <v>贷</v>
          </cell>
          <cell r="M1586">
            <v>15.15</v>
          </cell>
          <cell r="N1586">
            <v>0</v>
          </cell>
          <cell r="O1586">
            <v>16641.400000000001</v>
          </cell>
        </row>
        <row r="1587">
          <cell r="A1587" t="str">
            <v>08</v>
          </cell>
          <cell r="B1587" t="str">
            <v>25</v>
          </cell>
          <cell r="C1587" t="str">
            <v>记-0064</v>
          </cell>
          <cell r="D1587" t="str">
            <v>085</v>
          </cell>
          <cell r="E1587" t="str">
            <v>勾翅</v>
          </cell>
          <cell r="F1587" t="str">
            <v>收购产品</v>
          </cell>
          <cell r="G1587">
            <v>1098.4422400000001</v>
          </cell>
          <cell r="H1587">
            <v>15.15</v>
          </cell>
          <cell r="I1587">
            <v>16641.400000000001</v>
          </cell>
          <cell r="J1587">
            <v>0</v>
          </cell>
          <cell r="K1587">
            <v>0</v>
          </cell>
          <cell r="L1587" t="str">
            <v>平</v>
          </cell>
          <cell r="M1587">
            <v>0</v>
          </cell>
          <cell r="N1587">
            <v>0</v>
          </cell>
          <cell r="O1587">
            <v>0</v>
          </cell>
        </row>
        <row r="1588">
          <cell r="A1588" t="str">
            <v>08</v>
          </cell>
          <cell r="F1588" t="str">
            <v>本月合计</v>
          </cell>
          <cell r="G1588">
            <v>0</v>
          </cell>
          <cell r="H1588">
            <v>15.15</v>
          </cell>
          <cell r="I1588">
            <v>16641.400000000001</v>
          </cell>
          <cell r="J1588">
            <v>15.15</v>
          </cell>
          <cell r="K1588">
            <v>16641.400000000001</v>
          </cell>
          <cell r="L1588" t="str">
            <v>平</v>
          </cell>
          <cell r="M1588">
            <v>0</v>
          </cell>
          <cell r="N1588">
            <v>0</v>
          </cell>
          <cell r="O1588">
            <v>0</v>
          </cell>
        </row>
        <row r="1589">
          <cell r="A1589" t="str">
            <v>08</v>
          </cell>
          <cell r="F1589" t="str">
            <v>累    计</v>
          </cell>
          <cell r="G1589">
            <v>0</v>
          </cell>
          <cell r="H1589">
            <v>66.319999999999993</v>
          </cell>
          <cell r="I1589">
            <v>70117.240000000005</v>
          </cell>
          <cell r="J1589">
            <v>66.319999999999993</v>
          </cell>
          <cell r="K1589">
            <v>70117.240000000005</v>
          </cell>
          <cell r="L1589" t="str">
            <v>平</v>
          </cell>
          <cell r="M1589">
            <v>0</v>
          </cell>
          <cell r="N1589">
            <v>0</v>
          </cell>
          <cell r="O1589">
            <v>0</v>
          </cell>
        </row>
        <row r="1590">
          <cell r="A1590" t="str">
            <v>09</v>
          </cell>
          <cell r="B1590" t="str">
            <v>22</v>
          </cell>
          <cell r="C1590" t="str">
            <v>记-0025</v>
          </cell>
          <cell r="D1590" t="str">
            <v>085</v>
          </cell>
          <cell r="E1590" t="str">
            <v>勾翅</v>
          </cell>
          <cell r="F1590" t="str">
            <v>结转成本</v>
          </cell>
          <cell r="G1590">
            <v>929.45167000000004</v>
          </cell>
          <cell r="H1590">
            <v>0</v>
          </cell>
          <cell r="I1590">
            <v>0</v>
          </cell>
          <cell r="J1590">
            <v>18</v>
          </cell>
          <cell r="K1590">
            <v>16730.13</v>
          </cell>
          <cell r="L1590" t="str">
            <v>贷</v>
          </cell>
          <cell r="M1590">
            <v>18</v>
          </cell>
          <cell r="N1590">
            <v>0</v>
          </cell>
          <cell r="O1590">
            <v>16730.13</v>
          </cell>
        </row>
        <row r="1591">
          <cell r="A1591" t="str">
            <v>09</v>
          </cell>
          <cell r="B1591" t="str">
            <v>22</v>
          </cell>
          <cell r="C1591" t="str">
            <v>记-0036</v>
          </cell>
          <cell r="D1591" t="str">
            <v>085</v>
          </cell>
          <cell r="E1591" t="str">
            <v>勾翅</v>
          </cell>
          <cell r="F1591" t="str">
            <v>收购产品</v>
          </cell>
          <cell r="G1591">
            <v>929.45167000000004</v>
          </cell>
          <cell r="H1591">
            <v>18</v>
          </cell>
          <cell r="I1591">
            <v>16730.13</v>
          </cell>
          <cell r="J1591">
            <v>0</v>
          </cell>
          <cell r="K1591">
            <v>0</v>
          </cell>
          <cell r="L1591" t="str">
            <v>平</v>
          </cell>
          <cell r="M1591">
            <v>0</v>
          </cell>
          <cell r="N1591">
            <v>0</v>
          </cell>
          <cell r="O1591">
            <v>0</v>
          </cell>
        </row>
        <row r="1592">
          <cell r="A1592" t="str">
            <v>09</v>
          </cell>
          <cell r="F1592" t="str">
            <v>本月合计</v>
          </cell>
          <cell r="G1592">
            <v>0</v>
          </cell>
          <cell r="H1592">
            <v>18</v>
          </cell>
          <cell r="I1592">
            <v>16730.13</v>
          </cell>
          <cell r="J1592">
            <v>18</v>
          </cell>
          <cell r="K1592">
            <v>16730.13</v>
          </cell>
          <cell r="L1592" t="str">
            <v>平</v>
          </cell>
          <cell r="M1592">
            <v>0</v>
          </cell>
          <cell r="N1592">
            <v>0</v>
          </cell>
          <cell r="O1592">
            <v>0</v>
          </cell>
        </row>
        <row r="1593">
          <cell r="A1593" t="str">
            <v>09</v>
          </cell>
          <cell r="F1593" t="str">
            <v>累    计</v>
          </cell>
          <cell r="G1593">
            <v>0</v>
          </cell>
          <cell r="H1593">
            <v>84.32</v>
          </cell>
          <cell r="I1593">
            <v>86847.37</v>
          </cell>
          <cell r="J1593">
            <v>84.32</v>
          </cell>
          <cell r="K1593">
            <v>86847.37</v>
          </cell>
          <cell r="L1593" t="str">
            <v>平</v>
          </cell>
          <cell r="M1593">
            <v>0</v>
          </cell>
          <cell r="N1593">
            <v>0</v>
          </cell>
          <cell r="O1593">
            <v>0</v>
          </cell>
        </row>
        <row r="1594">
          <cell r="A1594" t="str">
            <v>12</v>
          </cell>
          <cell r="B1594" t="str">
            <v>11</v>
          </cell>
          <cell r="C1594" t="str">
            <v>记-0024</v>
          </cell>
          <cell r="D1594" t="str">
            <v>085</v>
          </cell>
          <cell r="E1594" t="str">
            <v>勾翅</v>
          </cell>
          <cell r="F1594" t="str">
            <v>收购产品</v>
          </cell>
          <cell r="G1594">
            <v>991.13292999999999</v>
          </cell>
          <cell r="H1594">
            <v>8.1999999999999993</v>
          </cell>
          <cell r="I1594">
            <v>8127.29</v>
          </cell>
          <cell r="J1594">
            <v>0</v>
          </cell>
          <cell r="K1594">
            <v>0</v>
          </cell>
          <cell r="L1594" t="str">
            <v>借</v>
          </cell>
          <cell r="M1594">
            <v>8.1999999999999993</v>
          </cell>
          <cell r="N1594">
            <v>0</v>
          </cell>
          <cell r="O1594">
            <v>8127.29</v>
          </cell>
        </row>
        <row r="1595">
          <cell r="A1595" t="str">
            <v>12</v>
          </cell>
          <cell r="B1595" t="str">
            <v>11</v>
          </cell>
          <cell r="C1595" t="str">
            <v>记-0024</v>
          </cell>
          <cell r="D1595" t="str">
            <v>085</v>
          </cell>
          <cell r="E1595" t="str">
            <v>勾翅</v>
          </cell>
          <cell r="F1595" t="str">
            <v>收购产品</v>
          </cell>
          <cell r="G1595">
            <v>1260.8430800000001</v>
          </cell>
          <cell r="H1595">
            <v>6.5</v>
          </cell>
          <cell r="I1595">
            <v>8195.48</v>
          </cell>
          <cell r="J1595">
            <v>0</v>
          </cell>
          <cell r="K1595">
            <v>0</v>
          </cell>
          <cell r="L1595" t="str">
            <v>借</v>
          </cell>
          <cell r="M1595">
            <v>14.7</v>
          </cell>
          <cell r="N1595">
            <v>0</v>
          </cell>
          <cell r="O1595">
            <v>16322.77</v>
          </cell>
        </row>
        <row r="1596">
          <cell r="A1596" t="str">
            <v>12</v>
          </cell>
          <cell r="B1596" t="str">
            <v>11</v>
          </cell>
          <cell r="C1596" t="str">
            <v>记-0024</v>
          </cell>
          <cell r="D1596" t="str">
            <v>085</v>
          </cell>
          <cell r="E1596" t="str">
            <v>勾翅</v>
          </cell>
          <cell r="F1596" t="str">
            <v>收购产品</v>
          </cell>
          <cell r="G1596">
            <v>1441.0716</v>
          </cell>
          <cell r="H1596">
            <v>8.1</v>
          </cell>
          <cell r="I1596">
            <v>11672.68</v>
          </cell>
          <cell r="J1596">
            <v>0</v>
          </cell>
          <cell r="K1596">
            <v>0</v>
          </cell>
          <cell r="L1596" t="str">
            <v>借</v>
          </cell>
          <cell r="M1596">
            <v>22.8</v>
          </cell>
          <cell r="N1596">
            <v>0</v>
          </cell>
          <cell r="O1596">
            <v>27995.45</v>
          </cell>
        </row>
        <row r="1597">
          <cell r="A1597" t="str">
            <v>12</v>
          </cell>
          <cell r="B1597" t="str">
            <v>11</v>
          </cell>
          <cell r="C1597" t="str">
            <v>记-0024</v>
          </cell>
          <cell r="D1597" t="str">
            <v>085</v>
          </cell>
          <cell r="E1597" t="str">
            <v>勾翅</v>
          </cell>
          <cell r="F1597" t="str">
            <v>收购产品</v>
          </cell>
          <cell r="G1597">
            <v>990.7106</v>
          </cell>
          <cell r="H1597">
            <v>50</v>
          </cell>
          <cell r="I1597">
            <v>49535.53</v>
          </cell>
          <cell r="J1597">
            <v>0</v>
          </cell>
          <cell r="K1597">
            <v>0</v>
          </cell>
          <cell r="L1597" t="str">
            <v>借</v>
          </cell>
          <cell r="M1597">
            <v>72.8</v>
          </cell>
          <cell r="N1597">
            <v>0</v>
          </cell>
          <cell r="O1597">
            <v>77530.98</v>
          </cell>
        </row>
        <row r="1598">
          <cell r="A1598" t="str">
            <v>12</v>
          </cell>
          <cell r="B1598" t="str">
            <v>11</v>
          </cell>
          <cell r="C1598" t="str">
            <v>记-0033</v>
          </cell>
          <cell r="D1598" t="str">
            <v>085</v>
          </cell>
          <cell r="E1598" t="str">
            <v>勾翅</v>
          </cell>
          <cell r="F1598" t="str">
            <v>结转成本</v>
          </cell>
          <cell r="G1598">
            <v>991.13292999999999</v>
          </cell>
          <cell r="H1598">
            <v>0</v>
          </cell>
          <cell r="I1598">
            <v>0</v>
          </cell>
          <cell r="J1598">
            <v>8.1999999999999993</v>
          </cell>
          <cell r="K1598">
            <v>8127.29</v>
          </cell>
          <cell r="L1598" t="str">
            <v>借</v>
          </cell>
          <cell r="M1598">
            <v>64.599999999999994</v>
          </cell>
          <cell r="N1598">
            <v>0</v>
          </cell>
          <cell r="O1598">
            <v>69403.69</v>
          </cell>
        </row>
        <row r="1599">
          <cell r="A1599" t="str">
            <v>12</v>
          </cell>
          <cell r="B1599" t="str">
            <v>11</v>
          </cell>
          <cell r="C1599" t="str">
            <v>记-0033</v>
          </cell>
          <cell r="D1599" t="str">
            <v>085</v>
          </cell>
          <cell r="E1599" t="str">
            <v>勾翅</v>
          </cell>
          <cell r="F1599" t="str">
            <v>结转成本</v>
          </cell>
          <cell r="G1599">
            <v>1260.8430800000001</v>
          </cell>
          <cell r="H1599">
            <v>0</v>
          </cell>
          <cell r="I1599">
            <v>0</v>
          </cell>
          <cell r="J1599">
            <v>6.5</v>
          </cell>
          <cell r="K1599">
            <v>8195.48</v>
          </cell>
          <cell r="L1599" t="str">
            <v>借</v>
          </cell>
          <cell r="M1599">
            <v>58.1</v>
          </cell>
          <cell r="N1599">
            <v>0</v>
          </cell>
          <cell r="O1599">
            <v>61208.21</v>
          </cell>
        </row>
        <row r="1600">
          <cell r="A1600" t="str">
            <v>12</v>
          </cell>
          <cell r="B1600" t="str">
            <v>11</v>
          </cell>
          <cell r="C1600" t="str">
            <v>记-0033</v>
          </cell>
          <cell r="D1600" t="str">
            <v>085</v>
          </cell>
          <cell r="E1600" t="str">
            <v>勾翅</v>
          </cell>
          <cell r="F1600" t="str">
            <v>结转成本</v>
          </cell>
          <cell r="G1600">
            <v>1441.0716</v>
          </cell>
          <cell r="H1600">
            <v>0</v>
          </cell>
          <cell r="I1600">
            <v>0</v>
          </cell>
          <cell r="J1600">
            <v>8.1</v>
          </cell>
          <cell r="K1600">
            <v>11672.68</v>
          </cell>
          <cell r="L1600" t="str">
            <v>借</v>
          </cell>
          <cell r="M1600">
            <v>50</v>
          </cell>
          <cell r="N1600">
            <v>0</v>
          </cell>
          <cell r="O1600">
            <v>49535.53</v>
          </cell>
        </row>
        <row r="1601">
          <cell r="A1601" t="str">
            <v>12</v>
          </cell>
          <cell r="B1601" t="str">
            <v>11</v>
          </cell>
          <cell r="C1601" t="str">
            <v>记-0033</v>
          </cell>
          <cell r="D1601" t="str">
            <v>085</v>
          </cell>
          <cell r="E1601" t="str">
            <v>勾翅</v>
          </cell>
          <cell r="F1601" t="str">
            <v>结转成本</v>
          </cell>
          <cell r="G1601">
            <v>990.7106</v>
          </cell>
          <cell r="H1601">
            <v>0</v>
          </cell>
          <cell r="I1601">
            <v>0</v>
          </cell>
          <cell r="J1601">
            <v>50</v>
          </cell>
          <cell r="K1601">
            <v>49535.53</v>
          </cell>
          <cell r="L1601" t="str">
            <v>平</v>
          </cell>
          <cell r="M1601">
            <v>0</v>
          </cell>
          <cell r="N1601">
            <v>0</v>
          </cell>
          <cell r="O1601">
            <v>0</v>
          </cell>
        </row>
        <row r="1602">
          <cell r="A1602" t="str">
            <v>12</v>
          </cell>
          <cell r="F1602" t="str">
            <v>本月合计</v>
          </cell>
          <cell r="G1602">
            <v>0</v>
          </cell>
          <cell r="H1602">
            <v>72.8</v>
          </cell>
          <cell r="I1602">
            <v>77530.98</v>
          </cell>
          <cell r="J1602">
            <v>72.8</v>
          </cell>
          <cell r="K1602">
            <v>77530.98</v>
          </cell>
          <cell r="L1602" t="str">
            <v>平</v>
          </cell>
          <cell r="M1602">
            <v>0</v>
          </cell>
          <cell r="N1602">
            <v>0</v>
          </cell>
          <cell r="O1602">
            <v>0</v>
          </cell>
        </row>
        <row r="1603">
          <cell r="A1603" t="str">
            <v>12</v>
          </cell>
          <cell r="E1603" t="str">
            <v>勾翅</v>
          </cell>
          <cell r="F1603" t="str">
            <v>本年累计</v>
          </cell>
          <cell r="G1603">
            <v>0</v>
          </cell>
          <cell r="H1603">
            <v>157.12</v>
          </cell>
          <cell r="I1603">
            <v>164378.35</v>
          </cell>
          <cell r="J1603">
            <v>157.12</v>
          </cell>
          <cell r="K1603">
            <v>164378.35</v>
          </cell>
          <cell r="L1603" t="str">
            <v>平</v>
          </cell>
          <cell r="M1603">
            <v>0</v>
          </cell>
          <cell r="N1603">
            <v>0</v>
          </cell>
          <cell r="O1603">
            <v>0</v>
          </cell>
        </row>
        <row r="1604">
          <cell r="A1604" t="str">
            <v>03</v>
          </cell>
          <cell r="B1604" t="str">
            <v>31</v>
          </cell>
          <cell r="C1604" t="str">
            <v>记-0039</v>
          </cell>
          <cell r="D1604" t="str">
            <v>086</v>
          </cell>
          <cell r="E1604" t="str">
            <v>高丽参须</v>
          </cell>
          <cell r="F1604" t="str">
            <v>转库存</v>
          </cell>
          <cell r="G1604">
            <v>68.441360000000003</v>
          </cell>
          <cell r="H1604">
            <v>0</v>
          </cell>
          <cell r="I1604">
            <v>0</v>
          </cell>
          <cell r="J1604">
            <v>51.5</v>
          </cell>
          <cell r="K1604">
            <v>3524.73</v>
          </cell>
          <cell r="L1604" t="str">
            <v>贷</v>
          </cell>
          <cell r="M1604">
            <v>51.5</v>
          </cell>
          <cell r="N1604">
            <v>0</v>
          </cell>
          <cell r="O1604">
            <v>3524.73</v>
          </cell>
        </row>
        <row r="1605">
          <cell r="A1605" t="str">
            <v>03</v>
          </cell>
          <cell r="B1605" t="str">
            <v>31</v>
          </cell>
          <cell r="C1605" t="str">
            <v>记-0053</v>
          </cell>
          <cell r="D1605" t="str">
            <v>086</v>
          </cell>
          <cell r="E1605" t="str">
            <v>高丽参须</v>
          </cell>
          <cell r="F1605" t="str">
            <v>收购产品</v>
          </cell>
          <cell r="G1605">
            <v>68.441360000000003</v>
          </cell>
          <cell r="H1605">
            <v>51.5</v>
          </cell>
          <cell r="I1605">
            <v>3524.73</v>
          </cell>
          <cell r="J1605">
            <v>0</v>
          </cell>
          <cell r="K1605">
            <v>0</v>
          </cell>
          <cell r="L1605" t="str">
            <v>平</v>
          </cell>
          <cell r="M1605">
            <v>0</v>
          </cell>
          <cell r="N1605">
            <v>0</v>
          </cell>
          <cell r="O1605">
            <v>0</v>
          </cell>
        </row>
        <row r="1606">
          <cell r="A1606" t="str">
            <v>03</v>
          </cell>
          <cell r="F1606" t="str">
            <v>本月合计</v>
          </cell>
          <cell r="G1606">
            <v>0</v>
          </cell>
          <cell r="H1606">
            <v>51.5</v>
          </cell>
          <cell r="I1606">
            <v>3524.73</v>
          </cell>
          <cell r="J1606">
            <v>51.5</v>
          </cell>
          <cell r="K1606">
            <v>3524.73</v>
          </cell>
          <cell r="L1606" t="str">
            <v>平</v>
          </cell>
          <cell r="M1606">
            <v>0</v>
          </cell>
          <cell r="N1606">
            <v>0</v>
          </cell>
          <cell r="O1606">
            <v>0</v>
          </cell>
        </row>
        <row r="1607">
          <cell r="A1607" t="str">
            <v>03</v>
          </cell>
          <cell r="E1607" t="str">
            <v>高丽参须</v>
          </cell>
          <cell r="F1607" t="str">
            <v>本年累计</v>
          </cell>
          <cell r="G1607">
            <v>0</v>
          </cell>
          <cell r="H1607">
            <v>51.5</v>
          </cell>
          <cell r="I1607">
            <v>3524.73</v>
          </cell>
          <cell r="J1607">
            <v>51.5</v>
          </cell>
          <cell r="K1607">
            <v>3524.73</v>
          </cell>
          <cell r="L1607" t="str">
            <v>平</v>
          </cell>
          <cell r="M1607">
            <v>0</v>
          </cell>
          <cell r="N1607">
            <v>0</v>
          </cell>
          <cell r="O1607">
            <v>0</v>
          </cell>
        </row>
        <row r="1608">
          <cell r="A1608" t="str">
            <v>02</v>
          </cell>
          <cell r="B1608" t="str">
            <v>28</v>
          </cell>
          <cell r="C1608" t="str">
            <v>记-0058</v>
          </cell>
          <cell r="D1608" t="str">
            <v>087</v>
          </cell>
          <cell r="E1608" t="str">
            <v>杏翅饼</v>
          </cell>
          <cell r="F1608" t="str">
            <v>结转销售成本</v>
          </cell>
          <cell r="G1608">
            <v>432.89620000000002</v>
          </cell>
          <cell r="H1608">
            <v>0</v>
          </cell>
          <cell r="I1608">
            <v>0</v>
          </cell>
          <cell r="J1608">
            <v>208.1</v>
          </cell>
          <cell r="K1608">
            <v>90085.7</v>
          </cell>
          <cell r="L1608" t="str">
            <v>贷</v>
          </cell>
          <cell r="M1608">
            <v>208.1</v>
          </cell>
          <cell r="N1608">
            <v>0</v>
          </cell>
          <cell r="O1608">
            <v>90085.7</v>
          </cell>
        </row>
        <row r="1609">
          <cell r="A1609" t="str">
            <v>02</v>
          </cell>
          <cell r="B1609" t="str">
            <v>28</v>
          </cell>
          <cell r="C1609" t="str">
            <v>记-0068</v>
          </cell>
          <cell r="D1609" t="str">
            <v>087</v>
          </cell>
          <cell r="E1609" t="str">
            <v>杏翅饼</v>
          </cell>
          <cell r="F1609" t="str">
            <v>收购产品</v>
          </cell>
          <cell r="G1609">
            <v>432.89620000000002</v>
          </cell>
          <cell r="H1609">
            <v>208.1</v>
          </cell>
          <cell r="I1609">
            <v>90085.7</v>
          </cell>
          <cell r="J1609">
            <v>0</v>
          </cell>
          <cell r="K1609">
            <v>0</v>
          </cell>
          <cell r="L1609" t="str">
            <v>平</v>
          </cell>
          <cell r="M1609">
            <v>0</v>
          </cell>
          <cell r="N1609">
            <v>0</v>
          </cell>
          <cell r="O1609">
            <v>0</v>
          </cell>
        </row>
        <row r="1610">
          <cell r="A1610" t="str">
            <v>02</v>
          </cell>
          <cell r="F1610" t="str">
            <v>本月合计</v>
          </cell>
          <cell r="G1610">
            <v>0</v>
          </cell>
          <cell r="H1610">
            <v>208.1</v>
          </cell>
          <cell r="I1610">
            <v>90085.7</v>
          </cell>
          <cell r="J1610">
            <v>208.1</v>
          </cell>
          <cell r="K1610">
            <v>90085.7</v>
          </cell>
          <cell r="L1610" t="str">
            <v>平</v>
          </cell>
          <cell r="M1610">
            <v>0</v>
          </cell>
          <cell r="N1610">
            <v>0</v>
          </cell>
          <cell r="O1610">
            <v>0</v>
          </cell>
        </row>
        <row r="1611">
          <cell r="A1611" t="str">
            <v>02</v>
          </cell>
          <cell r="F1611" t="str">
            <v>累    计</v>
          </cell>
          <cell r="G1611">
            <v>0</v>
          </cell>
          <cell r="H1611">
            <v>208.1</v>
          </cell>
          <cell r="I1611">
            <v>90085.7</v>
          </cell>
          <cell r="J1611">
            <v>208.1</v>
          </cell>
          <cell r="K1611">
            <v>90085.7</v>
          </cell>
          <cell r="L1611" t="str">
            <v>平</v>
          </cell>
          <cell r="M1611">
            <v>0</v>
          </cell>
          <cell r="N1611">
            <v>0</v>
          </cell>
          <cell r="O1611">
            <v>0</v>
          </cell>
        </row>
        <row r="1612">
          <cell r="A1612" t="str">
            <v>08</v>
          </cell>
          <cell r="B1612" t="str">
            <v>25</v>
          </cell>
          <cell r="C1612" t="str">
            <v>记-0057</v>
          </cell>
          <cell r="D1612" t="str">
            <v>087</v>
          </cell>
          <cell r="E1612" t="str">
            <v>杏翅饼</v>
          </cell>
          <cell r="F1612" t="str">
            <v>结转成本</v>
          </cell>
          <cell r="G1612">
            <v>461.43031999999999</v>
          </cell>
          <cell r="H1612">
            <v>0</v>
          </cell>
          <cell r="I1612">
            <v>0</v>
          </cell>
          <cell r="J1612">
            <v>101.32</v>
          </cell>
          <cell r="K1612">
            <v>46752.12</v>
          </cell>
          <cell r="L1612" t="str">
            <v>贷</v>
          </cell>
          <cell r="M1612">
            <v>101.32</v>
          </cell>
          <cell r="N1612">
            <v>0</v>
          </cell>
          <cell r="O1612">
            <v>46752.12</v>
          </cell>
        </row>
        <row r="1613">
          <cell r="A1613" t="str">
            <v>08</v>
          </cell>
          <cell r="B1613" t="str">
            <v>25</v>
          </cell>
          <cell r="C1613" t="str">
            <v>记-0064</v>
          </cell>
          <cell r="D1613" t="str">
            <v>087</v>
          </cell>
          <cell r="E1613" t="str">
            <v>杏翅饼</v>
          </cell>
          <cell r="F1613" t="str">
            <v>收购产品</v>
          </cell>
          <cell r="G1613">
            <v>461.43031999999999</v>
          </cell>
          <cell r="H1613">
            <v>101.32</v>
          </cell>
          <cell r="I1613">
            <v>46752.12</v>
          </cell>
          <cell r="J1613">
            <v>0</v>
          </cell>
          <cell r="K1613">
            <v>0</v>
          </cell>
          <cell r="L1613" t="str">
            <v>平</v>
          </cell>
          <cell r="M1613">
            <v>0</v>
          </cell>
          <cell r="N1613">
            <v>0</v>
          </cell>
          <cell r="O1613">
            <v>0</v>
          </cell>
        </row>
        <row r="1614">
          <cell r="A1614" t="str">
            <v>08</v>
          </cell>
          <cell r="F1614" t="str">
            <v>本月合计</v>
          </cell>
          <cell r="G1614">
            <v>0</v>
          </cell>
          <cell r="H1614">
            <v>101.32</v>
          </cell>
          <cell r="I1614">
            <v>46752.12</v>
          </cell>
          <cell r="J1614">
            <v>101.32</v>
          </cell>
          <cell r="K1614">
            <v>46752.12</v>
          </cell>
          <cell r="L1614" t="str">
            <v>平</v>
          </cell>
          <cell r="M1614">
            <v>0</v>
          </cell>
          <cell r="N1614">
            <v>0</v>
          </cell>
          <cell r="O1614">
            <v>0</v>
          </cell>
        </row>
        <row r="1615">
          <cell r="A1615" t="str">
            <v>08</v>
          </cell>
          <cell r="F1615" t="str">
            <v>累    计</v>
          </cell>
          <cell r="G1615">
            <v>0</v>
          </cell>
          <cell r="H1615">
            <v>309.42</v>
          </cell>
          <cell r="I1615">
            <v>136837.82</v>
          </cell>
          <cell r="J1615">
            <v>309.42</v>
          </cell>
          <cell r="K1615">
            <v>136837.82</v>
          </cell>
          <cell r="L1615" t="str">
            <v>平</v>
          </cell>
          <cell r="M1615">
            <v>0</v>
          </cell>
          <cell r="N1615">
            <v>0</v>
          </cell>
          <cell r="O1615">
            <v>0</v>
          </cell>
        </row>
        <row r="1616">
          <cell r="A1616" t="str">
            <v>09</v>
          </cell>
          <cell r="B1616" t="str">
            <v>22</v>
          </cell>
          <cell r="C1616" t="str">
            <v>记-0025</v>
          </cell>
          <cell r="D1616" t="str">
            <v>087</v>
          </cell>
          <cell r="E1616" t="str">
            <v>杏翅饼</v>
          </cell>
          <cell r="F1616" t="str">
            <v>结转成本</v>
          </cell>
          <cell r="G1616">
            <v>461.43016999999998</v>
          </cell>
          <cell r="H1616">
            <v>0</v>
          </cell>
          <cell r="I1616">
            <v>0</v>
          </cell>
          <cell r="J1616">
            <v>48.26</v>
          </cell>
          <cell r="K1616">
            <v>22268.62</v>
          </cell>
          <cell r="L1616" t="str">
            <v>贷</v>
          </cell>
          <cell r="M1616">
            <v>48.26</v>
          </cell>
          <cell r="N1616">
            <v>0</v>
          </cell>
          <cell r="O1616">
            <v>22268.62</v>
          </cell>
        </row>
        <row r="1617">
          <cell r="A1617" t="str">
            <v>09</v>
          </cell>
          <cell r="B1617" t="str">
            <v>22</v>
          </cell>
          <cell r="C1617" t="str">
            <v>记-0026</v>
          </cell>
          <cell r="D1617" t="str">
            <v>087</v>
          </cell>
          <cell r="E1617" t="str">
            <v>杏翅饼</v>
          </cell>
          <cell r="F1617" t="str">
            <v>结转成本</v>
          </cell>
          <cell r="G1617">
            <v>461.51481999999999</v>
          </cell>
          <cell r="H1617">
            <v>0</v>
          </cell>
          <cell r="I1617">
            <v>0</v>
          </cell>
          <cell r="J1617">
            <v>97.86</v>
          </cell>
          <cell r="K1617">
            <v>45163.839999999997</v>
          </cell>
          <cell r="L1617" t="str">
            <v>贷</v>
          </cell>
          <cell r="M1617">
            <v>146.12</v>
          </cell>
          <cell r="N1617">
            <v>0</v>
          </cell>
          <cell r="O1617">
            <v>67432.460000000006</v>
          </cell>
        </row>
        <row r="1618">
          <cell r="A1618" t="str">
            <v>09</v>
          </cell>
          <cell r="B1618" t="str">
            <v>22</v>
          </cell>
          <cell r="C1618" t="str">
            <v>记-0036</v>
          </cell>
          <cell r="D1618" t="str">
            <v>087</v>
          </cell>
          <cell r="E1618" t="str">
            <v>杏翅饼</v>
          </cell>
          <cell r="F1618" t="str">
            <v>收购产品</v>
          </cell>
          <cell r="G1618">
            <v>461.43016999999998</v>
          </cell>
          <cell r="H1618">
            <v>48.26</v>
          </cell>
          <cell r="I1618">
            <v>22268.62</v>
          </cell>
          <cell r="J1618">
            <v>0</v>
          </cell>
          <cell r="K1618">
            <v>0</v>
          </cell>
          <cell r="L1618" t="str">
            <v>贷</v>
          </cell>
          <cell r="M1618">
            <v>97.86</v>
          </cell>
          <cell r="N1618">
            <v>0</v>
          </cell>
          <cell r="O1618">
            <v>45163.839999999997</v>
          </cell>
        </row>
        <row r="1619">
          <cell r="A1619" t="str">
            <v>09</v>
          </cell>
          <cell r="B1619" t="str">
            <v>22</v>
          </cell>
          <cell r="C1619" t="str">
            <v>记-0036</v>
          </cell>
          <cell r="D1619" t="str">
            <v>087</v>
          </cell>
          <cell r="E1619" t="str">
            <v>杏翅饼</v>
          </cell>
          <cell r="F1619" t="str">
            <v>收购产品</v>
          </cell>
          <cell r="G1619">
            <v>461.51481999999999</v>
          </cell>
          <cell r="H1619">
            <v>97.86</v>
          </cell>
          <cell r="I1619">
            <v>45163.839999999997</v>
          </cell>
          <cell r="J1619">
            <v>0</v>
          </cell>
          <cell r="K1619">
            <v>0</v>
          </cell>
          <cell r="L1619" t="str">
            <v>平</v>
          </cell>
          <cell r="M1619">
            <v>0</v>
          </cell>
          <cell r="N1619">
            <v>0</v>
          </cell>
          <cell r="O1619">
            <v>0</v>
          </cell>
        </row>
        <row r="1620">
          <cell r="A1620" t="str">
            <v>09</v>
          </cell>
          <cell r="F1620" t="str">
            <v>本月合计</v>
          </cell>
          <cell r="G1620">
            <v>0</v>
          </cell>
          <cell r="H1620">
            <v>146.12</v>
          </cell>
          <cell r="I1620">
            <v>67432.460000000006</v>
          </cell>
          <cell r="J1620">
            <v>146.12</v>
          </cell>
          <cell r="K1620">
            <v>67432.460000000006</v>
          </cell>
          <cell r="L1620" t="str">
            <v>平</v>
          </cell>
          <cell r="M1620">
            <v>0</v>
          </cell>
          <cell r="N1620">
            <v>0</v>
          </cell>
          <cell r="O1620">
            <v>0</v>
          </cell>
        </row>
        <row r="1621">
          <cell r="A1621" t="str">
            <v>09</v>
          </cell>
          <cell r="F1621" t="str">
            <v>累    计</v>
          </cell>
          <cell r="G1621">
            <v>0</v>
          </cell>
          <cell r="H1621">
            <v>455.54</v>
          </cell>
          <cell r="I1621">
            <v>204270.28</v>
          </cell>
          <cell r="J1621">
            <v>455.54</v>
          </cell>
          <cell r="K1621">
            <v>204270.28</v>
          </cell>
          <cell r="L1621" t="str">
            <v>平</v>
          </cell>
          <cell r="M1621">
            <v>0</v>
          </cell>
          <cell r="N1621">
            <v>0</v>
          </cell>
          <cell r="O1621">
            <v>0</v>
          </cell>
        </row>
        <row r="1622">
          <cell r="A1622" t="str">
            <v>12</v>
          </cell>
          <cell r="B1622" t="str">
            <v>11</v>
          </cell>
          <cell r="C1622" t="str">
            <v>记-0024</v>
          </cell>
          <cell r="D1622" t="str">
            <v>087</v>
          </cell>
          <cell r="E1622" t="str">
            <v>杏翅饼</v>
          </cell>
          <cell r="F1622" t="str">
            <v>收购产品</v>
          </cell>
          <cell r="G1622">
            <v>461.72300000000001</v>
          </cell>
          <cell r="H1622">
            <v>88.7</v>
          </cell>
          <cell r="I1622">
            <v>40954.83</v>
          </cell>
          <cell r="J1622">
            <v>0</v>
          </cell>
          <cell r="K1622">
            <v>0</v>
          </cell>
          <cell r="L1622" t="str">
            <v>借</v>
          </cell>
          <cell r="M1622">
            <v>88.7</v>
          </cell>
          <cell r="N1622">
            <v>0</v>
          </cell>
          <cell r="O1622">
            <v>40954.83</v>
          </cell>
        </row>
        <row r="1623">
          <cell r="A1623" t="str">
            <v>12</v>
          </cell>
          <cell r="B1623" t="str">
            <v>11</v>
          </cell>
          <cell r="C1623" t="str">
            <v>记-0033</v>
          </cell>
          <cell r="D1623" t="str">
            <v>087</v>
          </cell>
          <cell r="E1623" t="str">
            <v>杏翅饼</v>
          </cell>
          <cell r="F1623" t="str">
            <v>结转成本</v>
          </cell>
          <cell r="G1623">
            <v>461.72300000000001</v>
          </cell>
          <cell r="H1623">
            <v>0</v>
          </cell>
          <cell r="I1623">
            <v>0</v>
          </cell>
          <cell r="J1623">
            <v>88.7</v>
          </cell>
          <cell r="K1623">
            <v>40954.83</v>
          </cell>
          <cell r="L1623" t="str">
            <v>平</v>
          </cell>
          <cell r="M1623">
            <v>0</v>
          </cell>
          <cell r="N1623">
            <v>0</v>
          </cell>
          <cell r="O1623">
            <v>0</v>
          </cell>
        </row>
        <row r="1624">
          <cell r="A1624" t="str">
            <v>12</v>
          </cell>
          <cell r="F1624" t="str">
            <v>本月合计</v>
          </cell>
          <cell r="G1624">
            <v>0</v>
          </cell>
          <cell r="H1624">
            <v>88.7</v>
          </cell>
          <cell r="I1624">
            <v>40954.83</v>
          </cell>
          <cell r="J1624">
            <v>88.7</v>
          </cell>
          <cell r="K1624">
            <v>40954.83</v>
          </cell>
          <cell r="L1624" t="str">
            <v>平</v>
          </cell>
          <cell r="M1624">
            <v>0</v>
          </cell>
          <cell r="N1624">
            <v>0</v>
          </cell>
          <cell r="O1624">
            <v>0</v>
          </cell>
        </row>
        <row r="1625">
          <cell r="A1625" t="str">
            <v>12</v>
          </cell>
          <cell r="E1625" t="str">
            <v>杏翅饼</v>
          </cell>
          <cell r="F1625" t="str">
            <v>本年累计</v>
          </cell>
          <cell r="G1625">
            <v>0</v>
          </cell>
          <cell r="H1625">
            <v>544.24</v>
          </cell>
          <cell r="I1625">
            <v>245225.11</v>
          </cell>
          <cell r="J1625">
            <v>544.24</v>
          </cell>
          <cell r="K1625">
            <v>245225.11</v>
          </cell>
          <cell r="L1625" t="str">
            <v>平</v>
          </cell>
          <cell r="M1625">
            <v>0</v>
          </cell>
          <cell r="N1625">
            <v>0</v>
          </cell>
          <cell r="O1625">
            <v>0</v>
          </cell>
        </row>
        <row r="1626">
          <cell r="A1626" t="str">
            <v>02</v>
          </cell>
          <cell r="B1626" t="str">
            <v>28</v>
          </cell>
          <cell r="C1626" t="str">
            <v>记-0059</v>
          </cell>
          <cell r="D1626" t="str">
            <v>088</v>
          </cell>
          <cell r="E1626" t="str">
            <v>鹿茸</v>
          </cell>
          <cell r="F1626" t="str">
            <v>结转销售成本</v>
          </cell>
          <cell r="G1626">
            <v>3633.31</v>
          </cell>
          <cell r="H1626">
            <v>0</v>
          </cell>
          <cell r="I1626">
            <v>0</v>
          </cell>
          <cell r="J1626">
            <v>5</v>
          </cell>
          <cell r="K1626">
            <v>18166.55</v>
          </cell>
          <cell r="L1626" t="str">
            <v>贷</v>
          </cell>
          <cell r="M1626">
            <v>5</v>
          </cell>
          <cell r="N1626">
            <v>0</v>
          </cell>
          <cell r="O1626">
            <v>18166.55</v>
          </cell>
        </row>
        <row r="1627">
          <cell r="A1627" t="str">
            <v>02</v>
          </cell>
          <cell r="B1627" t="str">
            <v>28</v>
          </cell>
          <cell r="C1627" t="str">
            <v>记-0064</v>
          </cell>
          <cell r="D1627" t="str">
            <v>088</v>
          </cell>
          <cell r="E1627" t="str">
            <v>鹿茸</v>
          </cell>
          <cell r="F1627" t="str">
            <v>收购产品</v>
          </cell>
          <cell r="G1627">
            <v>3633.31</v>
          </cell>
          <cell r="H1627">
            <v>5</v>
          </cell>
          <cell r="I1627">
            <v>18166.55</v>
          </cell>
          <cell r="J1627">
            <v>0</v>
          </cell>
          <cell r="K1627">
            <v>0</v>
          </cell>
          <cell r="L1627" t="str">
            <v>平</v>
          </cell>
          <cell r="M1627">
            <v>0</v>
          </cell>
          <cell r="N1627">
            <v>0</v>
          </cell>
          <cell r="O1627">
            <v>0</v>
          </cell>
        </row>
        <row r="1628">
          <cell r="A1628" t="str">
            <v>02</v>
          </cell>
          <cell r="F1628" t="str">
            <v>本月合计</v>
          </cell>
          <cell r="G1628">
            <v>0</v>
          </cell>
          <cell r="H1628">
            <v>5</v>
          </cell>
          <cell r="I1628">
            <v>18166.55</v>
          </cell>
          <cell r="J1628">
            <v>5</v>
          </cell>
          <cell r="K1628">
            <v>18166.55</v>
          </cell>
          <cell r="L1628" t="str">
            <v>平</v>
          </cell>
          <cell r="M1628">
            <v>0</v>
          </cell>
          <cell r="N1628">
            <v>0</v>
          </cell>
          <cell r="O1628">
            <v>0</v>
          </cell>
        </row>
        <row r="1629">
          <cell r="A1629" t="str">
            <v>02</v>
          </cell>
          <cell r="F1629" t="str">
            <v>累    计</v>
          </cell>
          <cell r="G1629">
            <v>0</v>
          </cell>
          <cell r="H1629">
            <v>5</v>
          </cell>
          <cell r="I1629">
            <v>18166.55</v>
          </cell>
          <cell r="J1629">
            <v>5</v>
          </cell>
          <cell r="K1629">
            <v>18166.55</v>
          </cell>
          <cell r="L1629" t="str">
            <v>平</v>
          </cell>
          <cell r="M1629">
            <v>0</v>
          </cell>
          <cell r="N1629">
            <v>0</v>
          </cell>
          <cell r="O1629">
            <v>0</v>
          </cell>
        </row>
        <row r="1630">
          <cell r="A1630" t="str">
            <v>06</v>
          </cell>
          <cell r="B1630" t="str">
            <v>24</v>
          </cell>
          <cell r="C1630" t="str">
            <v>记-0024</v>
          </cell>
          <cell r="D1630" t="str">
            <v>088</v>
          </cell>
          <cell r="E1630" t="str">
            <v>鹿茸</v>
          </cell>
          <cell r="F1630" t="str">
            <v>收购产品</v>
          </cell>
          <cell r="G1630">
            <v>3675.56</v>
          </cell>
          <cell r="H1630">
            <v>2</v>
          </cell>
          <cell r="I1630">
            <v>7351.12</v>
          </cell>
          <cell r="J1630">
            <v>0</v>
          </cell>
          <cell r="K1630">
            <v>0</v>
          </cell>
          <cell r="L1630" t="str">
            <v>借</v>
          </cell>
          <cell r="M1630">
            <v>2</v>
          </cell>
          <cell r="N1630">
            <v>0</v>
          </cell>
          <cell r="O1630">
            <v>7351.12</v>
          </cell>
        </row>
        <row r="1631">
          <cell r="A1631" t="str">
            <v>06</v>
          </cell>
          <cell r="B1631" t="str">
            <v>24</v>
          </cell>
          <cell r="C1631" t="str">
            <v>记-0027</v>
          </cell>
          <cell r="D1631" t="str">
            <v>088</v>
          </cell>
          <cell r="E1631" t="str">
            <v>鹿茸</v>
          </cell>
          <cell r="F1631" t="str">
            <v>转成本</v>
          </cell>
          <cell r="G1631">
            <v>3675.56</v>
          </cell>
          <cell r="H1631">
            <v>0</v>
          </cell>
          <cell r="I1631">
            <v>0</v>
          </cell>
          <cell r="J1631">
            <v>2</v>
          </cell>
          <cell r="K1631">
            <v>7351.12</v>
          </cell>
          <cell r="L1631" t="str">
            <v>平</v>
          </cell>
          <cell r="M1631">
            <v>0</v>
          </cell>
          <cell r="N1631">
            <v>0</v>
          </cell>
          <cell r="O1631">
            <v>0</v>
          </cell>
        </row>
        <row r="1632">
          <cell r="A1632" t="str">
            <v>06</v>
          </cell>
          <cell r="F1632" t="str">
            <v>本月合计</v>
          </cell>
          <cell r="G1632">
            <v>0</v>
          </cell>
          <cell r="H1632">
            <v>2</v>
          </cell>
          <cell r="I1632">
            <v>7351.12</v>
          </cell>
          <cell r="J1632">
            <v>2</v>
          </cell>
          <cell r="K1632">
            <v>7351.12</v>
          </cell>
          <cell r="L1632" t="str">
            <v>平</v>
          </cell>
          <cell r="M1632">
            <v>0</v>
          </cell>
          <cell r="N1632">
            <v>0</v>
          </cell>
          <cell r="O1632">
            <v>0</v>
          </cell>
        </row>
        <row r="1633">
          <cell r="A1633" t="str">
            <v>06</v>
          </cell>
          <cell r="F1633" t="str">
            <v>累    计</v>
          </cell>
          <cell r="G1633">
            <v>0</v>
          </cell>
          <cell r="H1633">
            <v>7</v>
          </cell>
          <cell r="I1633">
            <v>25517.67</v>
          </cell>
          <cell r="J1633">
            <v>7</v>
          </cell>
          <cell r="K1633">
            <v>25517.67</v>
          </cell>
          <cell r="L1633" t="str">
            <v>平</v>
          </cell>
          <cell r="M1633">
            <v>0</v>
          </cell>
          <cell r="N1633">
            <v>0</v>
          </cell>
          <cell r="O1633">
            <v>0</v>
          </cell>
        </row>
        <row r="1634">
          <cell r="A1634" t="str">
            <v>10</v>
          </cell>
          <cell r="B1634" t="str">
            <v>22</v>
          </cell>
          <cell r="C1634" t="str">
            <v>记-0023</v>
          </cell>
          <cell r="D1634" t="str">
            <v>088</v>
          </cell>
          <cell r="E1634" t="str">
            <v>鹿茸</v>
          </cell>
          <cell r="F1634" t="str">
            <v>结转成本</v>
          </cell>
          <cell r="G1634">
            <v>3675.558</v>
          </cell>
          <cell r="H1634">
            <v>0</v>
          </cell>
          <cell r="I1634">
            <v>0</v>
          </cell>
          <cell r="J1634">
            <v>5</v>
          </cell>
          <cell r="K1634">
            <v>18377.79</v>
          </cell>
          <cell r="L1634" t="str">
            <v>贷</v>
          </cell>
          <cell r="M1634">
            <v>5</v>
          </cell>
          <cell r="N1634">
            <v>0</v>
          </cell>
          <cell r="O1634">
            <v>18377.79</v>
          </cell>
        </row>
        <row r="1635">
          <cell r="A1635" t="str">
            <v>10</v>
          </cell>
          <cell r="F1635" t="str">
            <v>本月合计</v>
          </cell>
          <cell r="G1635">
            <v>0</v>
          </cell>
          <cell r="H1635">
            <v>0</v>
          </cell>
          <cell r="I1635">
            <v>0</v>
          </cell>
          <cell r="J1635">
            <v>5</v>
          </cell>
          <cell r="K1635">
            <v>18377.79</v>
          </cell>
          <cell r="L1635" t="str">
            <v>贷</v>
          </cell>
          <cell r="M1635">
            <v>5</v>
          </cell>
          <cell r="N1635">
            <v>3675.558</v>
          </cell>
          <cell r="O1635">
            <v>18377.79</v>
          </cell>
        </row>
        <row r="1636">
          <cell r="A1636" t="str">
            <v>10</v>
          </cell>
          <cell r="F1636" t="str">
            <v>累    计</v>
          </cell>
          <cell r="G1636">
            <v>0</v>
          </cell>
          <cell r="H1636">
            <v>7</v>
          </cell>
          <cell r="I1636">
            <v>25517.67</v>
          </cell>
          <cell r="J1636">
            <v>12</v>
          </cell>
          <cell r="K1636">
            <v>43895.46</v>
          </cell>
          <cell r="L1636" t="str">
            <v>贷</v>
          </cell>
          <cell r="M1636">
            <v>5</v>
          </cell>
          <cell r="N1636">
            <v>3675.558</v>
          </cell>
          <cell r="O1636">
            <v>18377.79</v>
          </cell>
        </row>
        <row r="1637">
          <cell r="A1637" t="str">
            <v>11</v>
          </cell>
          <cell r="B1637" t="str">
            <v>30</v>
          </cell>
          <cell r="C1637" t="str">
            <v>记-0139</v>
          </cell>
          <cell r="D1637" t="str">
            <v>088</v>
          </cell>
          <cell r="E1637" t="str">
            <v>鹿茸</v>
          </cell>
          <cell r="F1637" t="str">
            <v>调整10月31号</v>
          </cell>
          <cell r="G1637">
            <v>0</v>
          </cell>
          <cell r="H1637">
            <v>0</v>
          </cell>
          <cell r="I1637">
            <v>18377.79</v>
          </cell>
          <cell r="J1637">
            <v>0</v>
          </cell>
          <cell r="K1637">
            <v>0</v>
          </cell>
          <cell r="L1637" t="str">
            <v>平</v>
          </cell>
          <cell r="M1637">
            <v>-5</v>
          </cell>
          <cell r="N1637">
            <v>0</v>
          </cell>
          <cell r="O1637">
            <v>0</v>
          </cell>
        </row>
        <row r="1638">
          <cell r="A1638" t="str">
            <v>11</v>
          </cell>
          <cell r="F1638" t="str">
            <v>本月合计</v>
          </cell>
          <cell r="G1638">
            <v>0</v>
          </cell>
          <cell r="H1638">
            <v>0</v>
          </cell>
          <cell r="I1638">
            <v>18377.79</v>
          </cell>
          <cell r="J1638">
            <v>0</v>
          </cell>
          <cell r="K1638">
            <v>0</v>
          </cell>
          <cell r="L1638" t="str">
            <v>平</v>
          </cell>
          <cell r="M1638">
            <v>-5</v>
          </cell>
          <cell r="N1638">
            <v>0</v>
          </cell>
          <cell r="O1638">
            <v>0</v>
          </cell>
        </row>
        <row r="1639">
          <cell r="A1639" t="str">
            <v>11</v>
          </cell>
          <cell r="F1639" t="str">
            <v>累    计</v>
          </cell>
          <cell r="G1639">
            <v>0</v>
          </cell>
          <cell r="H1639">
            <v>7</v>
          </cell>
          <cell r="I1639">
            <v>43895.46</v>
          </cell>
          <cell r="J1639">
            <v>12</v>
          </cell>
          <cell r="K1639">
            <v>43895.46</v>
          </cell>
          <cell r="L1639" t="str">
            <v>平</v>
          </cell>
          <cell r="M1639">
            <v>-5</v>
          </cell>
          <cell r="N1639">
            <v>0</v>
          </cell>
          <cell r="O1639">
            <v>0</v>
          </cell>
        </row>
        <row r="1640">
          <cell r="A1640" t="str">
            <v>12</v>
          </cell>
          <cell r="B1640" t="str">
            <v>11</v>
          </cell>
          <cell r="C1640" t="str">
            <v>记-0021</v>
          </cell>
          <cell r="D1640" t="str">
            <v>088</v>
          </cell>
          <cell r="E1640" t="str">
            <v>鹿茸</v>
          </cell>
          <cell r="F1640" t="str">
            <v>收购产品</v>
          </cell>
          <cell r="G1640">
            <v>3675.558</v>
          </cell>
          <cell r="H1640">
            <v>5</v>
          </cell>
          <cell r="I1640">
            <v>18377.79</v>
          </cell>
          <cell r="J1640">
            <v>0</v>
          </cell>
          <cell r="K1640">
            <v>0</v>
          </cell>
          <cell r="L1640" t="str">
            <v>借</v>
          </cell>
          <cell r="M1640">
            <v>0</v>
          </cell>
          <cell r="N1640">
            <v>0</v>
          </cell>
          <cell r="O1640">
            <v>18377.79</v>
          </cell>
        </row>
        <row r="1641">
          <cell r="A1641" t="str">
            <v>12</v>
          </cell>
          <cell r="B1641" t="str">
            <v>11</v>
          </cell>
          <cell r="C1641" t="str">
            <v>记-0029</v>
          </cell>
          <cell r="D1641" t="str">
            <v>088</v>
          </cell>
          <cell r="E1641" t="str">
            <v>鹿茸</v>
          </cell>
          <cell r="F1641" t="str">
            <v>结转成本</v>
          </cell>
          <cell r="G1641">
            <v>3675.558</v>
          </cell>
          <cell r="H1641">
            <v>0</v>
          </cell>
          <cell r="I1641">
            <v>0</v>
          </cell>
          <cell r="J1641">
            <v>5</v>
          </cell>
          <cell r="K1641">
            <v>18377.79</v>
          </cell>
          <cell r="L1641" t="str">
            <v>平</v>
          </cell>
          <cell r="M1641">
            <v>-5</v>
          </cell>
          <cell r="N1641">
            <v>0</v>
          </cell>
          <cell r="O1641">
            <v>0</v>
          </cell>
        </row>
        <row r="1642">
          <cell r="A1642" t="str">
            <v>12</v>
          </cell>
          <cell r="B1642" t="str">
            <v>31</v>
          </cell>
          <cell r="C1642" t="str">
            <v>记-0170</v>
          </cell>
          <cell r="D1642" t="str">
            <v>088</v>
          </cell>
          <cell r="E1642" t="str">
            <v>鹿茸</v>
          </cell>
          <cell r="F1642" t="str">
            <v>调整11月139号</v>
          </cell>
          <cell r="G1642">
            <v>0</v>
          </cell>
          <cell r="H1642">
            <v>0</v>
          </cell>
          <cell r="I1642">
            <v>-18377.79</v>
          </cell>
          <cell r="J1642">
            <v>0</v>
          </cell>
          <cell r="K1642">
            <v>0</v>
          </cell>
          <cell r="L1642" t="str">
            <v>贷</v>
          </cell>
          <cell r="M1642">
            <v>5</v>
          </cell>
          <cell r="N1642">
            <v>0</v>
          </cell>
          <cell r="O1642">
            <v>18377.79</v>
          </cell>
        </row>
        <row r="1643">
          <cell r="A1643" t="str">
            <v>12</v>
          </cell>
          <cell r="B1643" t="str">
            <v>31</v>
          </cell>
          <cell r="C1643" t="str">
            <v>记-0170</v>
          </cell>
          <cell r="D1643" t="str">
            <v>088</v>
          </cell>
          <cell r="E1643" t="str">
            <v>鹿茸</v>
          </cell>
          <cell r="F1643" t="str">
            <v>调整11月139号</v>
          </cell>
          <cell r="G1643">
            <v>0</v>
          </cell>
          <cell r="H1643">
            <v>0</v>
          </cell>
          <cell r="I1643">
            <v>18377.79</v>
          </cell>
          <cell r="J1643">
            <v>0</v>
          </cell>
          <cell r="K1643">
            <v>0</v>
          </cell>
          <cell r="L1643" t="str">
            <v>平</v>
          </cell>
          <cell r="M1643">
            <v>-5</v>
          </cell>
          <cell r="N1643">
            <v>0</v>
          </cell>
          <cell r="O1643">
            <v>0</v>
          </cell>
        </row>
        <row r="1644">
          <cell r="A1644" t="str">
            <v>12</v>
          </cell>
          <cell r="F1644" t="str">
            <v>本月合计</v>
          </cell>
          <cell r="G1644">
            <v>0</v>
          </cell>
          <cell r="H1644">
            <v>5</v>
          </cell>
          <cell r="I1644">
            <v>18377.79</v>
          </cell>
          <cell r="J1644">
            <v>5</v>
          </cell>
          <cell r="K1644">
            <v>18377.79</v>
          </cell>
          <cell r="L1644" t="str">
            <v>平</v>
          </cell>
          <cell r="M1644">
            <v>-5</v>
          </cell>
          <cell r="N1644">
            <v>0</v>
          </cell>
          <cell r="O1644">
            <v>0</v>
          </cell>
        </row>
        <row r="1645">
          <cell r="A1645" t="str">
            <v>12</v>
          </cell>
          <cell r="E1645" t="str">
            <v>鹿茸</v>
          </cell>
          <cell r="F1645" t="str">
            <v>本年累计</v>
          </cell>
          <cell r="G1645">
            <v>0</v>
          </cell>
          <cell r="H1645">
            <v>12</v>
          </cell>
          <cell r="I1645">
            <v>62273.25</v>
          </cell>
          <cell r="J1645">
            <v>17</v>
          </cell>
          <cell r="K1645">
            <v>62273.25</v>
          </cell>
          <cell r="L1645" t="str">
            <v>平</v>
          </cell>
          <cell r="M1645">
            <v>-5</v>
          </cell>
          <cell r="N1645">
            <v>0</v>
          </cell>
          <cell r="O1645">
            <v>0</v>
          </cell>
        </row>
        <row r="1646">
          <cell r="A1646" t="str">
            <v>02</v>
          </cell>
          <cell r="B1646" t="str">
            <v>28</v>
          </cell>
          <cell r="C1646" t="str">
            <v>记-0060</v>
          </cell>
          <cell r="D1646" t="str">
            <v>089</v>
          </cell>
          <cell r="E1646" t="str">
            <v>白燕片</v>
          </cell>
          <cell r="F1646" t="str">
            <v>销售商品</v>
          </cell>
          <cell r="G1646">
            <v>11.82943</v>
          </cell>
          <cell r="H1646">
            <v>0</v>
          </cell>
          <cell r="I1646">
            <v>0</v>
          </cell>
          <cell r="J1646">
            <v>70</v>
          </cell>
          <cell r="K1646">
            <v>828.06</v>
          </cell>
          <cell r="L1646" t="str">
            <v>贷</v>
          </cell>
          <cell r="M1646">
            <v>70</v>
          </cell>
          <cell r="N1646">
            <v>0</v>
          </cell>
          <cell r="O1646">
            <v>828.06</v>
          </cell>
        </row>
        <row r="1647">
          <cell r="A1647" t="str">
            <v>02</v>
          </cell>
          <cell r="B1647" t="str">
            <v>28</v>
          </cell>
          <cell r="C1647" t="str">
            <v>记-0067</v>
          </cell>
          <cell r="D1647" t="str">
            <v>089</v>
          </cell>
          <cell r="E1647" t="str">
            <v>白燕片</v>
          </cell>
          <cell r="F1647" t="str">
            <v>收购产品</v>
          </cell>
          <cell r="G1647">
            <v>11.82943</v>
          </cell>
          <cell r="H1647">
            <v>70</v>
          </cell>
          <cell r="I1647">
            <v>828.06</v>
          </cell>
          <cell r="J1647">
            <v>0</v>
          </cell>
          <cell r="K1647">
            <v>0</v>
          </cell>
          <cell r="L1647" t="str">
            <v>平</v>
          </cell>
          <cell r="M1647">
            <v>0</v>
          </cell>
          <cell r="N1647">
            <v>0</v>
          </cell>
          <cell r="O1647">
            <v>0</v>
          </cell>
        </row>
        <row r="1648">
          <cell r="A1648" t="str">
            <v>02</v>
          </cell>
          <cell r="F1648" t="str">
            <v>本月合计</v>
          </cell>
          <cell r="G1648">
            <v>0</v>
          </cell>
          <cell r="H1648">
            <v>70</v>
          </cell>
          <cell r="I1648">
            <v>828.06</v>
          </cell>
          <cell r="J1648">
            <v>70</v>
          </cell>
          <cell r="K1648">
            <v>828.06</v>
          </cell>
          <cell r="L1648" t="str">
            <v>平</v>
          </cell>
          <cell r="M1648">
            <v>0</v>
          </cell>
          <cell r="N1648">
            <v>0</v>
          </cell>
          <cell r="O1648">
            <v>0</v>
          </cell>
        </row>
        <row r="1649">
          <cell r="A1649" t="str">
            <v>02</v>
          </cell>
          <cell r="F1649" t="str">
            <v>累    计</v>
          </cell>
          <cell r="G1649">
            <v>0</v>
          </cell>
          <cell r="H1649">
            <v>70</v>
          </cell>
          <cell r="I1649">
            <v>828.06</v>
          </cell>
          <cell r="J1649">
            <v>70</v>
          </cell>
          <cell r="K1649">
            <v>828.06</v>
          </cell>
          <cell r="L1649" t="str">
            <v>平</v>
          </cell>
          <cell r="M1649">
            <v>0</v>
          </cell>
          <cell r="N1649">
            <v>0</v>
          </cell>
          <cell r="O1649">
            <v>0</v>
          </cell>
        </row>
        <row r="1650">
          <cell r="A1650" t="str">
            <v>07</v>
          </cell>
          <cell r="B1650" t="str">
            <v>22</v>
          </cell>
          <cell r="C1650" t="str">
            <v>记-0047</v>
          </cell>
          <cell r="D1650" t="str">
            <v>089</v>
          </cell>
          <cell r="E1650" t="str">
            <v>白燕片</v>
          </cell>
          <cell r="F1650" t="str">
            <v>结转成本</v>
          </cell>
          <cell r="G1650">
            <v>0</v>
          </cell>
          <cell r="H1650">
            <v>0</v>
          </cell>
          <cell r="I1650">
            <v>0</v>
          </cell>
          <cell r="J1650">
            <v>0</v>
          </cell>
          <cell r="K1650">
            <v>3797.23</v>
          </cell>
          <cell r="L1650" t="str">
            <v>贷</v>
          </cell>
          <cell r="M1650">
            <v>0</v>
          </cell>
          <cell r="N1650">
            <v>0</v>
          </cell>
          <cell r="O1650">
            <v>3797.23</v>
          </cell>
        </row>
        <row r="1651">
          <cell r="A1651" t="str">
            <v>07</v>
          </cell>
          <cell r="B1651" t="str">
            <v>22</v>
          </cell>
          <cell r="C1651" t="str">
            <v>记-0058</v>
          </cell>
          <cell r="D1651" t="str">
            <v>089</v>
          </cell>
          <cell r="E1651" t="str">
            <v>白燕片</v>
          </cell>
          <cell r="F1651" t="str">
            <v>收购产品</v>
          </cell>
          <cell r="G1651">
            <v>11.82938</v>
          </cell>
          <cell r="H1651">
            <v>321</v>
          </cell>
          <cell r="I1651">
            <v>3797.23</v>
          </cell>
          <cell r="J1651">
            <v>0</v>
          </cell>
          <cell r="K1651">
            <v>0</v>
          </cell>
          <cell r="L1651" t="str">
            <v>平</v>
          </cell>
          <cell r="M1651">
            <v>321</v>
          </cell>
          <cell r="N1651">
            <v>0</v>
          </cell>
          <cell r="O1651">
            <v>0</v>
          </cell>
        </row>
        <row r="1652">
          <cell r="A1652" t="str">
            <v>07</v>
          </cell>
          <cell r="F1652" t="str">
            <v>本月合计</v>
          </cell>
          <cell r="G1652">
            <v>0</v>
          </cell>
          <cell r="H1652">
            <v>321</v>
          </cell>
          <cell r="I1652">
            <v>3797.23</v>
          </cell>
          <cell r="J1652">
            <v>0</v>
          </cell>
          <cell r="K1652">
            <v>3797.23</v>
          </cell>
          <cell r="L1652" t="str">
            <v>平</v>
          </cell>
          <cell r="M1652">
            <v>321</v>
          </cell>
          <cell r="N1652">
            <v>0</v>
          </cell>
          <cell r="O1652">
            <v>0</v>
          </cell>
        </row>
        <row r="1653">
          <cell r="A1653" t="str">
            <v>07</v>
          </cell>
          <cell r="E1653" t="str">
            <v>白燕片</v>
          </cell>
          <cell r="F1653" t="str">
            <v>本年累计</v>
          </cell>
          <cell r="G1653">
            <v>0</v>
          </cell>
          <cell r="H1653">
            <v>391</v>
          </cell>
          <cell r="I1653">
            <v>4625.29</v>
          </cell>
          <cell r="J1653">
            <v>70</v>
          </cell>
          <cell r="K1653">
            <v>4625.29</v>
          </cell>
          <cell r="L1653" t="str">
            <v>平</v>
          </cell>
          <cell r="M1653">
            <v>321</v>
          </cell>
          <cell r="N1653">
            <v>0</v>
          </cell>
          <cell r="O1653">
            <v>0</v>
          </cell>
        </row>
        <row r="1654">
          <cell r="A1654" t="str">
            <v>02</v>
          </cell>
          <cell r="B1654" t="str">
            <v>28</v>
          </cell>
          <cell r="C1654" t="str">
            <v>记-0062</v>
          </cell>
          <cell r="D1654" t="str">
            <v>090</v>
          </cell>
          <cell r="E1654" t="str">
            <v>鹿尾</v>
          </cell>
          <cell r="F1654" t="str">
            <v>结转成本</v>
          </cell>
          <cell r="G1654">
            <v>2957.3449700000001</v>
          </cell>
          <cell r="H1654">
            <v>0</v>
          </cell>
          <cell r="I1654">
            <v>0</v>
          </cell>
          <cell r="J1654">
            <v>10.029999999999999</v>
          </cell>
          <cell r="K1654">
            <v>29662.17</v>
          </cell>
          <cell r="L1654" t="str">
            <v>贷</v>
          </cell>
          <cell r="M1654">
            <v>10.029999999999999</v>
          </cell>
          <cell r="N1654">
            <v>0</v>
          </cell>
          <cell r="O1654">
            <v>29662.17</v>
          </cell>
        </row>
        <row r="1655">
          <cell r="A1655" t="str">
            <v>02</v>
          </cell>
          <cell r="B1655" t="str">
            <v>28</v>
          </cell>
          <cell r="C1655" t="str">
            <v>记-0066</v>
          </cell>
          <cell r="D1655" t="str">
            <v>090</v>
          </cell>
          <cell r="E1655" t="str">
            <v>鹿尾</v>
          </cell>
          <cell r="F1655" t="str">
            <v>收购产品</v>
          </cell>
          <cell r="G1655">
            <v>2957.3449700000001</v>
          </cell>
          <cell r="H1655">
            <v>10.029999999999999</v>
          </cell>
          <cell r="I1655">
            <v>29662.17</v>
          </cell>
          <cell r="J1655">
            <v>0</v>
          </cell>
          <cell r="K1655">
            <v>0</v>
          </cell>
          <cell r="L1655" t="str">
            <v>平</v>
          </cell>
          <cell r="M1655">
            <v>0</v>
          </cell>
          <cell r="N1655">
            <v>0</v>
          </cell>
          <cell r="O1655">
            <v>0</v>
          </cell>
        </row>
        <row r="1656">
          <cell r="A1656" t="str">
            <v>02</v>
          </cell>
          <cell r="F1656" t="str">
            <v>本月合计</v>
          </cell>
          <cell r="G1656">
            <v>0</v>
          </cell>
          <cell r="H1656">
            <v>10.029999999999999</v>
          </cell>
          <cell r="I1656">
            <v>29662.17</v>
          </cell>
          <cell r="J1656">
            <v>10.029999999999999</v>
          </cell>
          <cell r="K1656">
            <v>29662.17</v>
          </cell>
          <cell r="L1656" t="str">
            <v>平</v>
          </cell>
          <cell r="M1656">
            <v>0</v>
          </cell>
          <cell r="N1656">
            <v>0</v>
          </cell>
          <cell r="O1656">
            <v>0</v>
          </cell>
        </row>
        <row r="1657">
          <cell r="A1657" t="str">
            <v>02</v>
          </cell>
          <cell r="F1657" t="str">
            <v>累    计</v>
          </cell>
          <cell r="G1657">
            <v>0</v>
          </cell>
          <cell r="H1657">
            <v>10.029999999999999</v>
          </cell>
          <cell r="I1657">
            <v>29662.17</v>
          </cell>
          <cell r="J1657">
            <v>10.029999999999999</v>
          </cell>
          <cell r="K1657">
            <v>29662.17</v>
          </cell>
          <cell r="L1657" t="str">
            <v>平</v>
          </cell>
          <cell r="M1657">
            <v>0</v>
          </cell>
          <cell r="N1657">
            <v>0</v>
          </cell>
          <cell r="O1657">
            <v>0</v>
          </cell>
        </row>
        <row r="1658">
          <cell r="A1658" t="str">
            <v>06</v>
          </cell>
          <cell r="B1658" t="str">
            <v>24</v>
          </cell>
          <cell r="C1658" t="str">
            <v>记-0024</v>
          </cell>
          <cell r="D1658" t="str">
            <v>090</v>
          </cell>
          <cell r="E1658" t="str">
            <v>鹿尾</v>
          </cell>
          <cell r="F1658" t="str">
            <v>收购产品</v>
          </cell>
          <cell r="G1658">
            <v>3811.596</v>
          </cell>
          <cell r="H1658">
            <v>5</v>
          </cell>
          <cell r="I1658">
            <v>19057.98</v>
          </cell>
          <cell r="J1658">
            <v>0</v>
          </cell>
          <cell r="K1658">
            <v>0</v>
          </cell>
          <cell r="L1658" t="str">
            <v>借</v>
          </cell>
          <cell r="M1658">
            <v>5</v>
          </cell>
          <cell r="N1658">
            <v>0</v>
          </cell>
          <cell r="O1658">
            <v>19057.98</v>
          </cell>
        </row>
        <row r="1659">
          <cell r="A1659" t="str">
            <v>06</v>
          </cell>
          <cell r="B1659" t="str">
            <v>24</v>
          </cell>
          <cell r="C1659" t="str">
            <v>记-0027</v>
          </cell>
          <cell r="D1659" t="str">
            <v>090</v>
          </cell>
          <cell r="E1659" t="str">
            <v>鹿尾</v>
          </cell>
          <cell r="F1659" t="str">
            <v>转成本</v>
          </cell>
          <cell r="G1659">
            <v>3811.596</v>
          </cell>
          <cell r="H1659">
            <v>0</v>
          </cell>
          <cell r="I1659">
            <v>0</v>
          </cell>
          <cell r="J1659">
            <v>5</v>
          </cell>
          <cell r="K1659">
            <v>19057.98</v>
          </cell>
          <cell r="L1659" t="str">
            <v>平</v>
          </cell>
          <cell r="M1659">
            <v>0</v>
          </cell>
          <cell r="N1659">
            <v>0</v>
          </cell>
          <cell r="O1659">
            <v>0</v>
          </cell>
        </row>
        <row r="1660">
          <cell r="A1660" t="str">
            <v>06</v>
          </cell>
          <cell r="F1660" t="str">
            <v>本月合计</v>
          </cell>
          <cell r="G1660">
            <v>0</v>
          </cell>
          <cell r="H1660">
            <v>5</v>
          </cell>
          <cell r="I1660">
            <v>19057.98</v>
          </cell>
          <cell r="J1660">
            <v>5</v>
          </cell>
          <cell r="K1660">
            <v>19057.98</v>
          </cell>
          <cell r="L1660" t="str">
            <v>平</v>
          </cell>
          <cell r="M1660">
            <v>0</v>
          </cell>
          <cell r="N1660">
            <v>0</v>
          </cell>
          <cell r="O1660">
            <v>0</v>
          </cell>
        </row>
        <row r="1661">
          <cell r="A1661" t="str">
            <v>06</v>
          </cell>
          <cell r="F1661" t="str">
            <v>累    计</v>
          </cell>
          <cell r="G1661">
            <v>0</v>
          </cell>
          <cell r="H1661">
            <v>15.03</v>
          </cell>
          <cell r="I1661">
            <v>48720.15</v>
          </cell>
          <cell r="J1661">
            <v>15.03</v>
          </cell>
          <cell r="K1661">
            <v>48720.15</v>
          </cell>
          <cell r="L1661" t="str">
            <v>平</v>
          </cell>
          <cell r="M1661">
            <v>0</v>
          </cell>
          <cell r="N1661">
            <v>0</v>
          </cell>
          <cell r="O1661">
            <v>0</v>
          </cell>
        </row>
        <row r="1662">
          <cell r="A1662" t="str">
            <v>08</v>
          </cell>
          <cell r="B1662" t="str">
            <v>25</v>
          </cell>
          <cell r="C1662" t="str">
            <v>记-0053</v>
          </cell>
          <cell r="D1662" t="str">
            <v>090</v>
          </cell>
          <cell r="E1662" t="str">
            <v>鹿尾</v>
          </cell>
          <cell r="F1662" t="str">
            <v>结转成本</v>
          </cell>
          <cell r="G1662">
            <v>8115.8</v>
          </cell>
          <cell r="H1662">
            <v>0</v>
          </cell>
          <cell r="I1662">
            <v>0</v>
          </cell>
          <cell r="J1662">
            <v>1</v>
          </cell>
          <cell r="K1662">
            <v>8115.8</v>
          </cell>
          <cell r="L1662" t="str">
            <v>贷</v>
          </cell>
          <cell r="M1662">
            <v>1</v>
          </cell>
          <cell r="N1662">
            <v>0</v>
          </cell>
          <cell r="O1662">
            <v>8115.8</v>
          </cell>
        </row>
        <row r="1663">
          <cell r="A1663" t="str">
            <v>08</v>
          </cell>
          <cell r="B1663" t="str">
            <v>25</v>
          </cell>
          <cell r="C1663" t="str">
            <v>记-0060</v>
          </cell>
          <cell r="D1663" t="str">
            <v>090</v>
          </cell>
          <cell r="E1663" t="str">
            <v>鹿尾</v>
          </cell>
          <cell r="F1663" t="str">
            <v>收购产品</v>
          </cell>
          <cell r="G1663">
            <v>8115.8</v>
          </cell>
          <cell r="H1663">
            <v>1</v>
          </cell>
          <cell r="I1663">
            <v>8115.8</v>
          </cell>
          <cell r="J1663">
            <v>0</v>
          </cell>
          <cell r="K1663">
            <v>0</v>
          </cell>
          <cell r="L1663" t="str">
            <v>平</v>
          </cell>
          <cell r="M1663">
            <v>0</v>
          </cell>
          <cell r="N1663">
            <v>0</v>
          </cell>
          <cell r="O1663">
            <v>0</v>
          </cell>
        </row>
        <row r="1664">
          <cell r="A1664" t="str">
            <v>08</v>
          </cell>
          <cell r="F1664" t="str">
            <v>本月合计</v>
          </cell>
          <cell r="G1664">
            <v>0</v>
          </cell>
          <cell r="H1664">
            <v>1</v>
          </cell>
          <cell r="I1664">
            <v>8115.8</v>
          </cell>
          <cell r="J1664">
            <v>1</v>
          </cell>
          <cell r="K1664">
            <v>8115.8</v>
          </cell>
          <cell r="L1664" t="str">
            <v>平</v>
          </cell>
          <cell r="M1664">
            <v>0</v>
          </cell>
          <cell r="N1664">
            <v>0</v>
          </cell>
          <cell r="O1664">
            <v>0</v>
          </cell>
        </row>
        <row r="1665">
          <cell r="A1665" t="str">
            <v>08</v>
          </cell>
          <cell r="F1665" t="str">
            <v>累    计</v>
          </cell>
          <cell r="G1665">
            <v>0</v>
          </cell>
          <cell r="H1665">
            <v>16.03</v>
          </cell>
          <cell r="I1665">
            <v>56835.95</v>
          </cell>
          <cell r="J1665">
            <v>16.03</v>
          </cell>
          <cell r="K1665">
            <v>56835.95</v>
          </cell>
          <cell r="L1665" t="str">
            <v>平</v>
          </cell>
          <cell r="M1665">
            <v>0</v>
          </cell>
          <cell r="N1665">
            <v>0</v>
          </cell>
          <cell r="O1665">
            <v>0</v>
          </cell>
        </row>
        <row r="1666">
          <cell r="A1666" t="str">
            <v>10</v>
          </cell>
          <cell r="B1666" t="str">
            <v>22</v>
          </cell>
          <cell r="C1666" t="str">
            <v>记-0023</v>
          </cell>
          <cell r="D1666" t="str">
            <v>090</v>
          </cell>
          <cell r="E1666" t="str">
            <v>鹿尾</v>
          </cell>
          <cell r="F1666" t="str">
            <v>结转成本</v>
          </cell>
          <cell r="G1666">
            <v>3997.4850000000001</v>
          </cell>
          <cell r="H1666">
            <v>0</v>
          </cell>
          <cell r="I1666">
            <v>0</v>
          </cell>
          <cell r="J1666">
            <v>2</v>
          </cell>
          <cell r="K1666">
            <v>7994.97</v>
          </cell>
          <cell r="L1666" t="str">
            <v>贷</v>
          </cell>
          <cell r="M1666">
            <v>2</v>
          </cell>
          <cell r="N1666">
            <v>0</v>
          </cell>
          <cell r="O1666">
            <v>7994.97</v>
          </cell>
        </row>
        <row r="1667">
          <cell r="A1667" t="str">
            <v>10</v>
          </cell>
          <cell r="B1667" t="str">
            <v>22</v>
          </cell>
          <cell r="C1667" t="str">
            <v>记-0031</v>
          </cell>
          <cell r="D1667" t="str">
            <v>090</v>
          </cell>
          <cell r="E1667" t="str">
            <v>鹿尾</v>
          </cell>
          <cell r="F1667" t="str">
            <v>收购产品</v>
          </cell>
          <cell r="G1667">
            <v>3675.558</v>
          </cell>
          <cell r="H1667">
            <v>5</v>
          </cell>
          <cell r="I1667">
            <v>18377.79</v>
          </cell>
          <cell r="J1667">
            <v>0</v>
          </cell>
          <cell r="K1667">
            <v>0</v>
          </cell>
          <cell r="L1667" t="str">
            <v>借</v>
          </cell>
          <cell r="M1667">
            <v>3</v>
          </cell>
          <cell r="N1667">
            <v>0</v>
          </cell>
          <cell r="O1667">
            <v>10382.82</v>
          </cell>
        </row>
        <row r="1668">
          <cell r="A1668" t="str">
            <v>10</v>
          </cell>
          <cell r="B1668" t="str">
            <v>22</v>
          </cell>
          <cell r="C1668" t="str">
            <v>记-0031</v>
          </cell>
          <cell r="D1668" t="str">
            <v>090</v>
          </cell>
          <cell r="E1668" t="str">
            <v>鹿尾</v>
          </cell>
          <cell r="F1668" t="str">
            <v>收购产品</v>
          </cell>
          <cell r="G1668">
            <v>3997.4850000000001</v>
          </cell>
          <cell r="H1668">
            <v>2</v>
          </cell>
          <cell r="I1668">
            <v>7994.97</v>
          </cell>
          <cell r="J1668">
            <v>0</v>
          </cell>
          <cell r="K1668">
            <v>0</v>
          </cell>
          <cell r="L1668" t="str">
            <v>借</v>
          </cell>
          <cell r="M1668">
            <v>5</v>
          </cell>
          <cell r="N1668">
            <v>0</v>
          </cell>
          <cell r="O1668">
            <v>18377.79</v>
          </cell>
        </row>
        <row r="1669">
          <cell r="A1669" t="str">
            <v>10</v>
          </cell>
          <cell r="F1669" t="str">
            <v>本月合计</v>
          </cell>
          <cell r="G1669">
            <v>0</v>
          </cell>
          <cell r="H1669">
            <v>7</v>
          </cell>
          <cell r="I1669">
            <v>26372.76</v>
          </cell>
          <cell r="J1669">
            <v>2</v>
          </cell>
          <cell r="K1669">
            <v>7994.97</v>
          </cell>
          <cell r="L1669" t="str">
            <v>借</v>
          </cell>
          <cell r="M1669">
            <v>5</v>
          </cell>
          <cell r="N1669">
            <v>3675.558</v>
          </cell>
          <cell r="O1669">
            <v>18377.79</v>
          </cell>
        </row>
        <row r="1670">
          <cell r="A1670" t="str">
            <v>10</v>
          </cell>
          <cell r="F1670" t="str">
            <v>累    计</v>
          </cell>
          <cell r="G1670">
            <v>0</v>
          </cell>
          <cell r="H1670">
            <v>23.03</v>
          </cell>
          <cell r="I1670">
            <v>83208.710000000006</v>
          </cell>
          <cell r="J1670">
            <v>18.03</v>
          </cell>
          <cell r="K1670">
            <v>64830.92</v>
          </cell>
          <cell r="L1670" t="str">
            <v>借</v>
          </cell>
          <cell r="M1670">
            <v>5</v>
          </cell>
          <cell r="N1670">
            <v>3675.558</v>
          </cell>
          <cell r="O1670">
            <v>18377.79</v>
          </cell>
        </row>
        <row r="1671">
          <cell r="A1671" t="str">
            <v>11</v>
          </cell>
          <cell r="B1671" t="str">
            <v>30</v>
          </cell>
          <cell r="C1671" t="str">
            <v>记-0139</v>
          </cell>
          <cell r="D1671" t="str">
            <v>090</v>
          </cell>
          <cell r="E1671" t="str">
            <v>鹿尾</v>
          </cell>
          <cell r="F1671" t="str">
            <v>调整10月31号</v>
          </cell>
          <cell r="G1671">
            <v>0</v>
          </cell>
          <cell r="H1671">
            <v>0</v>
          </cell>
          <cell r="I1671">
            <v>-18377.79</v>
          </cell>
          <cell r="J1671">
            <v>0</v>
          </cell>
          <cell r="K1671">
            <v>0</v>
          </cell>
          <cell r="L1671" t="str">
            <v>平</v>
          </cell>
          <cell r="M1671">
            <v>5</v>
          </cell>
          <cell r="N1671">
            <v>0</v>
          </cell>
          <cell r="O1671">
            <v>0</v>
          </cell>
        </row>
        <row r="1672">
          <cell r="A1672" t="str">
            <v>11</v>
          </cell>
          <cell r="F1672" t="str">
            <v>本月合计</v>
          </cell>
          <cell r="G1672">
            <v>0</v>
          </cell>
          <cell r="H1672">
            <v>0</v>
          </cell>
          <cell r="I1672">
            <v>-18377.79</v>
          </cell>
          <cell r="J1672">
            <v>0</v>
          </cell>
          <cell r="K1672">
            <v>0</v>
          </cell>
          <cell r="L1672" t="str">
            <v>平</v>
          </cell>
          <cell r="M1672">
            <v>5</v>
          </cell>
          <cell r="N1672">
            <v>0</v>
          </cell>
          <cell r="O1672">
            <v>0</v>
          </cell>
        </row>
        <row r="1673">
          <cell r="A1673" t="str">
            <v>11</v>
          </cell>
          <cell r="F1673" t="str">
            <v>累    计</v>
          </cell>
          <cell r="G1673">
            <v>0</v>
          </cell>
          <cell r="H1673">
            <v>23.03</v>
          </cell>
          <cell r="I1673">
            <v>64830.92</v>
          </cell>
          <cell r="J1673">
            <v>18.03</v>
          </cell>
          <cell r="K1673">
            <v>64830.92</v>
          </cell>
          <cell r="L1673" t="str">
            <v>平</v>
          </cell>
          <cell r="M1673">
            <v>5</v>
          </cell>
          <cell r="N1673">
            <v>0</v>
          </cell>
          <cell r="O1673">
            <v>0</v>
          </cell>
        </row>
        <row r="1674">
          <cell r="A1674" t="str">
            <v>12</v>
          </cell>
          <cell r="B1674" t="str">
            <v>11</v>
          </cell>
          <cell r="C1674" t="str">
            <v>记-0021</v>
          </cell>
          <cell r="D1674" t="str">
            <v>090</v>
          </cell>
          <cell r="E1674" t="str">
            <v>鹿尾</v>
          </cell>
          <cell r="F1674" t="str">
            <v>收购产品</v>
          </cell>
          <cell r="G1674">
            <v>3997.4859999999999</v>
          </cell>
          <cell r="H1674">
            <v>5</v>
          </cell>
          <cell r="I1674">
            <v>19987.43</v>
          </cell>
          <cell r="J1674">
            <v>0</v>
          </cell>
          <cell r="K1674">
            <v>0</v>
          </cell>
          <cell r="L1674" t="str">
            <v>借</v>
          </cell>
          <cell r="M1674">
            <v>10</v>
          </cell>
          <cell r="N1674">
            <v>0</v>
          </cell>
          <cell r="O1674">
            <v>19987.43</v>
          </cell>
        </row>
        <row r="1675">
          <cell r="A1675" t="str">
            <v>12</v>
          </cell>
          <cell r="B1675" t="str">
            <v>11</v>
          </cell>
          <cell r="C1675" t="str">
            <v>记-0029</v>
          </cell>
          <cell r="D1675" t="str">
            <v>090</v>
          </cell>
          <cell r="E1675" t="str">
            <v>鹿尾</v>
          </cell>
          <cell r="F1675" t="str">
            <v>结转成本</v>
          </cell>
          <cell r="G1675">
            <v>3997.4859999999999</v>
          </cell>
          <cell r="H1675">
            <v>0</v>
          </cell>
          <cell r="I1675">
            <v>0</v>
          </cell>
          <cell r="J1675">
            <v>5</v>
          </cell>
          <cell r="K1675">
            <v>19987.43</v>
          </cell>
          <cell r="L1675" t="str">
            <v>平</v>
          </cell>
          <cell r="M1675">
            <v>5</v>
          </cell>
          <cell r="N1675">
            <v>0</v>
          </cell>
          <cell r="O1675">
            <v>0</v>
          </cell>
        </row>
        <row r="1676">
          <cell r="A1676" t="str">
            <v>12</v>
          </cell>
          <cell r="B1676" t="str">
            <v>31</v>
          </cell>
          <cell r="C1676" t="str">
            <v>记-0171</v>
          </cell>
          <cell r="D1676" t="str">
            <v>090</v>
          </cell>
          <cell r="E1676" t="str">
            <v>鹿尾</v>
          </cell>
          <cell r="F1676" t="str">
            <v>调整11月139号</v>
          </cell>
          <cell r="G1676">
            <v>0</v>
          </cell>
          <cell r="H1676">
            <v>0</v>
          </cell>
          <cell r="I1676">
            <v>18379.79</v>
          </cell>
          <cell r="J1676">
            <v>0</v>
          </cell>
          <cell r="K1676">
            <v>0</v>
          </cell>
          <cell r="L1676" t="str">
            <v>借</v>
          </cell>
          <cell r="M1676">
            <v>5</v>
          </cell>
          <cell r="N1676">
            <v>0</v>
          </cell>
          <cell r="O1676">
            <v>18379.79</v>
          </cell>
        </row>
        <row r="1677">
          <cell r="A1677" t="str">
            <v>12</v>
          </cell>
          <cell r="B1677" t="str">
            <v>31</v>
          </cell>
          <cell r="C1677" t="str">
            <v>记-0171</v>
          </cell>
          <cell r="D1677" t="str">
            <v>090</v>
          </cell>
          <cell r="E1677" t="str">
            <v>鹿尾</v>
          </cell>
          <cell r="F1677" t="str">
            <v>调整11月139号</v>
          </cell>
          <cell r="G1677">
            <v>3675.9580000000001</v>
          </cell>
          <cell r="H1677">
            <v>-5</v>
          </cell>
          <cell r="I1677">
            <v>-18379.79</v>
          </cell>
          <cell r="J1677">
            <v>0</v>
          </cell>
          <cell r="K1677">
            <v>0</v>
          </cell>
          <cell r="L1677" t="str">
            <v>平</v>
          </cell>
          <cell r="M1677">
            <v>0</v>
          </cell>
          <cell r="N1677">
            <v>0</v>
          </cell>
          <cell r="O1677">
            <v>0</v>
          </cell>
        </row>
        <row r="1678">
          <cell r="A1678" t="str">
            <v>12</v>
          </cell>
          <cell r="F1678" t="str">
            <v>本月合计</v>
          </cell>
          <cell r="G1678">
            <v>0</v>
          </cell>
          <cell r="H1678">
            <v>0</v>
          </cell>
          <cell r="I1678">
            <v>19987.43</v>
          </cell>
          <cell r="J1678">
            <v>5</v>
          </cell>
          <cell r="K1678">
            <v>19987.43</v>
          </cell>
          <cell r="L1678" t="str">
            <v>平</v>
          </cell>
          <cell r="M1678">
            <v>0</v>
          </cell>
          <cell r="N1678">
            <v>0</v>
          </cell>
          <cell r="O1678">
            <v>0</v>
          </cell>
        </row>
        <row r="1679">
          <cell r="A1679" t="str">
            <v>12</v>
          </cell>
          <cell r="E1679" t="str">
            <v>鹿尾</v>
          </cell>
          <cell r="F1679" t="str">
            <v>本年累计</v>
          </cell>
          <cell r="G1679">
            <v>0</v>
          </cell>
          <cell r="H1679">
            <v>23.03</v>
          </cell>
          <cell r="I1679">
            <v>84818.35</v>
          </cell>
          <cell r="J1679">
            <v>23.03</v>
          </cell>
          <cell r="K1679">
            <v>84818.35</v>
          </cell>
          <cell r="L1679" t="str">
            <v>平</v>
          </cell>
          <cell r="M1679">
            <v>0</v>
          </cell>
          <cell r="N1679">
            <v>0</v>
          </cell>
          <cell r="O1679">
            <v>0</v>
          </cell>
        </row>
        <row r="1680">
          <cell r="A1680" t="str">
            <v>02</v>
          </cell>
          <cell r="B1680" t="str">
            <v>28</v>
          </cell>
          <cell r="C1680" t="str">
            <v>记-0063</v>
          </cell>
          <cell r="D1680" t="str">
            <v>091</v>
          </cell>
          <cell r="E1680" t="str">
            <v>石斛特等</v>
          </cell>
          <cell r="F1680" t="str">
            <v>结转成本</v>
          </cell>
          <cell r="G1680">
            <v>8.8720300000000005</v>
          </cell>
          <cell r="H1680">
            <v>0</v>
          </cell>
          <cell r="I1680">
            <v>0</v>
          </cell>
          <cell r="J1680">
            <v>508</v>
          </cell>
          <cell r="K1680">
            <v>4506.99</v>
          </cell>
          <cell r="L1680" t="str">
            <v>贷</v>
          </cell>
          <cell r="M1680">
            <v>508</v>
          </cell>
          <cell r="N1680">
            <v>0</v>
          </cell>
          <cell r="O1680">
            <v>4506.99</v>
          </cell>
        </row>
        <row r="1681">
          <cell r="A1681" t="str">
            <v>02</v>
          </cell>
          <cell r="B1681" t="str">
            <v>28</v>
          </cell>
          <cell r="C1681" t="str">
            <v>记-0063</v>
          </cell>
          <cell r="D1681" t="str">
            <v>091</v>
          </cell>
          <cell r="E1681" t="str">
            <v>石斛特等</v>
          </cell>
          <cell r="F1681" t="str">
            <v>结转成本</v>
          </cell>
          <cell r="G1681">
            <v>10.13946</v>
          </cell>
          <cell r="H1681">
            <v>0</v>
          </cell>
          <cell r="I1681">
            <v>0</v>
          </cell>
          <cell r="J1681">
            <v>500</v>
          </cell>
          <cell r="K1681">
            <v>5069.7299999999996</v>
          </cell>
          <cell r="L1681" t="str">
            <v>贷</v>
          </cell>
          <cell r="M1681">
            <v>1008</v>
          </cell>
          <cell r="N1681">
            <v>0</v>
          </cell>
          <cell r="O1681">
            <v>9576.7199999999993</v>
          </cell>
        </row>
        <row r="1682">
          <cell r="A1682" t="str">
            <v>02</v>
          </cell>
          <cell r="B1682" t="str">
            <v>28</v>
          </cell>
          <cell r="C1682" t="str">
            <v>记-0069</v>
          </cell>
          <cell r="D1682" t="str">
            <v>091</v>
          </cell>
          <cell r="E1682" t="str">
            <v>石斛特等</v>
          </cell>
          <cell r="F1682" t="str">
            <v>收购产品</v>
          </cell>
          <cell r="G1682">
            <v>8.8720300000000005</v>
          </cell>
          <cell r="H1682">
            <v>508</v>
          </cell>
          <cell r="I1682">
            <v>4506.99</v>
          </cell>
          <cell r="J1682">
            <v>0</v>
          </cell>
          <cell r="K1682">
            <v>0</v>
          </cell>
          <cell r="L1682" t="str">
            <v>贷</v>
          </cell>
          <cell r="M1682">
            <v>500</v>
          </cell>
          <cell r="N1682">
            <v>0</v>
          </cell>
          <cell r="O1682">
            <v>5069.7299999999996</v>
          </cell>
        </row>
        <row r="1683">
          <cell r="A1683" t="str">
            <v>02</v>
          </cell>
          <cell r="B1683" t="str">
            <v>28</v>
          </cell>
          <cell r="C1683" t="str">
            <v>记-0069</v>
          </cell>
          <cell r="D1683" t="str">
            <v>091</v>
          </cell>
          <cell r="E1683" t="str">
            <v>石斛特等</v>
          </cell>
          <cell r="F1683" t="str">
            <v>收购产品</v>
          </cell>
          <cell r="G1683">
            <v>10.13946</v>
          </cell>
          <cell r="H1683">
            <v>500</v>
          </cell>
          <cell r="I1683">
            <v>5069.7299999999996</v>
          </cell>
          <cell r="J1683">
            <v>0</v>
          </cell>
          <cell r="K1683">
            <v>0</v>
          </cell>
          <cell r="L1683" t="str">
            <v>平</v>
          </cell>
          <cell r="M1683">
            <v>0</v>
          </cell>
          <cell r="N1683">
            <v>0</v>
          </cell>
          <cell r="O1683">
            <v>0</v>
          </cell>
        </row>
        <row r="1684">
          <cell r="A1684" t="str">
            <v>02</v>
          </cell>
          <cell r="F1684" t="str">
            <v>本月合计</v>
          </cell>
          <cell r="G1684">
            <v>0</v>
          </cell>
          <cell r="H1684">
            <v>1008</v>
          </cell>
          <cell r="I1684">
            <v>9576.7199999999993</v>
          </cell>
          <cell r="J1684">
            <v>1008</v>
          </cell>
          <cell r="K1684">
            <v>9576.7199999999993</v>
          </cell>
          <cell r="L1684" t="str">
            <v>平</v>
          </cell>
          <cell r="M1684">
            <v>0</v>
          </cell>
          <cell r="N1684">
            <v>0</v>
          </cell>
          <cell r="O1684">
            <v>0</v>
          </cell>
        </row>
        <row r="1685">
          <cell r="A1685" t="str">
            <v>02</v>
          </cell>
          <cell r="E1685" t="str">
            <v>石斛特等</v>
          </cell>
          <cell r="F1685" t="str">
            <v>本年累计</v>
          </cell>
          <cell r="G1685">
            <v>0</v>
          </cell>
          <cell r="H1685">
            <v>1008</v>
          </cell>
          <cell r="I1685">
            <v>9576.7199999999993</v>
          </cell>
          <cell r="J1685">
            <v>1008</v>
          </cell>
          <cell r="K1685">
            <v>9576.7199999999993</v>
          </cell>
          <cell r="L1685" t="str">
            <v>平</v>
          </cell>
          <cell r="M1685">
            <v>0</v>
          </cell>
          <cell r="N1685">
            <v>0</v>
          </cell>
          <cell r="O1685">
            <v>0</v>
          </cell>
        </row>
        <row r="1686">
          <cell r="A1686" t="str">
            <v>02</v>
          </cell>
          <cell r="B1686" t="str">
            <v>28</v>
          </cell>
          <cell r="C1686" t="str">
            <v>记-0063</v>
          </cell>
          <cell r="D1686" t="str">
            <v>092</v>
          </cell>
          <cell r="E1686" t="str">
            <v>田七</v>
          </cell>
          <cell r="F1686" t="str">
            <v>结转成本</v>
          </cell>
          <cell r="G1686">
            <v>0.84494999999999998</v>
          </cell>
          <cell r="H1686">
            <v>0</v>
          </cell>
          <cell r="I1686">
            <v>0</v>
          </cell>
          <cell r="J1686">
            <v>2713</v>
          </cell>
          <cell r="K1686">
            <v>2292.36</v>
          </cell>
          <cell r="L1686" t="str">
            <v>贷</v>
          </cell>
          <cell r="M1686">
            <v>2713</v>
          </cell>
          <cell r="N1686">
            <v>0</v>
          </cell>
          <cell r="O1686">
            <v>2292.36</v>
          </cell>
        </row>
        <row r="1687">
          <cell r="A1687" t="str">
            <v>02</v>
          </cell>
          <cell r="B1687" t="str">
            <v>28</v>
          </cell>
          <cell r="C1687" t="str">
            <v>记-0069</v>
          </cell>
          <cell r="D1687" t="str">
            <v>092</v>
          </cell>
          <cell r="E1687" t="str">
            <v>田七</v>
          </cell>
          <cell r="F1687" t="str">
            <v>收购产品</v>
          </cell>
          <cell r="G1687">
            <v>0.84494999999999998</v>
          </cell>
          <cell r="H1687">
            <v>2713</v>
          </cell>
          <cell r="I1687">
            <v>2292.36</v>
          </cell>
          <cell r="J1687">
            <v>0</v>
          </cell>
          <cell r="K1687">
            <v>0</v>
          </cell>
          <cell r="L1687" t="str">
            <v>平</v>
          </cell>
          <cell r="M1687">
            <v>0</v>
          </cell>
          <cell r="N1687">
            <v>0</v>
          </cell>
          <cell r="O1687">
            <v>0</v>
          </cell>
        </row>
        <row r="1688">
          <cell r="A1688" t="str">
            <v>02</v>
          </cell>
          <cell r="F1688" t="str">
            <v>本月合计</v>
          </cell>
          <cell r="G1688">
            <v>0</v>
          </cell>
          <cell r="H1688">
            <v>2713</v>
          </cell>
          <cell r="I1688">
            <v>2292.36</v>
          </cell>
          <cell r="J1688">
            <v>2713</v>
          </cell>
          <cell r="K1688">
            <v>2292.36</v>
          </cell>
          <cell r="L1688" t="str">
            <v>平</v>
          </cell>
          <cell r="M1688">
            <v>0</v>
          </cell>
          <cell r="N1688">
            <v>0</v>
          </cell>
          <cell r="O1688">
            <v>0</v>
          </cell>
        </row>
        <row r="1689">
          <cell r="A1689" t="str">
            <v>02</v>
          </cell>
          <cell r="E1689" t="str">
            <v>田七</v>
          </cell>
          <cell r="F1689" t="str">
            <v>本年累计</v>
          </cell>
          <cell r="G1689">
            <v>0</v>
          </cell>
          <cell r="H1689">
            <v>2713</v>
          </cell>
          <cell r="I1689">
            <v>2292.36</v>
          </cell>
          <cell r="J1689">
            <v>2713</v>
          </cell>
          <cell r="K1689">
            <v>2292.36</v>
          </cell>
          <cell r="L1689" t="str">
            <v>平</v>
          </cell>
          <cell r="M1689">
            <v>0</v>
          </cell>
          <cell r="N1689">
            <v>0</v>
          </cell>
          <cell r="O1689">
            <v>0</v>
          </cell>
        </row>
        <row r="1690">
          <cell r="A1690" t="str">
            <v>06</v>
          </cell>
          <cell r="B1690" t="str">
            <v>24</v>
          </cell>
          <cell r="C1690" t="str">
            <v>记-0070</v>
          </cell>
          <cell r="D1690" t="str">
            <v>093</v>
          </cell>
          <cell r="E1690" t="str">
            <v>黄芪</v>
          </cell>
          <cell r="F1690" t="str">
            <v>收购产品</v>
          </cell>
          <cell r="G1690">
            <v>13.05</v>
          </cell>
          <cell r="H1690">
            <v>100000</v>
          </cell>
          <cell r="I1690">
            <v>1305000</v>
          </cell>
          <cell r="J1690">
            <v>0</v>
          </cell>
          <cell r="K1690">
            <v>0</v>
          </cell>
          <cell r="L1690" t="str">
            <v>借</v>
          </cell>
          <cell r="M1690">
            <v>100000</v>
          </cell>
          <cell r="N1690">
            <v>0</v>
          </cell>
          <cell r="O1690">
            <v>1305000</v>
          </cell>
        </row>
        <row r="1691">
          <cell r="A1691" t="str">
            <v>06</v>
          </cell>
          <cell r="F1691" t="str">
            <v>本月合计</v>
          </cell>
          <cell r="G1691">
            <v>0</v>
          </cell>
          <cell r="H1691">
            <v>100000</v>
          </cell>
          <cell r="I1691">
            <v>1305000</v>
          </cell>
          <cell r="J1691">
            <v>0</v>
          </cell>
          <cell r="K1691">
            <v>0</v>
          </cell>
          <cell r="L1691" t="str">
            <v>借</v>
          </cell>
          <cell r="M1691">
            <v>100000</v>
          </cell>
          <cell r="N1691">
            <v>13.05</v>
          </cell>
          <cell r="O1691">
            <v>1305000</v>
          </cell>
        </row>
        <row r="1692">
          <cell r="A1692" t="str">
            <v>06</v>
          </cell>
          <cell r="F1692" t="str">
            <v>累    计</v>
          </cell>
          <cell r="G1692">
            <v>0</v>
          </cell>
          <cell r="H1692">
            <v>100000</v>
          </cell>
          <cell r="I1692">
            <v>1305000</v>
          </cell>
          <cell r="J1692">
            <v>0</v>
          </cell>
          <cell r="K1692">
            <v>0</v>
          </cell>
          <cell r="L1692" t="str">
            <v>借</v>
          </cell>
          <cell r="M1692">
            <v>100000</v>
          </cell>
          <cell r="N1692">
            <v>13.05</v>
          </cell>
          <cell r="O1692">
            <v>1305000</v>
          </cell>
        </row>
        <row r="1693">
          <cell r="A1693" t="str">
            <v>12</v>
          </cell>
          <cell r="B1693" t="str">
            <v>31</v>
          </cell>
          <cell r="C1693" t="str">
            <v>记-0172</v>
          </cell>
          <cell r="D1693" t="str">
            <v>093</v>
          </cell>
          <cell r="E1693" t="str">
            <v>黄芪</v>
          </cell>
          <cell r="F1693" t="str">
            <v>调整6月70号凭</v>
          </cell>
          <cell r="G1693">
            <v>13.05</v>
          </cell>
          <cell r="H1693">
            <v>-100000</v>
          </cell>
          <cell r="I1693">
            <v>-1305000</v>
          </cell>
          <cell r="J1693">
            <v>0</v>
          </cell>
          <cell r="K1693">
            <v>0</v>
          </cell>
          <cell r="L1693" t="str">
            <v>平</v>
          </cell>
          <cell r="M1693">
            <v>0</v>
          </cell>
          <cell r="N1693">
            <v>0</v>
          </cell>
          <cell r="O1693">
            <v>0</v>
          </cell>
        </row>
        <row r="1694">
          <cell r="A1694" t="str">
            <v>12</v>
          </cell>
          <cell r="F1694" t="str">
            <v>本月合计</v>
          </cell>
          <cell r="G1694">
            <v>0</v>
          </cell>
          <cell r="H1694">
            <v>-100000</v>
          </cell>
          <cell r="I1694">
            <v>-1305000</v>
          </cell>
          <cell r="J1694">
            <v>0</v>
          </cell>
          <cell r="K1694">
            <v>0</v>
          </cell>
          <cell r="L1694" t="str">
            <v>平</v>
          </cell>
          <cell r="M1694">
            <v>0</v>
          </cell>
          <cell r="N1694">
            <v>0</v>
          </cell>
          <cell r="O1694">
            <v>0</v>
          </cell>
        </row>
        <row r="1695">
          <cell r="A1695" t="str">
            <v>12</v>
          </cell>
          <cell r="E1695" t="str">
            <v>黄芪</v>
          </cell>
          <cell r="F1695" t="str">
            <v>本年累计</v>
          </cell>
          <cell r="G1695">
            <v>0</v>
          </cell>
          <cell r="H1695">
            <v>0</v>
          </cell>
          <cell r="I1695">
            <v>0</v>
          </cell>
          <cell r="J1695">
            <v>0</v>
          </cell>
          <cell r="K1695">
            <v>0</v>
          </cell>
          <cell r="L1695" t="str">
            <v>平</v>
          </cell>
          <cell r="M1695">
            <v>0</v>
          </cell>
          <cell r="N1695">
            <v>0</v>
          </cell>
          <cell r="O1695">
            <v>0</v>
          </cell>
        </row>
        <row r="1696">
          <cell r="A1696" t="str">
            <v>02</v>
          </cell>
          <cell r="B1696" t="str">
            <v>28</v>
          </cell>
          <cell r="C1696" t="str">
            <v>记-0057</v>
          </cell>
          <cell r="D1696" t="str">
            <v>094</v>
          </cell>
          <cell r="E1696" t="str">
            <v>野生商标乙条</v>
          </cell>
          <cell r="F1696" t="str">
            <v>销售商品</v>
          </cell>
          <cell r="G1696">
            <v>21.955400000000001</v>
          </cell>
          <cell r="H1696">
            <v>0</v>
          </cell>
          <cell r="I1696">
            <v>0</v>
          </cell>
          <cell r="J1696">
            <v>500</v>
          </cell>
          <cell r="K1696">
            <v>10977.7</v>
          </cell>
          <cell r="L1696" t="str">
            <v>贷</v>
          </cell>
          <cell r="M1696">
            <v>500</v>
          </cell>
          <cell r="N1696">
            <v>0</v>
          </cell>
          <cell r="O1696">
            <v>10977.7</v>
          </cell>
        </row>
        <row r="1697">
          <cell r="A1697" t="str">
            <v>02</v>
          </cell>
          <cell r="F1697" t="str">
            <v>本月合计</v>
          </cell>
          <cell r="G1697">
            <v>0</v>
          </cell>
          <cell r="H1697">
            <v>0</v>
          </cell>
          <cell r="I1697">
            <v>0</v>
          </cell>
          <cell r="J1697">
            <v>500</v>
          </cell>
          <cell r="K1697">
            <v>10977.7</v>
          </cell>
          <cell r="L1697" t="str">
            <v>贷</v>
          </cell>
          <cell r="M1697">
            <v>500</v>
          </cell>
          <cell r="N1697">
            <v>21.955400000000001</v>
          </cell>
          <cell r="O1697">
            <v>10977.7</v>
          </cell>
        </row>
        <row r="1698">
          <cell r="A1698" t="str">
            <v>02</v>
          </cell>
          <cell r="F1698" t="str">
            <v>累    计</v>
          </cell>
          <cell r="G1698">
            <v>0</v>
          </cell>
          <cell r="H1698">
            <v>0</v>
          </cell>
          <cell r="I1698">
            <v>0</v>
          </cell>
          <cell r="J1698">
            <v>500</v>
          </cell>
          <cell r="K1698">
            <v>10977.7</v>
          </cell>
          <cell r="L1698" t="str">
            <v>贷</v>
          </cell>
          <cell r="M1698">
            <v>500</v>
          </cell>
          <cell r="N1698">
            <v>21.955400000000001</v>
          </cell>
          <cell r="O1698">
            <v>10977.7</v>
          </cell>
        </row>
        <row r="1699">
          <cell r="A1699" t="str">
            <v>05</v>
          </cell>
          <cell r="B1699" t="str">
            <v>31</v>
          </cell>
          <cell r="C1699" t="str">
            <v>记-0087</v>
          </cell>
          <cell r="D1699" t="str">
            <v>094</v>
          </cell>
          <cell r="E1699" t="str">
            <v>野生商标乙条</v>
          </cell>
          <cell r="F1699" t="str">
            <v>转成本</v>
          </cell>
          <cell r="G1699">
            <v>21.954930000000001</v>
          </cell>
          <cell r="H1699">
            <v>0</v>
          </cell>
          <cell r="I1699">
            <v>0</v>
          </cell>
          <cell r="J1699">
            <v>54.8</v>
          </cell>
          <cell r="K1699">
            <v>1203.1300000000001</v>
          </cell>
          <cell r="L1699" t="str">
            <v>贷</v>
          </cell>
          <cell r="M1699">
            <v>554.79999999999995</v>
          </cell>
          <cell r="N1699">
            <v>0</v>
          </cell>
          <cell r="O1699">
            <v>12180.83</v>
          </cell>
        </row>
        <row r="1700">
          <cell r="A1700" t="str">
            <v>05</v>
          </cell>
          <cell r="F1700" t="str">
            <v>本月合计</v>
          </cell>
          <cell r="G1700">
            <v>0</v>
          </cell>
          <cell r="H1700">
            <v>0</v>
          </cell>
          <cell r="I1700">
            <v>0</v>
          </cell>
          <cell r="J1700">
            <v>54.8</v>
          </cell>
          <cell r="K1700">
            <v>1203.1300000000001</v>
          </cell>
          <cell r="L1700" t="str">
            <v>贷</v>
          </cell>
          <cell r="M1700">
            <v>554.79999999999995</v>
          </cell>
          <cell r="N1700">
            <v>21.955349999999999</v>
          </cell>
          <cell r="O1700">
            <v>12180.83</v>
          </cell>
        </row>
        <row r="1701">
          <cell r="A1701" t="str">
            <v>05</v>
          </cell>
          <cell r="F1701" t="str">
            <v>累    计</v>
          </cell>
          <cell r="G1701">
            <v>0</v>
          </cell>
          <cell r="H1701">
            <v>0</v>
          </cell>
          <cell r="I1701">
            <v>0</v>
          </cell>
          <cell r="J1701">
            <v>554.79999999999995</v>
          </cell>
          <cell r="K1701">
            <v>12180.83</v>
          </cell>
          <cell r="L1701" t="str">
            <v>贷</v>
          </cell>
          <cell r="M1701">
            <v>554.79999999999995</v>
          </cell>
          <cell r="N1701">
            <v>21.955349999999999</v>
          </cell>
          <cell r="O1701">
            <v>12180.83</v>
          </cell>
        </row>
        <row r="1702">
          <cell r="A1702" t="str">
            <v>11</v>
          </cell>
          <cell r="B1702" t="str">
            <v>30</v>
          </cell>
          <cell r="C1702" t="str">
            <v>记-0053</v>
          </cell>
          <cell r="D1702" t="str">
            <v>094</v>
          </cell>
          <cell r="E1702" t="str">
            <v>野生商标乙条</v>
          </cell>
          <cell r="F1702" t="str">
            <v>合并名称</v>
          </cell>
          <cell r="G1702">
            <v>21.955349999999999</v>
          </cell>
          <cell r="H1702">
            <v>554.79999999999995</v>
          </cell>
          <cell r="I1702">
            <v>12180.83</v>
          </cell>
          <cell r="J1702">
            <v>0</v>
          </cell>
          <cell r="K1702">
            <v>0</v>
          </cell>
          <cell r="L1702" t="str">
            <v>平</v>
          </cell>
          <cell r="M1702">
            <v>0</v>
          </cell>
          <cell r="N1702">
            <v>0</v>
          </cell>
          <cell r="O1702">
            <v>0</v>
          </cell>
        </row>
        <row r="1703">
          <cell r="A1703" t="str">
            <v>11</v>
          </cell>
          <cell r="F1703" t="str">
            <v>本月合计</v>
          </cell>
          <cell r="G1703">
            <v>0</v>
          </cell>
          <cell r="H1703">
            <v>554.79999999999995</v>
          </cell>
          <cell r="I1703">
            <v>12180.83</v>
          </cell>
          <cell r="J1703">
            <v>0</v>
          </cell>
          <cell r="K1703">
            <v>0</v>
          </cell>
          <cell r="L1703" t="str">
            <v>平</v>
          </cell>
          <cell r="M1703">
            <v>0</v>
          </cell>
          <cell r="N1703">
            <v>0</v>
          </cell>
          <cell r="O1703">
            <v>0</v>
          </cell>
        </row>
        <row r="1704">
          <cell r="A1704" t="str">
            <v>11</v>
          </cell>
          <cell r="E1704" t="str">
            <v>野生商标乙条</v>
          </cell>
          <cell r="F1704" t="str">
            <v>本年累计</v>
          </cell>
          <cell r="G1704">
            <v>0</v>
          </cell>
          <cell r="H1704">
            <v>554.79999999999995</v>
          </cell>
          <cell r="I1704">
            <v>12180.83</v>
          </cell>
          <cell r="J1704">
            <v>554.79999999999995</v>
          </cell>
          <cell r="K1704">
            <v>12180.83</v>
          </cell>
          <cell r="L1704" t="str">
            <v>平</v>
          </cell>
          <cell r="M1704">
            <v>0</v>
          </cell>
          <cell r="N1704">
            <v>0</v>
          </cell>
          <cell r="O1704">
            <v>0</v>
          </cell>
        </row>
        <row r="1705">
          <cell r="A1705" t="str">
            <v>02</v>
          </cell>
          <cell r="B1705" t="str">
            <v>28</v>
          </cell>
          <cell r="C1705" t="str">
            <v>记-0057</v>
          </cell>
          <cell r="D1705" t="str">
            <v>095</v>
          </cell>
          <cell r="E1705" t="str">
            <v>野生非标丁草</v>
          </cell>
          <cell r="F1705" t="str">
            <v>销售商品</v>
          </cell>
          <cell r="G1705">
            <v>8.7070000000000007</v>
          </cell>
          <cell r="H1705">
            <v>0</v>
          </cell>
          <cell r="I1705">
            <v>0</v>
          </cell>
          <cell r="J1705">
            <v>4991</v>
          </cell>
          <cell r="K1705">
            <v>43456.639999999999</v>
          </cell>
          <cell r="L1705" t="str">
            <v>贷</v>
          </cell>
          <cell r="M1705">
            <v>4991</v>
          </cell>
          <cell r="N1705">
            <v>0</v>
          </cell>
          <cell r="O1705">
            <v>43456.639999999999</v>
          </cell>
        </row>
        <row r="1706">
          <cell r="A1706" t="str">
            <v>02</v>
          </cell>
          <cell r="F1706" t="str">
            <v>本月合计</v>
          </cell>
          <cell r="G1706">
            <v>0</v>
          </cell>
          <cell r="H1706">
            <v>0</v>
          </cell>
          <cell r="I1706">
            <v>0</v>
          </cell>
          <cell r="J1706">
            <v>4991</v>
          </cell>
          <cell r="K1706">
            <v>43456.639999999999</v>
          </cell>
          <cell r="L1706" t="str">
            <v>贷</v>
          </cell>
          <cell r="M1706">
            <v>4991</v>
          </cell>
          <cell r="N1706">
            <v>8.7070000000000007</v>
          </cell>
          <cell r="O1706">
            <v>43456.639999999999</v>
          </cell>
        </row>
        <row r="1707">
          <cell r="A1707" t="str">
            <v>02</v>
          </cell>
          <cell r="F1707" t="str">
            <v>累    计</v>
          </cell>
          <cell r="G1707">
            <v>0</v>
          </cell>
          <cell r="H1707">
            <v>0</v>
          </cell>
          <cell r="I1707">
            <v>0</v>
          </cell>
          <cell r="J1707">
            <v>4991</v>
          </cell>
          <cell r="K1707">
            <v>43456.639999999999</v>
          </cell>
          <cell r="L1707" t="str">
            <v>贷</v>
          </cell>
          <cell r="M1707">
            <v>4991</v>
          </cell>
          <cell r="N1707">
            <v>8.7070000000000007</v>
          </cell>
          <cell r="O1707">
            <v>43456.639999999999</v>
          </cell>
        </row>
        <row r="1708">
          <cell r="A1708" t="str">
            <v>03</v>
          </cell>
          <cell r="B1708" t="str">
            <v>31</v>
          </cell>
          <cell r="C1708" t="str">
            <v>记-0042</v>
          </cell>
          <cell r="D1708" t="str">
            <v>095</v>
          </cell>
          <cell r="E1708" t="str">
            <v>野生非标丁草</v>
          </cell>
          <cell r="F1708" t="str">
            <v>转成本</v>
          </cell>
          <cell r="G1708">
            <v>5.2866099999999996</v>
          </cell>
          <cell r="H1708">
            <v>0</v>
          </cell>
          <cell r="I1708">
            <v>0</v>
          </cell>
          <cell r="J1708">
            <v>344.3</v>
          </cell>
          <cell r="K1708">
            <v>1820.18</v>
          </cell>
          <cell r="L1708" t="str">
            <v>贷</v>
          </cell>
          <cell r="M1708">
            <v>5335.3</v>
          </cell>
          <cell r="N1708">
            <v>0</v>
          </cell>
          <cell r="O1708">
            <v>45276.82</v>
          </cell>
        </row>
        <row r="1709">
          <cell r="A1709" t="str">
            <v>03</v>
          </cell>
          <cell r="F1709" t="str">
            <v>本月合计</v>
          </cell>
          <cell r="G1709">
            <v>0</v>
          </cell>
          <cell r="H1709">
            <v>0</v>
          </cell>
          <cell r="I1709">
            <v>0</v>
          </cell>
          <cell r="J1709">
            <v>344.3</v>
          </cell>
          <cell r="K1709">
            <v>1820.18</v>
          </cell>
          <cell r="L1709" t="str">
            <v>贷</v>
          </cell>
          <cell r="M1709">
            <v>5335.3</v>
          </cell>
          <cell r="N1709">
            <v>8.4862699999999993</v>
          </cell>
          <cell r="O1709">
            <v>45276.82</v>
          </cell>
        </row>
        <row r="1710">
          <cell r="A1710" t="str">
            <v>03</v>
          </cell>
          <cell r="F1710" t="str">
            <v>累    计</v>
          </cell>
          <cell r="G1710">
            <v>0</v>
          </cell>
          <cell r="H1710">
            <v>0</v>
          </cell>
          <cell r="I1710">
            <v>0</v>
          </cell>
          <cell r="J1710">
            <v>5335.3</v>
          </cell>
          <cell r="K1710">
            <v>45276.82</v>
          </cell>
          <cell r="L1710" t="str">
            <v>贷</v>
          </cell>
          <cell r="M1710">
            <v>5335.3</v>
          </cell>
          <cell r="N1710">
            <v>8.4862699999999993</v>
          </cell>
          <cell r="O1710">
            <v>45276.82</v>
          </cell>
        </row>
        <row r="1711">
          <cell r="A1711" t="str">
            <v>11</v>
          </cell>
          <cell r="B1711" t="str">
            <v>30</v>
          </cell>
          <cell r="C1711" t="str">
            <v>记-0076</v>
          </cell>
          <cell r="D1711" t="str">
            <v>095</v>
          </cell>
          <cell r="E1711" t="str">
            <v>野生非标丁草</v>
          </cell>
          <cell r="F1711" t="str">
            <v>合并名称</v>
          </cell>
          <cell r="G1711">
            <v>8.7070000000000007</v>
          </cell>
          <cell r="H1711">
            <v>0</v>
          </cell>
          <cell r="I1711">
            <v>0</v>
          </cell>
          <cell r="J1711">
            <v>-4991</v>
          </cell>
          <cell r="K1711">
            <v>-43456.639999999999</v>
          </cell>
          <cell r="L1711" t="str">
            <v>贷</v>
          </cell>
          <cell r="M1711">
            <v>344.3</v>
          </cell>
          <cell r="N1711">
            <v>0</v>
          </cell>
          <cell r="O1711">
            <v>1820.18</v>
          </cell>
        </row>
        <row r="1712">
          <cell r="A1712" t="str">
            <v>11</v>
          </cell>
          <cell r="B1712" t="str">
            <v>30</v>
          </cell>
          <cell r="C1712" t="str">
            <v>记-0078</v>
          </cell>
          <cell r="D1712" t="str">
            <v>095</v>
          </cell>
          <cell r="E1712" t="str">
            <v>野生非标丁草</v>
          </cell>
          <cell r="F1712" t="str">
            <v>调整3月42号凭</v>
          </cell>
          <cell r="G1712">
            <v>5.2866099999999996</v>
          </cell>
          <cell r="H1712">
            <v>0</v>
          </cell>
          <cell r="I1712">
            <v>0</v>
          </cell>
          <cell r="J1712">
            <v>-344.3</v>
          </cell>
          <cell r="K1712">
            <v>-1820.18</v>
          </cell>
          <cell r="L1712" t="str">
            <v>平</v>
          </cell>
          <cell r="M1712">
            <v>0</v>
          </cell>
          <cell r="N1712">
            <v>0</v>
          </cell>
          <cell r="O1712">
            <v>0</v>
          </cell>
        </row>
        <row r="1713">
          <cell r="A1713" t="str">
            <v>11</v>
          </cell>
          <cell r="F1713" t="str">
            <v>本月合计</v>
          </cell>
          <cell r="G1713">
            <v>0</v>
          </cell>
          <cell r="H1713">
            <v>0</v>
          </cell>
          <cell r="I1713">
            <v>0</v>
          </cell>
          <cell r="J1713">
            <v>-5335.3</v>
          </cell>
          <cell r="K1713">
            <v>-45276.82</v>
          </cell>
          <cell r="L1713" t="str">
            <v>平</v>
          </cell>
          <cell r="M1713">
            <v>0</v>
          </cell>
          <cell r="N1713">
            <v>0</v>
          </cell>
          <cell r="O1713">
            <v>0</v>
          </cell>
        </row>
        <row r="1714">
          <cell r="A1714" t="str">
            <v>11</v>
          </cell>
          <cell r="E1714" t="str">
            <v>野生非标丁草</v>
          </cell>
          <cell r="F1714" t="str">
            <v>本年累计</v>
          </cell>
          <cell r="G1714">
            <v>0</v>
          </cell>
          <cell r="H1714">
            <v>0</v>
          </cell>
          <cell r="I1714">
            <v>0</v>
          </cell>
          <cell r="J1714">
            <v>0</v>
          </cell>
          <cell r="K1714">
            <v>0</v>
          </cell>
          <cell r="L1714" t="str">
            <v>平</v>
          </cell>
          <cell r="M1714">
            <v>0</v>
          </cell>
          <cell r="N1714">
            <v>0</v>
          </cell>
          <cell r="O1714">
            <v>0</v>
          </cell>
        </row>
        <row r="1715">
          <cell r="A1715" t="str">
            <v>02</v>
          </cell>
          <cell r="B1715" t="str">
            <v>28</v>
          </cell>
          <cell r="C1715" t="str">
            <v>记-0051</v>
          </cell>
          <cell r="D1715" t="str">
            <v>096</v>
          </cell>
          <cell r="E1715" t="str">
            <v>野生非商丙条</v>
          </cell>
          <cell r="F1715" t="str">
            <v>销售商品</v>
          </cell>
          <cell r="G1715">
            <v>13.332100000000001</v>
          </cell>
          <cell r="H1715">
            <v>0</v>
          </cell>
          <cell r="I1715">
            <v>0</v>
          </cell>
          <cell r="J1715">
            <v>1716.6</v>
          </cell>
          <cell r="K1715">
            <v>22885.88</v>
          </cell>
          <cell r="L1715" t="str">
            <v>贷</v>
          </cell>
          <cell r="M1715">
            <v>1716.6</v>
          </cell>
          <cell r="N1715">
            <v>0</v>
          </cell>
          <cell r="O1715">
            <v>22885.88</v>
          </cell>
        </row>
        <row r="1716">
          <cell r="A1716" t="str">
            <v>02</v>
          </cell>
          <cell r="F1716" t="str">
            <v>本月合计</v>
          </cell>
          <cell r="G1716">
            <v>0</v>
          </cell>
          <cell r="H1716">
            <v>0</v>
          </cell>
          <cell r="I1716">
            <v>0</v>
          </cell>
          <cell r="J1716">
            <v>1716.6</v>
          </cell>
          <cell r="K1716">
            <v>22885.88</v>
          </cell>
          <cell r="L1716" t="str">
            <v>贷</v>
          </cell>
          <cell r="M1716">
            <v>1716.6</v>
          </cell>
          <cell r="N1716">
            <v>13.332100000000001</v>
          </cell>
          <cell r="O1716">
            <v>22885.88</v>
          </cell>
        </row>
        <row r="1717">
          <cell r="A1717" t="str">
            <v>02</v>
          </cell>
          <cell r="F1717" t="str">
            <v>累    计</v>
          </cell>
          <cell r="G1717">
            <v>0</v>
          </cell>
          <cell r="H1717">
            <v>0</v>
          </cell>
          <cell r="I1717">
            <v>0</v>
          </cell>
          <cell r="J1717">
            <v>1716.6</v>
          </cell>
          <cell r="K1717">
            <v>22885.88</v>
          </cell>
          <cell r="L1717" t="str">
            <v>贷</v>
          </cell>
          <cell r="M1717">
            <v>1716.6</v>
          </cell>
          <cell r="N1717">
            <v>13.332100000000001</v>
          </cell>
          <cell r="O1717">
            <v>22885.88</v>
          </cell>
        </row>
        <row r="1718">
          <cell r="A1718" t="str">
            <v>03</v>
          </cell>
          <cell r="B1718" t="str">
            <v>31</v>
          </cell>
          <cell r="C1718" t="str">
            <v>记-0046</v>
          </cell>
          <cell r="D1718" t="str">
            <v>096</v>
          </cell>
          <cell r="E1718" t="str">
            <v>野生非商丙条</v>
          </cell>
          <cell r="F1718" t="str">
            <v>转成本</v>
          </cell>
          <cell r="G1718">
            <v>13.332129999999999</v>
          </cell>
          <cell r="H1718">
            <v>0</v>
          </cell>
          <cell r="I1718">
            <v>0</v>
          </cell>
          <cell r="J1718">
            <v>49.8</v>
          </cell>
          <cell r="K1718">
            <v>663.94</v>
          </cell>
          <cell r="L1718" t="str">
            <v>贷</v>
          </cell>
          <cell r="M1718">
            <v>1766.4</v>
          </cell>
          <cell r="N1718">
            <v>0</v>
          </cell>
          <cell r="O1718">
            <v>23549.82</v>
          </cell>
        </row>
        <row r="1719">
          <cell r="A1719" t="str">
            <v>03</v>
          </cell>
          <cell r="F1719" t="str">
            <v>本月合计</v>
          </cell>
          <cell r="G1719">
            <v>0</v>
          </cell>
          <cell r="H1719">
            <v>0</v>
          </cell>
          <cell r="I1719">
            <v>0</v>
          </cell>
          <cell r="J1719">
            <v>49.8</v>
          </cell>
          <cell r="K1719">
            <v>663.94</v>
          </cell>
          <cell r="L1719" t="str">
            <v>贷</v>
          </cell>
          <cell r="M1719">
            <v>1766.4</v>
          </cell>
          <cell r="N1719">
            <v>13.332100000000001</v>
          </cell>
          <cell r="O1719">
            <v>23549.82</v>
          </cell>
        </row>
        <row r="1720">
          <cell r="A1720" t="str">
            <v>03</v>
          </cell>
          <cell r="F1720" t="str">
            <v>累    计</v>
          </cell>
          <cell r="G1720">
            <v>0</v>
          </cell>
          <cell r="H1720">
            <v>0</v>
          </cell>
          <cell r="I1720">
            <v>0</v>
          </cell>
          <cell r="J1720">
            <v>1766.4</v>
          </cell>
          <cell r="K1720">
            <v>23549.82</v>
          </cell>
          <cell r="L1720" t="str">
            <v>贷</v>
          </cell>
          <cell r="M1720">
            <v>1766.4</v>
          </cell>
          <cell r="N1720">
            <v>13.332100000000001</v>
          </cell>
          <cell r="O1720">
            <v>23549.82</v>
          </cell>
        </row>
        <row r="1721">
          <cell r="A1721" t="str">
            <v>05</v>
          </cell>
          <cell r="B1721" t="str">
            <v>31</v>
          </cell>
          <cell r="C1721" t="str">
            <v>记-0087</v>
          </cell>
          <cell r="D1721" t="str">
            <v>096</v>
          </cell>
          <cell r="E1721" t="str">
            <v>野生非商丙条</v>
          </cell>
          <cell r="F1721" t="str">
            <v>转成本</v>
          </cell>
          <cell r="G1721">
            <v>22.120069999999998</v>
          </cell>
          <cell r="H1721">
            <v>0</v>
          </cell>
          <cell r="I1721">
            <v>0</v>
          </cell>
          <cell r="J1721">
            <v>55.3</v>
          </cell>
          <cell r="K1721">
            <v>1223.24</v>
          </cell>
          <cell r="L1721" t="str">
            <v>贷</v>
          </cell>
          <cell r="M1721">
            <v>1821.7</v>
          </cell>
          <cell r="N1721">
            <v>0</v>
          </cell>
          <cell r="O1721">
            <v>24773.06</v>
          </cell>
        </row>
        <row r="1722">
          <cell r="A1722" t="str">
            <v>05</v>
          </cell>
          <cell r="F1722" t="str">
            <v>本月合计</v>
          </cell>
          <cell r="G1722">
            <v>0</v>
          </cell>
          <cell r="H1722">
            <v>0</v>
          </cell>
          <cell r="I1722">
            <v>0</v>
          </cell>
          <cell r="J1722">
            <v>55.3</v>
          </cell>
          <cell r="K1722">
            <v>1223.24</v>
          </cell>
          <cell r="L1722" t="str">
            <v>贷</v>
          </cell>
          <cell r="M1722">
            <v>1821.7</v>
          </cell>
          <cell r="N1722">
            <v>13.59887</v>
          </cell>
          <cell r="O1722">
            <v>24773.06</v>
          </cell>
        </row>
        <row r="1723">
          <cell r="A1723" t="str">
            <v>05</v>
          </cell>
          <cell r="F1723" t="str">
            <v>累    计</v>
          </cell>
          <cell r="G1723">
            <v>0</v>
          </cell>
          <cell r="H1723">
            <v>0</v>
          </cell>
          <cell r="I1723">
            <v>0</v>
          </cell>
          <cell r="J1723">
            <v>1821.7</v>
          </cell>
          <cell r="K1723">
            <v>24773.06</v>
          </cell>
          <cell r="L1723" t="str">
            <v>贷</v>
          </cell>
          <cell r="M1723">
            <v>1821.7</v>
          </cell>
          <cell r="N1723">
            <v>13.59887</v>
          </cell>
          <cell r="O1723">
            <v>24773.06</v>
          </cell>
        </row>
        <row r="1724">
          <cell r="A1724" t="str">
            <v>11</v>
          </cell>
          <cell r="B1724" t="str">
            <v>30</v>
          </cell>
          <cell r="C1724" t="str">
            <v>记-0059</v>
          </cell>
          <cell r="D1724" t="str">
            <v>096</v>
          </cell>
          <cell r="E1724" t="str">
            <v>野生非商丙条</v>
          </cell>
          <cell r="F1724" t="str">
            <v>调整3月46号凭</v>
          </cell>
          <cell r="G1724">
            <v>17.956040000000002</v>
          </cell>
          <cell r="H1724">
            <v>0</v>
          </cell>
          <cell r="I1724">
            <v>0</v>
          </cell>
          <cell r="J1724">
            <v>-105.1</v>
          </cell>
          <cell r="K1724">
            <v>-1887.18</v>
          </cell>
          <cell r="L1724" t="str">
            <v>贷</v>
          </cell>
          <cell r="M1724">
            <v>1716.6</v>
          </cell>
          <cell r="N1724">
            <v>0</v>
          </cell>
          <cell r="O1724">
            <v>22885.88</v>
          </cell>
        </row>
        <row r="1725">
          <cell r="A1725" t="str">
            <v>11</v>
          </cell>
          <cell r="B1725" t="str">
            <v>30</v>
          </cell>
          <cell r="C1725" t="str">
            <v>记-0062</v>
          </cell>
          <cell r="D1725" t="str">
            <v>096</v>
          </cell>
          <cell r="E1725" t="str">
            <v>野生非商丙条</v>
          </cell>
          <cell r="F1725" t="str">
            <v>合并名称</v>
          </cell>
          <cell r="G1725">
            <v>13.33676</v>
          </cell>
          <cell r="H1725">
            <v>0</v>
          </cell>
          <cell r="I1725">
            <v>0</v>
          </cell>
          <cell r="J1725">
            <v>-1716</v>
          </cell>
          <cell r="K1725">
            <v>-22885.88</v>
          </cell>
          <cell r="L1725" t="str">
            <v>平</v>
          </cell>
          <cell r="M1725">
            <v>-0.6</v>
          </cell>
          <cell r="N1725">
            <v>0</v>
          </cell>
          <cell r="O1725">
            <v>0</v>
          </cell>
        </row>
        <row r="1726">
          <cell r="A1726" t="str">
            <v>11</v>
          </cell>
          <cell r="F1726" t="str">
            <v>本月合计</v>
          </cell>
          <cell r="G1726">
            <v>0</v>
          </cell>
          <cell r="H1726">
            <v>0</v>
          </cell>
          <cell r="I1726">
            <v>0</v>
          </cell>
          <cell r="J1726">
            <v>-1821.1</v>
          </cell>
          <cell r="K1726">
            <v>-24773.06</v>
          </cell>
          <cell r="L1726" t="str">
            <v>平</v>
          </cell>
          <cell r="M1726">
            <v>-0.6</v>
          </cell>
          <cell r="N1726">
            <v>0</v>
          </cell>
          <cell r="O1726">
            <v>0</v>
          </cell>
        </row>
        <row r="1727">
          <cell r="A1727" t="str">
            <v>11</v>
          </cell>
          <cell r="F1727" t="str">
            <v>累    计</v>
          </cell>
          <cell r="G1727">
            <v>0</v>
          </cell>
          <cell r="H1727">
            <v>0</v>
          </cell>
          <cell r="I1727">
            <v>0</v>
          </cell>
          <cell r="J1727">
            <v>0.6</v>
          </cell>
          <cell r="K1727">
            <v>0</v>
          </cell>
          <cell r="L1727" t="str">
            <v>平</v>
          </cell>
          <cell r="M1727">
            <v>-0.6</v>
          </cell>
          <cell r="N1727">
            <v>0</v>
          </cell>
          <cell r="O1727">
            <v>0</v>
          </cell>
        </row>
        <row r="1728">
          <cell r="A1728" t="str">
            <v>12</v>
          </cell>
          <cell r="B1728" t="str">
            <v>11</v>
          </cell>
          <cell r="C1728" t="str">
            <v>记-0009</v>
          </cell>
          <cell r="D1728" t="str">
            <v>096</v>
          </cell>
          <cell r="E1728" t="str">
            <v>野生非商丙条</v>
          </cell>
          <cell r="F1728" t="str">
            <v>调整11月62号</v>
          </cell>
          <cell r="G1728">
            <v>0</v>
          </cell>
          <cell r="H1728">
            <v>0</v>
          </cell>
          <cell r="I1728">
            <v>0</v>
          </cell>
          <cell r="J1728">
            <v>0</v>
          </cell>
          <cell r="K1728">
            <v>22885.88</v>
          </cell>
          <cell r="L1728" t="str">
            <v>贷</v>
          </cell>
          <cell r="M1728">
            <v>0.6</v>
          </cell>
          <cell r="N1728">
            <v>0</v>
          </cell>
          <cell r="O1728">
            <v>22885.88</v>
          </cell>
        </row>
        <row r="1729">
          <cell r="A1729" t="str">
            <v>12</v>
          </cell>
          <cell r="B1729" t="str">
            <v>11</v>
          </cell>
          <cell r="C1729" t="str">
            <v>记-0009</v>
          </cell>
          <cell r="D1729" t="str">
            <v>096</v>
          </cell>
          <cell r="E1729" t="str">
            <v>野生非商丙条</v>
          </cell>
          <cell r="F1729" t="str">
            <v>更正</v>
          </cell>
          <cell r="G1729">
            <v>38143.133329999997</v>
          </cell>
          <cell r="H1729">
            <v>0</v>
          </cell>
          <cell r="I1729">
            <v>0</v>
          </cell>
          <cell r="J1729">
            <v>0.6</v>
          </cell>
          <cell r="K1729">
            <v>-22885.88</v>
          </cell>
          <cell r="L1729" t="str">
            <v>平</v>
          </cell>
          <cell r="M1729">
            <v>-1.2</v>
          </cell>
          <cell r="N1729">
            <v>0</v>
          </cell>
          <cell r="O1729">
            <v>0</v>
          </cell>
        </row>
        <row r="1730">
          <cell r="A1730" t="str">
            <v>12</v>
          </cell>
          <cell r="F1730" t="str">
            <v>本月合计</v>
          </cell>
          <cell r="G1730">
            <v>0</v>
          </cell>
          <cell r="H1730">
            <v>0</v>
          </cell>
          <cell r="I1730">
            <v>0</v>
          </cell>
          <cell r="J1730">
            <v>0.6</v>
          </cell>
          <cell r="K1730">
            <v>0</v>
          </cell>
          <cell r="L1730" t="str">
            <v>平</v>
          </cell>
          <cell r="M1730">
            <v>-1.2</v>
          </cell>
          <cell r="N1730">
            <v>0</v>
          </cell>
          <cell r="O1730">
            <v>0</v>
          </cell>
        </row>
        <row r="1731">
          <cell r="A1731" t="str">
            <v>12</v>
          </cell>
          <cell r="E1731" t="str">
            <v>野生非商丙条</v>
          </cell>
          <cell r="F1731" t="str">
            <v>本年累计</v>
          </cell>
          <cell r="G1731">
            <v>0</v>
          </cell>
          <cell r="H1731">
            <v>0</v>
          </cell>
          <cell r="I1731">
            <v>0</v>
          </cell>
          <cell r="J1731">
            <v>1.2</v>
          </cell>
          <cell r="K1731">
            <v>0</v>
          </cell>
          <cell r="L1731" t="str">
            <v>平</v>
          </cell>
          <cell r="M1731">
            <v>-1.2</v>
          </cell>
          <cell r="N1731">
            <v>0</v>
          </cell>
          <cell r="O1731">
            <v>0</v>
          </cell>
        </row>
        <row r="1732">
          <cell r="A1732" t="str">
            <v>02</v>
          </cell>
          <cell r="B1732" t="str">
            <v>28</v>
          </cell>
          <cell r="C1732" t="str">
            <v>记-0051</v>
          </cell>
          <cell r="D1732" t="str">
            <v>097</v>
          </cell>
          <cell r="E1732" t="str">
            <v>野生去皮特片</v>
          </cell>
          <cell r="F1732" t="str">
            <v>销售商品</v>
          </cell>
          <cell r="G1732">
            <v>59.232120000000002</v>
          </cell>
          <cell r="H1732">
            <v>0</v>
          </cell>
          <cell r="I1732">
            <v>0</v>
          </cell>
          <cell r="J1732">
            <v>231</v>
          </cell>
          <cell r="K1732">
            <v>13682.62</v>
          </cell>
          <cell r="L1732" t="str">
            <v>贷</v>
          </cell>
          <cell r="M1732">
            <v>231</v>
          </cell>
          <cell r="N1732">
            <v>0</v>
          </cell>
          <cell r="O1732">
            <v>13682.62</v>
          </cell>
        </row>
        <row r="1733">
          <cell r="A1733" t="str">
            <v>02</v>
          </cell>
          <cell r="F1733" t="str">
            <v>本月合计</v>
          </cell>
          <cell r="G1733">
            <v>0</v>
          </cell>
          <cell r="H1733">
            <v>0</v>
          </cell>
          <cell r="I1733">
            <v>0</v>
          </cell>
          <cell r="J1733">
            <v>231</v>
          </cell>
          <cell r="K1733">
            <v>13682.62</v>
          </cell>
          <cell r="L1733" t="str">
            <v>贷</v>
          </cell>
          <cell r="M1733">
            <v>231</v>
          </cell>
          <cell r="N1733">
            <v>59.232120000000002</v>
          </cell>
          <cell r="O1733">
            <v>13682.62</v>
          </cell>
        </row>
        <row r="1734">
          <cell r="A1734" t="str">
            <v>02</v>
          </cell>
          <cell r="F1734" t="str">
            <v>累    计</v>
          </cell>
          <cell r="G1734">
            <v>0</v>
          </cell>
          <cell r="H1734">
            <v>0</v>
          </cell>
          <cell r="I1734">
            <v>0</v>
          </cell>
          <cell r="J1734">
            <v>231</v>
          </cell>
          <cell r="K1734">
            <v>13682.62</v>
          </cell>
          <cell r="L1734" t="str">
            <v>贷</v>
          </cell>
          <cell r="M1734">
            <v>231</v>
          </cell>
          <cell r="N1734">
            <v>59.232120000000002</v>
          </cell>
          <cell r="O1734">
            <v>13682.62</v>
          </cell>
        </row>
        <row r="1735">
          <cell r="A1735" t="str">
            <v>03</v>
          </cell>
          <cell r="B1735" t="str">
            <v>31</v>
          </cell>
          <cell r="C1735" t="str">
            <v>记-0043</v>
          </cell>
          <cell r="D1735" t="str">
            <v>097</v>
          </cell>
          <cell r="E1735" t="str">
            <v>野生去皮特片</v>
          </cell>
          <cell r="F1735" t="str">
            <v>转成本</v>
          </cell>
          <cell r="G1735">
            <v>61.95</v>
          </cell>
          <cell r="H1735">
            <v>0</v>
          </cell>
          <cell r="I1735">
            <v>0</v>
          </cell>
          <cell r="J1735">
            <v>150</v>
          </cell>
          <cell r="K1735">
            <v>9292.5</v>
          </cell>
          <cell r="L1735" t="str">
            <v>贷</v>
          </cell>
          <cell r="M1735">
            <v>381</v>
          </cell>
          <cell r="N1735">
            <v>0</v>
          </cell>
          <cell r="O1735">
            <v>22975.119999999999</v>
          </cell>
        </row>
        <row r="1736">
          <cell r="A1736" t="str">
            <v>03</v>
          </cell>
          <cell r="F1736" t="str">
            <v>本月合计</v>
          </cell>
          <cell r="G1736">
            <v>0</v>
          </cell>
          <cell r="H1736">
            <v>0</v>
          </cell>
          <cell r="I1736">
            <v>0</v>
          </cell>
          <cell r="J1736">
            <v>150</v>
          </cell>
          <cell r="K1736">
            <v>9292.5</v>
          </cell>
          <cell r="L1736" t="str">
            <v>贷</v>
          </cell>
          <cell r="M1736">
            <v>381</v>
          </cell>
          <cell r="N1736">
            <v>60.302149999999997</v>
          </cell>
          <cell r="O1736">
            <v>22975.119999999999</v>
          </cell>
        </row>
        <row r="1737">
          <cell r="A1737" t="str">
            <v>03</v>
          </cell>
          <cell r="F1737" t="str">
            <v>累    计</v>
          </cell>
          <cell r="G1737">
            <v>0</v>
          </cell>
          <cell r="H1737">
            <v>0</v>
          </cell>
          <cell r="I1737">
            <v>0</v>
          </cell>
          <cell r="J1737">
            <v>381</v>
          </cell>
          <cell r="K1737">
            <v>22975.119999999999</v>
          </cell>
          <cell r="L1737" t="str">
            <v>贷</v>
          </cell>
          <cell r="M1737">
            <v>381</v>
          </cell>
          <cell r="N1737">
            <v>60.302149999999997</v>
          </cell>
          <cell r="O1737">
            <v>22975.119999999999</v>
          </cell>
        </row>
        <row r="1738">
          <cell r="A1738" t="str">
            <v>04</v>
          </cell>
          <cell r="B1738" t="str">
            <v>30</v>
          </cell>
          <cell r="C1738" t="str">
            <v>记-0049</v>
          </cell>
          <cell r="D1738" t="str">
            <v>097</v>
          </cell>
          <cell r="E1738" t="str">
            <v>野生去皮特片</v>
          </cell>
          <cell r="F1738" t="str">
            <v>转成本</v>
          </cell>
          <cell r="G1738">
            <v>61.95</v>
          </cell>
          <cell r="H1738">
            <v>0</v>
          </cell>
          <cell r="I1738">
            <v>0</v>
          </cell>
          <cell r="J1738">
            <v>540</v>
          </cell>
          <cell r="K1738">
            <v>33453</v>
          </cell>
          <cell r="L1738" t="str">
            <v>贷</v>
          </cell>
          <cell r="M1738">
            <v>921</v>
          </cell>
          <cell r="N1738">
            <v>0</v>
          </cell>
          <cell r="O1738">
            <v>56428.12</v>
          </cell>
        </row>
        <row r="1739">
          <cell r="A1739" t="str">
            <v>04</v>
          </cell>
          <cell r="B1739" t="str">
            <v>30</v>
          </cell>
          <cell r="C1739" t="str">
            <v>记-0049</v>
          </cell>
          <cell r="D1739" t="str">
            <v>097</v>
          </cell>
          <cell r="E1739" t="str">
            <v>野生去皮特片</v>
          </cell>
          <cell r="F1739" t="str">
            <v>转成本</v>
          </cell>
          <cell r="G1739">
            <v>61.95</v>
          </cell>
          <cell r="H1739">
            <v>0</v>
          </cell>
          <cell r="I1739">
            <v>0</v>
          </cell>
          <cell r="J1739">
            <v>2080</v>
          </cell>
          <cell r="K1739">
            <v>128856</v>
          </cell>
          <cell r="L1739" t="str">
            <v>贷</v>
          </cell>
          <cell r="M1739">
            <v>3001</v>
          </cell>
          <cell r="N1739">
            <v>0</v>
          </cell>
          <cell r="O1739">
            <v>185284.12</v>
          </cell>
        </row>
        <row r="1740">
          <cell r="A1740" t="str">
            <v>04</v>
          </cell>
          <cell r="F1740" t="str">
            <v>本月合计</v>
          </cell>
          <cell r="G1740">
            <v>0</v>
          </cell>
          <cell r="H1740">
            <v>0</v>
          </cell>
          <cell r="I1740">
            <v>0</v>
          </cell>
          <cell r="J1740">
            <v>2620</v>
          </cell>
          <cell r="K1740">
            <v>162309</v>
          </cell>
          <cell r="L1740" t="str">
            <v>贷</v>
          </cell>
          <cell r="M1740">
            <v>3001</v>
          </cell>
          <cell r="N1740">
            <v>61.740789999999997</v>
          </cell>
          <cell r="O1740">
            <v>185284.12</v>
          </cell>
        </row>
        <row r="1741">
          <cell r="A1741" t="str">
            <v>04</v>
          </cell>
          <cell r="F1741" t="str">
            <v>累    计</v>
          </cell>
          <cell r="G1741">
            <v>0</v>
          </cell>
          <cell r="H1741">
            <v>0</v>
          </cell>
          <cell r="I1741">
            <v>0</v>
          </cell>
          <cell r="J1741">
            <v>3001</v>
          </cell>
          <cell r="K1741">
            <v>185284.12</v>
          </cell>
          <cell r="L1741" t="str">
            <v>贷</v>
          </cell>
          <cell r="M1741">
            <v>3001</v>
          </cell>
          <cell r="N1741">
            <v>61.740789999999997</v>
          </cell>
          <cell r="O1741">
            <v>185284.12</v>
          </cell>
        </row>
        <row r="1742">
          <cell r="A1742" t="str">
            <v>11</v>
          </cell>
          <cell r="B1742" t="str">
            <v>30</v>
          </cell>
          <cell r="C1742" t="str">
            <v>记-0107</v>
          </cell>
          <cell r="D1742" t="str">
            <v>097</v>
          </cell>
          <cell r="E1742" t="str">
            <v>野生去皮特片</v>
          </cell>
          <cell r="F1742" t="str">
            <v>合并名称</v>
          </cell>
          <cell r="G1742">
            <v>61.740789999999997</v>
          </cell>
          <cell r="H1742">
            <v>0</v>
          </cell>
          <cell r="I1742">
            <v>0</v>
          </cell>
          <cell r="J1742">
            <v>-3001</v>
          </cell>
          <cell r="K1742">
            <v>-185284.12</v>
          </cell>
          <cell r="L1742" t="str">
            <v>平</v>
          </cell>
          <cell r="M1742">
            <v>0</v>
          </cell>
          <cell r="N1742">
            <v>0</v>
          </cell>
          <cell r="O1742">
            <v>0</v>
          </cell>
        </row>
        <row r="1743">
          <cell r="A1743" t="str">
            <v>11</v>
          </cell>
          <cell r="F1743" t="str">
            <v>本月合计</v>
          </cell>
          <cell r="G1743">
            <v>0</v>
          </cell>
          <cell r="H1743">
            <v>0</v>
          </cell>
          <cell r="I1743">
            <v>0</v>
          </cell>
          <cell r="J1743">
            <v>-3001</v>
          </cell>
          <cell r="K1743">
            <v>-185284.12</v>
          </cell>
          <cell r="L1743" t="str">
            <v>平</v>
          </cell>
          <cell r="M1743">
            <v>0</v>
          </cell>
          <cell r="N1743">
            <v>0</v>
          </cell>
          <cell r="O1743">
            <v>0</v>
          </cell>
        </row>
        <row r="1744">
          <cell r="A1744" t="str">
            <v>11</v>
          </cell>
          <cell r="E1744" t="str">
            <v>野生去皮特片</v>
          </cell>
          <cell r="F1744" t="str">
            <v>本年累计</v>
          </cell>
          <cell r="G1744">
            <v>0</v>
          </cell>
          <cell r="H1744">
            <v>0</v>
          </cell>
          <cell r="I1744">
            <v>0</v>
          </cell>
          <cell r="J1744">
            <v>0</v>
          </cell>
          <cell r="K1744">
            <v>0</v>
          </cell>
          <cell r="L1744" t="str">
            <v>平</v>
          </cell>
          <cell r="M1744">
            <v>0</v>
          </cell>
          <cell r="N1744">
            <v>0</v>
          </cell>
          <cell r="O1744">
            <v>0</v>
          </cell>
        </row>
        <row r="1745">
          <cell r="A1745" t="str">
            <v>02</v>
          </cell>
          <cell r="B1745" t="str">
            <v>28</v>
          </cell>
          <cell r="C1745" t="str">
            <v>记-0051</v>
          </cell>
          <cell r="D1745" t="str">
            <v>098</v>
          </cell>
          <cell r="E1745" t="str">
            <v>野生去皮甲片</v>
          </cell>
          <cell r="F1745" t="str">
            <v>销售商品</v>
          </cell>
          <cell r="G1745">
            <v>48.672420000000002</v>
          </cell>
          <cell r="H1745">
            <v>0</v>
          </cell>
          <cell r="I1745">
            <v>0</v>
          </cell>
          <cell r="J1745">
            <v>198</v>
          </cell>
          <cell r="K1745">
            <v>9637.14</v>
          </cell>
          <cell r="L1745" t="str">
            <v>贷</v>
          </cell>
          <cell r="M1745">
            <v>198</v>
          </cell>
          <cell r="N1745">
            <v>0</v>
          </cell>
          <cell r="O1745">
            <v>9637.14</v>
          </cell>
        </row>
        <row r="1746">
          <cell r="A1746" t="str">
            <v>02</v>
          </cell>
          <cell r="F1746" t="str">
            <v>本月合计</v>
          </cell>
          <cell r="G1746">
            <v>0</v>
          </cell>
          <cell r="H1746">
            <v>0</v>
          </cell>
          <cell r="I1746">
            <v>0</v>
          </cell>
          <cell r="J1746">
            <v>198</v>
          </cell>
          <cell r="K1746">
            <v>9637.14</v>
          </cell>
          <cell r="L1746" t="str">
            <v>贷</v>
          </cell>
          <cell r="M1746">
            <v>198</v>
          </cell>
          <cell r="N1746">
            <v>48.672420000000002</v>
          </cell>
          <cell r="O1746">
            <v>9637.14</v>
          </cell>
        </row>
        <row r="1747">
          <cell r="A1747" t="str">
            <v>02</v>
          </cell>
          <cell r="F1747" t="str">
            <v>累    计</v>
          </cell>
          <cell r="G1747">
            <v>0</v>
          </cell>
          <cell r="H1747">
            <v>0</v>
          </cell>
          <cell r="I1747">
            <v>0</v>
          </cell>
          <cell r="J1747">
            <v>198</v>
          </cell>
          <cell r="K1747">
            <v>9637.14</v>
          </cell>
          <cell r="L1747" t="str">
            <v>贷</v>
          </cell>
          <cell r="M1747">
            <v>198</v>
          </cell>
          <cell r="N1747">
            <v>48.672420000000002</v>
          </cell>
          <cell r="O1747">
            <v>9637.14</v>
          </cell>
        </row>
        <row r="1748">
          <cell r="A1748" t="str">
            <v>03</v>
          </cell>
          <cell r="B1748" t="str">
            <v>31</v>
          </cell>
          <cell r="C1748" t="str">
            <v>记-0042</v>
          </cell>
          <cell r="D1748" t="str">
            <v>098</v>
          </cell>
          <cell r="E1748" t="str">
            <v>野生去皮甲片</v>
          </cell>
          <cell r="F1748" t="str">
            <v>转成本</v>
          </cell>
          <cell r="G1748">
            <v>48.672420000000002</v>
          </cell>
          <cell r="H1748">
            <v>0</v>
          </cell>
          <cell r="I1748">
            <v>0</v>
          </cell>
          <cell r="J1748">
            <v>120</v>
          </cell>
          <cell r="K1748">
            <v>5840.69</v>
          </cell>
          <cell r="L1748" t="str">
            <v>贷</v>
          </cell>
          <cell r="M1748">
            <v>318</v>
          </cell>
          <cell r="N1748">
            <v>0</v>
          </cell>
          <cell r="O1748">
            <v>15477.83</v>
          </cell>
        </row>
        <row r="1749">
          <cell r="A1749" t="str">
            <v>03</v>
          </cell>
          <cell r="B1749" t="str">
            <v>31</v>
          </cell>
          <cell r="C1749" t="str">
            <v>记-0043</v>
          </cell>
          <cell r="D1749" t="str">
            <v>098</v>
          </cell>
          <cell r="E1749" t="str">
            <v>野生去皮甲片</v>
          </cell>
          <cell r="F1749" t="str">
            <v>转成本</v>
          </cell>
          <cell r="G1749">
            <v>48.67248</v>
          </cell>
          <cell r="H1749">
            <v>0</v>
          </cell>
          <cell r="I1749">
            <v>0</v>
          </cell>
          <cell r="J1749">
            <v>165</v>
          </cell>
          <cell r="K1749">
            <v>8030.96</v>
          </cell>
          <cell r="L1749" t="str">
            <v>贷</v>
          </cell>
          <cell r="M1749">
            <v>483</v>
          </cell>
          <cell r="N1749">
            <v>0</v>
          </cell>
          <cell r="O1749">
            <v>23508.79</v>
          </cell>
        </row>
        <row r="1750">
          <cell r="A1750" t="str">
            <v>03</v>
          </cell>
          <cell r="F1750" t="str">
            <v>本月合计</v>
          </cell>
          <cell r="G1750">
            <v>0</v>
          </cell>
          <cell r="H1750">
            <v>0</v>
          </cell>
          <cell r="I1750">
            <v>0</v>
          </cell>
          <cell r="J1750">
            <v>285</v>
          </cell>
          <cell r="K1750">
            <v>13871.65</v>
          </cell>
          <cell r="L1750" t="str">
            <v>贷</v>
          </cell>
          <cell r="M1750">
            <v>483</v>
          </cell>
          <cell r="N1750">
            <v>48.672440000000002</v>
          </cell>
          <cell r="O1750">
            <v>23508.79</v>
          </cell>
        </row>
        <row r="1751">
          <cell r="A1751" t="str">
            <v>03</v>
          </cell>
          <cell r="F1751" t="str">
            <v>累    计</v>
          </cell>
          <cell r="G1751">
            <v>0</v>
          </cell>
          <cell r="H1751">
            <v>0</v>
          </cell>
          <cell r="I1751">
            <v>0</v>
          </cell>
          <cell r="J1751">
            <v>483</v>
          </cell>
          <cell r="K1751">
            <v>23508.79</v>
          </cell>
          <cell r="L1751" t="str">
            <v>贷</v>
          </cell>
          <cell r="M1751">
            <v>483</v>
          </cell>
          <cell r="N1751">
            <v>48.672440000000002</v>
          </cell>
          <cell r="O1751">
            <v>23508.79</v>
          </cell>
        </row>
        <row r="1752">
          <cell r="A1752" t="str">
            <v>11</v>
          </cell>
          <cell r="B1752" t="str">
            <v>30</v>
          </cell>
          <cell r="C1752" t="str">
            <v>记-0114</v>
          </cell>
          <cell r="D1752" t="str">
            <v>098</v>
          </cell>
          <cell r="E1752" t="str">
            <v>野生去皮甲片</v>
          </cell>
          <cell r="F1752" t="str">
            <v>合并名称</v>
          </cell>
          <cell r="G1752">
            <v>48.672440000000002</v>
          </cell>
          <cell r="H1752">
            <v>483</v>
          </cell>
          <cell r="I1752">
            <v>23508.79</v>
          </cell>
          <cell r="J1752">
            <v>0</v>
          </cell>
          <cell r="K1752">
            <v>0</v>
          </cell>
          <cell r="L1752" t="str">
            <v>平</v>
          </cell>
          <cell r="M1752">
            <v>0</v>
          </cell>
          <cell r="N1752">
            <v>0</v>
          </cell>
          <cell r="O1752">
            <v>0</v>
          </cell>
        </row>
        <row r="1753">
          <cell r="A1753" t="str">
            <v>11</v>
          </cell>
          <cell r="F1753" t="str">
            <v>本月合计</v>
          </cell>
          <cell r="G1753">
            <v>0</v>
          </cell>
          <cell r="H1753">
            <v>483</v>
          </cell>
          <cell r="I1753">
            <v>23508.79</v>
          </cell>
          <cell r="J1753">
            <v>0</v>
          </cell>
          <cell r="K1753">
            <v>0</v>
          </cell>
          <cell r="L1753" t="str">
            <v>平</v>
          </cell>
          <cell r="M1753">
            <v>0</v>
          </cell>
          <cell r="N1753">
            <v>0</v>
          </cell>
          <cell r="O1753">
            <v>0</v>
          </cell>
        </row>
        <row r="1754">
          <cell r="A1754" t="str">
            <v>11</v>
          </cell>
          <cell r="E1754" t="str">
            <v>野生去皮甲片</v>
          </cell>
          <cell r="F1754" t="str">
            <v>本年累计</v>
          </cell>
          <cell r="G1754">
            <v>0</v>
          </cell>
          <cell r="H1754">
            <v>483</v>
          </cell>
          <cell r="I1754">
            <v>23508.79</v>
          </cell>
          <cell r="J1754">
            <v>483</v>
          </cell>
          <cell r="K1754">
            <v>23508.79</v>
          </cell>
          <cell r="L1754" t="str">
            <v>平</v>
          </cell>
          <cell r="M1754">
            <v>0</v>
          </cell>
          <cell r="N1754">
            <v>0</v>
          </cell>
          <cell r="O1754">
            <v>0</v>
          </cell>
        </row>
        <row r="1755">
          <cell r="A1755" t="str">
            <v>02</v>
          </cell>
          <cell r="B1755" t="str">
            <v>28</v>
          </cell>
          <cell r="C1755" t="str">
            <v>记-0051</v>
          </cell>
          <cell r="D1755" t="str">
            <v>099</v>
          </cell>
          <cell r="E1755" t="str">
            <v>野生去皮乙片</v>
          </cell>
          <cell r="F1755" t="str">
            <v>销售商品</v>
          </cell>
          <cell r="G1755">
            <v>36.885809999999999</v>
          </cell>
          <cell r="H1755">
            <v>0</v>
          </cell>
          <cell r="I1755">
            <v>0</v>
          </cell>
          <cell r="J1755">
            <v>363</v>
          </cell>
          <cell r="K1755">
            <v>13389.55</v>
          </cell>
          <cell r="L1755" t="str">
            <v>贷</v>
          </cell>
          <cell r="M1755">
            <v>363</v>
          </cell>
          <cell r="N1755">
            <v>0</v>
          </cell>
          <cell r="O1755">
            <v>13389.55</v>
          </cell>
        </row>
        <row r="1756">
          <cell r="A1756" t="str">
            <v>02</v>
          </cell>
          <cell r="F1756" t="str">
            <v>本月合计</v>
          </cell>
          <cell r="G1756">
            <v>0</v>
          </cell>
          <cell r="H1756">
            <v>0</v>
          </cell>
          <cell r="I1756">
            <v>0</v>
          </cell>
          <cell r="J1756">
            <v>363</v>
          </cell>
          <cell r="K1756">
            <v>13389.55</v>
          </cell>
          <cell r="L1756" t="str">
            <v>贷</v>
          </cell>
          <cell r="M1756">
            <v>363</v>
          </cell>
          <cell r="N1756">
            <v>36.885809999999999</v>
          </cell>
          <cell r="O1756">
            <v>13389.55</v>
          </cell>
        </row>
        <row r="1757">
          <cell r="A1757" t="str">
            <v>02</v>
          </cell>
          <cell r="F1757" t="str">
            <v>累    计</v>
          </cell>
          <cell r="G1757">
            <v>0</v>
          </cell>
          <cell r="H1757">
            <v>0</v>
          </cell>
          <cell r="I1757">
            <v>0</v>
          </cell>
          <cell r="J1757">
            <v>363</v>
          </cell>
          <cell r="K1757">
            <v>13389.55</v>
          </cell>
          <cell r="L1757" t="str">
            <v>贷</v>
          </cell>
          <cell r="M1757">
            <v>363</v>
          </cell>
          <cell r="N1757">
            <v>36.885809999999999</v>
          </cell>
          <cell r="O1757">
            <v>13389.55</v>
          </cell>
        </row>
        <row r="1758">
          <cell r="A1758" t="str">
            <v>03</v>
          </cell>
          <cell r="B1758" t="str">
            <v>31</v>
          </cell>
          <cell r="C1758" t="str">
            <v>记-0042</v>
          </cell>
          <cell r="D1758" t="str">
            <v>099</v>
          </cell>
          <cell r="E1758" t="str">
            <v>野生去皮乙片</v>
          </cell>
          <cell r="F1758" t="str">
            <v>转成本</v>
          </cell>
          <cell r="G1758">
            <v>37.17</v>
          </cell>
          <cell r="H1758">
            <v>0</v>
          </cell>
          <cell r="I1758">
            <v>0</v>
          </cell>
          <cell r="J1758">
            <v>90</v>
          </cell>
          <cell r="K1758">
            <v>3345.3</v>
          </cell>
          <cell r="L1758" t="str">
            <v>贷</v>
          </cell>
          <cell r="M1758">
            <v>453</v>
          </cell>
          <cell r="N1758">
            <v>0</v>
          </cell>
          <cell r="O1758">
            <v>16734.849999999999</v>
          </cell>
        </row>
        <row r="1759">
          <cell r="A1759" t="str">
            <v>03</v>
          </cell>
          <cell r="B1759" t="str">
            <v>31</v>
          </cell>
          <cell r="C1759" t="str">
            <v>记-0043</v>
          </cell>
          <cell r="D1759" t="str">
            <v>099</v>
          </cell>
          <cell r="E1759" t="str">
            <v>野生去皮乙片</v>
          </cell>
          <cell r="F1759" t="str">
            <v>转成本</v>
          </cell>
          <cell r="G1759">
            <v>37.17</v>
          </cell>
          <cell r="H1759">
            <v>0</v>
          </cell>
          <cell r="I1759">
            <v>0</v>
          </cell>
          <cell r="J1759">
            <v>249</v>
          </cell>
          <cell r="K1759">
            <v>9255.33</v>
          </cell>
          <cell r="L1759" t="str">
            <v>贷</v>
          </cell>
          <cell r="M1759">
            <v>702</v>
          </cell>
          <cell r="N1759">
            <v>0</v>
          </cell>
          <cell r="O1759">
            <v>25990.18</v>
          </cell>
        </row>
        <row r="1760">
          <cell r="A1760" t="str">
            <v>03</v>
          </cell>
          <cell r="F1760" t="str">
            <v>本月合计</v>
          </cell>
          <cell r="G1760">
            <v>0</v>
          </cell>
          <cell r="H1760">
            <v>0</v>
          </cell>
          <cell r="I1760">
            <v>0</v>
          </cell>
          <cell r="J1760">
            <v>339</v>
          </cell>
          <cell r="K1760">
            <v>12600.63</v>
          </cell>
          <cell r="L1760" t="str">
            <v>贷</v>
          </cell>
          <cell r="M1760">
            <v>702</v>
          </cell>
          <cell r="N1760">
            <v>37.023049999999998</v>
          </cell>
          <cell r="O1760">
            <v>25990.18</v>
          </cell>
        </row>
        <row r="1761">
          <cell r="A1761" t="str">
            <v>03</v>
          </cell>
          <cell r="F1761" t="str">
            <v>累    计</v>
          </cell>
          <cell r="G1761">
            <v>0</v>
          </cell>
          <cell r="H1761">
            <v>0</v>
          </cell>
          <cell r="I1761">
            <v>0</v>
          </cell>
          <cell r="J1761">
            <v>702</v>
          </cell>
          <cell r="K1761">
            <v>25990.18</v>
          </cell>
          <cell r="L1761" t="str">
            <v>贷</v>
          </cell>
          <cell r="M1761">
            <v>702</v>
          </cell>
          <cell r="N1761">
            <v>37.023049999999998</v>
          </cell>
          <cell r="O1761">
            <v>25990.18</v>
          </cell>
        </row>
        <row r="1762">
          <cell r="A1762" t="str">
            <v>11</v>
          </cell>
          <cell r="B1762" t="str">
            <v>30</v>
          </cell>
          <cell r="C1762" t="str">
            <v>记-0041</v>
          </cell>
          <cell r="D1762" t="str">
            <v>099</v>
          </cell>
          <cell r="E1762" t="str">
            <v>野生去皮乙片</v>
          </cell>
          <cell r="F1762" t="str">
            <v>合并名称</v>
          </cell>
          <cell r="G1762">
            <v>37.023049999999998</v>
          </cell>
          <cell r="H1762">
            <v>702</v>
          </cell>
          <cell r="I1762">
            <v>25990.18</v>
          </cell>
          <cell r="J1762">
            <v>0</v>
          </cell>
          <cell r="K1762">
            <v>0</v>
          </cell>
          <cell r="L1762" t="str">
            <v>平</v>
          </cell>
          <cell r="M1762">
            <v>0</v>
          </cell>
          <cell r="N1762">
            <v>0</v>
          </cell>
          <cell r="O1762">
            <v>0</v>
          </cell>
        </row>
        <row r="1763">
          <cell r="A1763" t="str">
            <v>11</v>
          </cell>
          <cell r="F1763" t="str">
            <v>本月合计</v>
          </cell>
          <cell r="G1763">
            <v>0</v>
          </cell>
          <cell r="H1763">
            <v>702</v>
          </cell>
          <cell r="I1763">
            <v>25990.18</v>
          </cell>
          <cell r="J1763">
            <v>0</v>
          </cell>
          <cell r="K1763">
            <v>0</v>
          </cell>
          <cell r="L1763" t="str">
            <v>平</v>
          </cell>
          <cell r="M1763">
            <v>0</v>
          </cell>
          <cell r="N1763">
            <v>0</v>
          </cell>
          <cell r="O1763">
            <v>0</v>
          </cell>
        </row>
        <row r="1764">
          <cell r="A1764" t="str">
            <v>11</v>
          </cell>
          <cell r="E1764" t="str">
            <v>野生去皮乙片</v>
          </cell>
          <cell r="F1764" t="str">
            <v>本年累计</v>
          </cell>
          <cell r="G1764">
            <v>0</v>
          </cell>
          <cell r="H1764">
            <v>702</v>
          </cell>
          <cell r="I1764">
            <v>25990.18</v>
          </cell>
          <cell r="J1764">
            <v>702</v>
          </cell>
          <cell r="K1764">
            <v>25990.18</v>
          </cell>
          <cell r="L1764" t="str">
            <v>平</v>
          </cell>
          <cell r="M1764">
            <v>0</v>
          </cell>
          <cell r="N1764">
            <v>0</v>
          </cell>
          <cell r="O1764">
            <v>0</v>
          </cell>
        </row>
        <row r="1765">
          <cell r="A1765" t="str">
            <v>02</v>
          </cell>
          <cell r="B1765" t="str">
            <v>28</v>
          </cell>
          <cell r="C1765" t="str">
            <v>记-0057</v>
          </cell>
          <cell r="D1765" t="str">
            <v>100</v>
          </cell>
          <cell r="E1765" t="str">
            <v>野生商标丙草</v>
          </cell>
          <cell r="F1765" t="str">
            <v>销售商品</v>
          </cell>
          <cell r="G1765">
            <v>13.332100000000001</v>
          </cell>
          <cell r="H1765">
            <v>0</v>
          </cell>
          <cell r="I1765">
            <v>0</v>
          </cell>
          <cell r="J1765">
            <v>1154.4000000000001</v>
          </cell>
          <cell r="K1765">
            <v>15390.58</v>
          </cell>
          <cell r="L1765" t="str">
            <v>贷</v>
          </cell>
          <cell r="M1765">
            <v>1154.4000000000001</v>
          </cell>
          <cell r="N1765">
            <v>0</v>
          </cell>
          <cell r="O1765">
            <v>15390.58</v>
          </cell>
        </row>
        <row r="1766">
          <cell r="A1766" t="str">
            <v>02</v>
          </cell>
          <cell r="F1766" t="str">
            <v>本月合计</v>
          </cell>
          <cell r="G1766">
            <v>0</v>
          </cell>
          <cell r="H1766">
            <v>0</v>
          </cell>
          <cell r="I1766">
            <v>0</v>
          </cell>
          <cell r="J1766">
            <v>1154.4000000000001</v>
          </cell>
          <cell r="K1766">
            <v>15390.58</v>
          </cell>
          <cell r="L1766" t="str">
            <v>贷</v>
          </cell>
          <cell r="M1766">
            <v>1154.4000000000001</v>
          </cell>
          <cell r="N1766">
            <v>13.332100000000001</v>
          </cell>
          <cell r="O1766">
            <v>15390.58</v>
          </cell>
        </row>
        <row r="1767">
          <cell r="A1767" t="str">
            <v>02</v>
          </cell>
          <cell r="F1767" t="str">
            <v>累    计</v>
          </cell>
          <cell r="G1767">
            <v>0</v>
          </cell>
          <cell r="H1767">
            <v>0</v>
          </cell>
          <cell r="I1767">
            <v>0</v>
          </cell>
          <cell r="J1767">
            <v>1154.4000000000001</v>
          </cell>
          <cell r="K1767">
            <v>15390.58</v>
          </cell>
          <cell r="L1767" t="str">
            <v>贷</v>
          </cell>
          <cell r="M1767">
            <v>1154.4000000000001</v>
          </cell>
          <cell r="N1767">
            <v>13.332100000000001</v>
          </cell>
          <cell r="O1767">
            <v>15390.58</v>
          </cell>
        </row>
        <row r="1768">
          <cell r="A1768" t="str">
            <v>03</v>
          </cell>
          <cell r="B1768" t="str">
            <v>31</v>
          </cell>
          <cell r="C1768" t="str">
            <v>记-0035</v>
          </cell>
          <cell r="D1768" t="str">
            <v>100</v>
          </cell>
          <cell r="E1768" t="str">
            <v>野生商标丙草</v>
          </cell>
          <cell r="F1768" t="str">
            <v>转成本</v>
          </cell>
          <cell r="G1768">
            <v>13.32822</v>
          </cell>
          <cell r="H1768">
            <v>0</v>
          </cell>
          <cell r="I1768">
            <v>0</v>
          </cell>
          <cell r="J1768">
            <v>2063.6</v>
          </cell>
          <cell r="K1768">
            <v>27504.12</v>
          </cell>
          <cell r="L1768" t="str">
            <v>贷</v>
          </cell>
          <cell r="M1768">
            <v>3218</v>
          </cell>
          <cell r="N1768">
            <v>0</v>
          </cell>
          <cell r="O1768">
            <v>42894.7</v>
          </cell>
        </row>
        <row r="1769">
          <cell r="A1769" t="str">
            <v>03</v>
          </cell>
          <cell r="F1769" t="str">
            <v>本月合计</v>
          </cell>
          <cell r="G1769">
            <v>0</v>
          </cell>
          <cell r="H1769">
            <v>0</v>
          </cell>
          <cell r="I1769">
            <v>0</v>
          </cell>
          <cell r="J1769">
            <v>2063.6</v>
          </cell>
          <cell r="K1769">
            <v>27504.12</v>
          </cell>
          <cell r="L1769" t="str">
            <v>贷</v>
          </cell>
          <cell r="M1769">
            <v>3218</v>
          </cell>
          <cell r="N1769">
            <v>13.329610000000001</v>
          </cell>
          <cell r="O1769">
            <v>42894.7</v>
          </cell>
        </row>
        <row r="1770">
          <cell r="A1770" t="str">
            <v>03</v>
          </cell>
          <cell r="F1770" t="str">
            <v>累    计</v>
          </cell>
          <cell r="G1770">
            <v>0</v>
          </cell>
          <cell r="H1770">
            <v>0</v>
          </cell>
          <cell r="I1770">
            <v>0</v>
          </cell>
          <cell r="J1770">
            <v>3218</v>
          </cell>
          <cell r="K1770">
            <v>42894.7</v>
          </cell>
          <cell r="L1770" t="str">
            <v>贷</v>
          </cell>
          <cell r="M1770">
            <v>3218</v>
          </cell>
          <cell r="N1770">
            <v>13.329610000000001</v>
          </cell>
          <cell r="O1770">
            <v>42894.7</v>
          </cell>
        </row>
        <row r="1771">
          <cell r="A1771" t="str">
            <v>05</v>
          </cell>
          <cell r="B1771" t="str">
            <v>31</v>
          </cell>
          <cell r="C1771" t="str">
            <v>记-0087</v>
          </cell>
          <cell r="D1771" t="str">
            <v>100</v>
          </cell>
          <cell r="E1771" t="str">
            <v>野生商标丙草</v>
          </cell>
          <cell r="F1771" t="str">
            <v>转成本</v>
          </cell>
          <cell r="G1771">
            <v>22.119959999999999</v>
          </cell>
          <cell r="H1771">
            <v>0</v>
          </cell>
          <cell r="I1771">
            <v>0</v>
          </cell>
          <cell r="J1771">
            <v>50.6</v>
          </cell>
          <cell r="K1771">
            <v>1119.27</v>
          </cell>
          <cell r="L1771" t="str">
            <v>贷</v>
          </cell>
          <cell r="M1771">
            <v>3268.6</v>
          </cell>
          <cell r="N1771">
            <v>0</v>
          </cell>
          <cell r="O1771">
            <v>44013.97</v>
          </cell>
        </row>
        <row r="1772">
          <cell r="A1772" t="str">
            <v>05</v>
          </cell>
          <cell r="B1772" t="str">
            <v>31</v>
          </cell>
          <cell r="C1772" t="str">
            <v>记-0087</v>
          </cell>
          <cell r="D1772" t="str">
            <v>100</v>
          </cell>
          <cell r="E1772" t="str">
            <v>野生商标丙草</v>
          </cell>
          <cell r="F1772" t="str">
            <v>转成本</v>
          </cell>
          <cell r="G1772">
            <v>14.38996</v>
          </cell>
          <cell r="H1772">
            <v>0</v>
          </cell>
          <cell r="I1772">
            <v>0</v>
          </cell>
          <cell r="J1772">
            <v>54.8</v>
          </cell>
          <cell r="K1772">
            <v>788.57</v>
          </cell>
          <cell r="L1772" t="str">
            <v>贷</v>
          </cell>
          <cell r="M1772">
            <v>3323.4</v>
          </cell>
          <cell r="N1772">
            <v>0</v>
          </cell>
          <cell r="O1772">
            <v>44802.54</v>
          </cell>
        </row>
        <row r="1773">
          <cell r="A1773" t="str">
            <v>05</v>
          </cell>
          <cell r="F1773" t="str">
            <v>本月合计</v>
          </cell>
          <cell r="G1773">
            <v>0</v>
          </cell>
          <cell r="H1773">
            <v>0</v>
          </cell>
          <cell r="I1773">
            <v>0</v>
          </cell>
          <cell r="J1773">
            <v>105.4</v>
          </cell>
          <cell r="K1773">
            <v>1907.84</v>
          </cell>
          <cell r="L1773" t="str">
            <v>贷</v>
          </cell>
          <cell r="M1773">
            <v>3323.4</v>
          </cell>
          <cell r="N1773">
            <v>13.48094</v>
          </cell>
          <cell r="O1773">
            <v>44802.54</v>
          </cell>
        </row>
        <row r="1774">
          <cell r="A1774" t="str">
            <v>05</v>
          </cell>
          <cell r="F1774" t="str">
            <v>累    计</v>
          </cell>
          <cell r="G1774">
            <v>0</v>
          </cell>
          <cell r="H1774">
            <v>0</v>
          </cell>
          <cell r="I1774">
            <v>0</v>
          </cell>
          <cell r="J1774">
            <v>3323.4</v>
          </cell>
          <cell r="K1774">
            <v>44802.54</v>
          </cell>
          <cell r="L1774" t="str">
            <v>贷</v>
          </cell>
          <cell r="M1774">
            <v>3323.4</v>
          </cell>
          <cell r="N1774">
            <v>13.48094</v>
          </cell>
          <cell r="O1774">
            <v>44802.54</v>
          </cell>
        </row>
        <row r="1775">
          <cell r="A1775" t="str">
            <v>10</v>
          </cell>
          <cell r="B1775" t="str">
            <v>22</v>
          </cell>
          <cell r="C1775" t="str">
            <v>记-0069</v>
          </cell>
          <cell r="D1775" t="str">
            <v>100</v>
          </cell>
          <cell r="E1775" t="str">
            <v>野生商标丙草</v>
          </cell>
          <cell r="F1775" t="str">
            <v>结转成本</v>
          </cell>
          <cell r="G1775">
            <v>13.144</v>
          </cell>
          <cell r="H1775">
            <v>0</v>
          </cell>
          <cell r="I1775">
            <v>0</v>
          </cell>
          <cell r="J1775">
            <v>5091.1000000000004</v>
          </cell>
          <cell r="K1775">
            <v>66917.42</v>
          </cell>
          <cell r="L1775" t="str">
            <v>贷</v>
          </cell>
          <cell r="M1775">
            <v>8414.5</v>
          </cell>
          <cell r="N1775">
            <v>0</v>
          </cell>
          <cell r="O1775">
            <v>111719.96</v>
          </cell>
        </row>
        <row r="1776">
          <cell r="A1776" t="str">
            <v>10</v>
          </cell>
          <cell r="F1776" t="str">
            <v>本月合计</v>
          </cell>
          <cell r="G1776">
            <v>0</v>
          </cell>
          <cell r="H1776">
            <v>0</v>
          </cell>
          <cell r="I1776">
            <v>0</v>
          </cell>
          <cell r="J1776">
            <v>5091.1000000000004</v>
          </cell>
          <cell r="K1776">
            <v>66917.42</v>
          </cell>
          <cell r="L1776" t="str">
            <v>贷</v>
          </cell>
          <cell r="M1776">
            <v>8414.5</v>
          </cell>
          <cell r="N1776">
            <v>13.27708</v>
          </cell>
          <cell r="O1776">
            <v>111719.96</v>
          </cell>
        </row>
        <row r="1777">
          <cell r="A1777" t="str">
            <v>10</v>
          </cell>
          <cell r="F1777" t="str">
            <v>累    计</v>
          </cell>
          <cell r="G1777">
            <v>0</v>
          </cell>
          <cell r="H1777">
            <v>0</v>
          </cell>
          <cell r="I1777">
            <v>0</v>
          </cell>
          <cell r="J1777">
            <v>8414.5</v>
          </cell>
          <cell r="K1777">
            <v>111719.96</v>
          </cell>
          <cell r="L1777" t="str">
            <v>贷</v>
          </cell>
          <cell r="M1777">
            <v>8414.5</v>
          </cell>
          <cell r="N1777">
            <v>13.27708</v>
          </cell>
          <cell r="O1777">
            <v>111719.96</v>
          </cell>
        </row>
        <row r="1778">
          <cell r="A1778" t="str">
            <v>11</v>
          </cell>
          <cell r="B1778" t="str">
            <v>30</v>
          </cell>
          <cell r="C1778" t="str">
            <v>记-0064</v>
          </cell>
          <cell r="D1778" t="str">
            <v>100</v>
          </cell>
          <cell r="E1778" t="str">
            <v>野生商标丙草</v>
          </cell>
          <cell r="F1778" t="str">
            <v>合并名称</v>
          </cell>
          <cell r="G1778">
            <v>13.27708</v>
          </cell>
          <cell r="H1778">
            <v>0</v>
          </cell>
          <cell r="I1778">
            <v>0</v>
          </cell>
          <cell r="J1778">
            <v>-8414.5</v>
          </cell>
          <cell r="K1778">
            <v>-111719.96</v>
          </cell>
          <cell r="L1778" t="str">
            <v>平</v>
          </cell>
          <cell r="M1778">
            <v>0</v>
          </cell>
          <cell r="N1778">
            <v>0</v>
          </cell>
          <cell r="O1778">
            <v>0</v>
          </cell>
        </row>
        <row r="1779">
          <cell r="A1779" t="str">
            <v>11</v>
          </cell>
          <cell r="F1779" t="str">
            <v>本月合计</v>
          </cell>
          <cell r="G1779">
            <v>0</v>
          </cell>
          <cell r="H1779">
            <v>0</v>
          </cell>
          <cell r="I1779">
            <v>0</v>
          </cell>
          <cell r="J1779">
            <v>-8414.5</v>
          </cell>
          <cell r="K1779">
            <v>-111719.96</v>
          </cell>
          <cell r="L1779" t="str">
            <v>平</v>
          </cell>
          <cell r="M1779">
            <v>0</v>
          </cell>
          <cell r="N1779">
            <v>0</v>
          </cell>
          <cell r="O1779">
            <v>0</v>
          </cell>
        </row>
        <row r="1780">
          <cell r="A1780" t="str">
            <v>11</v>
          </cell>
          <cell r="E1780" t="str">
            <v>野生商标丙草</v>
          </cell>
          <cell r="F1780" t="str">
            <v>本年累计</v>
          </cell>
          <cell r="G1780">
            <v>0</v>
          </cell>
          <cell r="H1780">
            <v>0</v>
          </cell>
          <cell r="I1780">
            <v>0</v>
          </cell>
          <cell r="J1780">
            <v>0</v>
          </cell>
          <cell r="K1780">
            <v>0</v>
          </cell>
          <cell r="L1780" t="str">
            <v>平</v>
          </cell>
          <cell r="M1780">
            <v>0</v>
          </cell>
          <cell r="N1780">
            <v>0</v>
          </cell>
          <cell r="O1780">
            <v>0</v>
          </cell>
        </row>
        <row r="1781">
          <cell r="A1781" t="str">
            <v>02</v>
          </cell>
          <cell r="B1781" t="str">
            <v>28</v>
          </cell>
          <cell r="C1781" t="str">
            <v>记-0058</v>
          </cell>
          <cell r="D1781" t="str">
            <v>101</v>
          </cell>
          <cell r="E1781" t="str">
            <v>小元贝</v>
          </cell>
          <cell r="F1781" t="str">
            <v>结转销售成本</v>
          </cell>
          <cell r="G1781">
            <v>334.60246999999998</v>
          </cell>
          <cell r="H1781">
            <v>0</v>
          </cell>
          <cell r="I1781">
            <v>0</v>
          </cell>
          <cell r="J1781">
            <v>300</v>
          </cell>
          <cell r="K1781">
            <v>100380.74</v>
          </cell>
          <cell r="L1781" t="str">
            <v>贷</v>
          </cell>
          <cell r="M1781">
            <v>300</v>
          </cell>
          <cell r="N1781">
            <v>0</v>
          </cell>
          <cell r="O1781">
            <v>100380.74</v>
          </cell>
        </row>
        <row r="1782">
          <cell r="A1782" t="str">
            <v>02</v>
          </cell>
          <cell r="F1782" t="str">
            <v>本月合计</v>
          </cell>
          <cell r="G1782">
            <v>0</v>
          </cell>
          <cell r="H1782">
            <v>0</v>
          </cell>
          <cell r="I1782">
            <v>0</v>
          </cell>
          <cell r="J1782">
            <v>300</v>
          </cell>
          <cell r="K1782">
            <v>100380.74</v>
          </cell>
          <cell r="L1782" t="str">
            <v>贷</v>
          </cell>
          <cell r="M1782">
            <v>300</v>
          </cell>
          <cell r="N1782">
            <v>334.60246999999998</v>
          </cell>
          <cell r="O1782">
            <v>100380.74</v>
          </cell>
        </row>
        <row r="1783">
          <cell r="A1783" t="str">
            <v>02</v>
          </cell>
          <cell r="F1783" t="str">
            <v>累    计</v>
          </cell>
          <cell r="G1783">
            <v>0</v>
          </cell>
          <cell r="H1783">
            <v>0</v>
          </cell>
          <cell r="I1783">
            <v>0</v>
          </cell>
          <cell r="J1783">
            <v>300</v>
          </cell>
          <cell r="K1783">
            <v>100380.74</v>
          </cell>
          <cell r="L1783" t="str">
            <v>贷</v>
          </cell>
          <cell r="M1783">
            <v>300</v>
          </cell>
          <cell r="N1783">
            <v>334.60246999999998</v>
          </cell>
          <cell r="O1783">
            <v>100380.74</v>
          </cell>
        </row>
        <row r="1784">
          <cell r="A1784" t="str">
            <v>04</v>
          </cell>
          <cell r="B1784" t="str">
            <v>30</v>
          </cell>
          <cell r="C1784" t="str">
            <v>记-0032</v>
          </cell>
          <cell r="D1784" t="str">
            <v>101</v>
          </cell>
          <cell r="E1784" t="str">
            <v>小元贝</v>
          </cell>
          <cell r="F1784" t="str">
            <v>收购产品</v>
          </cell>
          <cell r="G1784">
            <v>363.92232999999999</v>
          </cell>
          <cell r="H1784">
            <v>30</v>
          </cell>
          <cell r="I1784">
            <v>10917.67</v>
          </cell>
          <cell r="J1784">
            <v>0</v>
          </cell>
          <cell r="K1784">
            <v>0</v>
          </cell>
          <cell r="L1784" t="str">
            <v>贷</v>
          </cell>
          <cell r="M1784">
            <v>270</v>
          </cell>
          <cell r="N1784">
            <v>0</v>
          </cell>
          <cell r="O1784">
            <v>89463.07</v>
          </cell>
        </row>
        <row r="1785">
          <cell r="A1785" t="str">
            <v>04</v>
          </cell>
          <cell r="B1785" t="str">
            <v>30</v>
          </cell>
          <cell r="C1785" t="str">
            <v>记-0050</v>
          </cell>
          <cell r="D1785" t="str">
            <v>101</v>
          </cell>
          <cell r="E1785" t="str">
            <v>小元贝</v>
          </cell>
          <cell r="F1785" t="str">
            <v>转成本</v>
          </cell>
          <cell r="G1785">
            <v>363.92232999999999</v>
          </cell>
          <cell r="H1785">
            <v>0</v>
          </cell>
          <cell r="I1785">
            <v>0</v>
          </cell>
          <cell r="J1785">
            <v>30</v>
          </cell>
          <cell r="K1785">
            <v>10917.67</v>
          </cell>
          <cell r="L1785" t="str">
            <v>贷</v>
          </cell>
          <cell r="M1785">
            <v>300</v>
          </cell>
          <cell r="N1785">
            <v>0</v>
          </cell>
          <cell r="O1785">
            <v>100380.74</v>
          </cell>
        </row>
        <row r="1786">
          <cell r="A1786" t="str">
            <v>04</v>
          </cell>
          <cell r="F1786" t="str">
            <v>本月合计</v>
          </cell>
          <cell r="G1786">
            <v>0</v>
          </cell>
          <cell r="H1786">
            <v>30</v>
          </cell>
          <cell r="I1786">
            <v>10917.67</v>
          </cell>
          <cell r="J1786">
            <v>30</v>
          </cell>
          <cell r="K1786">
            <v>10917.67</v>
          </cell>
          <cell r="L1786" t="str">
            <v>贷</v>
          </cell>
          <cell r="M1786">
            <v>300</v>
          </cell>
          <cell r="N1786">
            <v>334.60246999999998</v>
          </cell>
          <cell r="O1786">
            <v>100380.74</v>
          </cell>
        </row>
        <row r="1787">
          <cell r="A1787" t="str">
            <v>04</v>
          </cell>
          <cell r="F1787" t="str">
            <v>累    计</v>
          </cell>
          <cell r="G1787">
            <v>0</v>
          </cell>
          <cell r="H1787">
            <v>30</v>
          </cell>
          <cell r="I1787">
            <v>10917.67</v>
          </cell>
          <cell r="J1787">
            <v>330</v>
          </cell>
          <cell r="K1787">
            <v>111298.41</v>
          </cell>
          <cell r="L1787" t="str">
            <v>贷</v>
          </cell>
          <cell r="M1787">
            <v>300</v>
          </cell>
          <cell r="N1787">
            <v>334.60246999999998</v>
          </cell>
          <cell r="O1787">
            <v>100380.74</v>
          </cell>
        </row>
        <row r="1788">
          <cell r="A1788" t="str">
            <v>06</v>
          </cell>
          <cell r="B1788" t="str">
            <v>24</v>
          </cell>
          <cell r="C1788" t="str">
            <v>记-0022</v>
          </cell>
          <cell r="D1788" t="str">
            <v>101</v>
          </cell>
          <cell r="E1788" t="str">
            <v>小元贝</v>
          </cell>
          <cell r="F1788" t="str">
            <v>收购产品</v>
          </cell>
          <cell r="G1788">
            <v>338.65825000000001</v>
          </cell>
          <cell r="H1788">
            <v>40</v>
          </cell>
          <cell r="I1788">
            <v>13546.33</v>
          </cell>
          <cell r="J1788">
            <v>0</v>
          </cell>
          <cell r="K1788">
            <v>0</v>
          </cell>
          <cell r="L1788" t="str">
            <v>贷</v>
          </cell>
          <cell r="M1788">
            <v>260</v>
          </cell>
          <cell r="N1788">
            <v>0</v>
          </cell>
          <cell r="O1788">
            <v>86834.41</v>
          </cell>
        </row>
        <row r="1789">
          <cell r="A1789" t="str">
            <v>06</v>
          </cell>
          <cell r="B1789" t="str">
            <v>24</v>
          </cell>
          <cell r="C1789" t="str">
            <v>记-0032</v>
          </cell>
          <cell r="D1789" t="str">
            <v>101</v>
          </cell>
          <cell r="E1789" t="str">
            <v>小元贝</v>
          </cell>
          <cell r="F1789" t="str">
            <v>转成本</v>
          </cell>
          <cell r="G1789">
            <v>338.65825000000001</v>
          </cell>
          <cell r="H1789">
            <v>0</v>
          </cell>
          <cell r="I1789">
            <v>0</v>
          </cell>
          <cell r="J1789">
            <v>40</v>
          </cell>
          <cell r="K1789">
            <v>13546.33</v>
          </cell>
          <cell r="L1789" t="str">
            <v>贷</v>
          </cell>
          <cell r="M1789">
            <v>300</v>
          </cell>
          <cell r="N1789">
            <v>0</v>
          </cell>
          <cell r="O1789">
            <v>100380.74</v>
          </cell>
        </row>
        <row r="1790">
          <cell r="A1790" t="str">
            <v>06</v>
          </cell>
          <cell r="F1790" t="str">
            <v>本月合计</v>
          </cell>
          <cell r="G1790">
            <v>0</v>
          </cell>
          <cell r="H1790">
            <v>40</v>
          </cell>
          <cell r="I1790">
            <v>13546.33</v>
          </cell>
          <cell r="J1790">
            <v>40</v>
          </cell>
          <cell r="K1790">
            <v>13546.33</v>
          </cell>
          <cell r="L1790" t="str">
            <v>贷</v>
          </cell>
          <cell r="M1790">
            <v>300</v>
          </cell>
          <cell r="N1790">
            <v>334.60246999999998</v>
          </cell>
          <cell r="O1790">
            <v>100380.74</v>
          </cell>
        </row>
        <row r="1791">
          <cell r="A1791" t="str">
            <v>06</v>
          </cell>
          <cell r="F1791" t="str">
            <v>累    计</v>
          </cell>
          <cell r="G1791">
            <v>0</v>
          </cell>
          <cell r="H1791">
            <v>70</v>
          </cell>
          <cell r="I1791">
            <v>24464</v>
          </cell>
          <cell r="J1791">
            <v>370</v>
          </cell>
          <cell r="K1791">
            <v>124844.74</v>
          </cell>
          <cell r="L1791" t="str">
            <v>贷</v>
          </cell>
          <cell r="M1791">
            <v>300</v>
          </cell>
          <cell r="N1791">
            <v>334.60246999999998</v>
          </cell>
          <cell r="O1791">
            <v>100380.74</v>
          </cell>
        </row>
        <row r="1792">
          <cell r="A1792" t="str">
            <v>08</v>
          </cell>
          <cell r="B1792" t="str">
            <v>25</v>
          </cell>
          <cell r="C1792" t="str">
            <v>记-0057</v>
          </cell>
          <cell r="D1792" t="str">
            <v>101</v>
          </cell>
          <cell r="E1792" t="str">
            <v>小元贝</v>
          </cell>
          <cell r="F1792" t="str">
            <v>结转成本</v>
          </cell>
          <cell r="G1792">
            <v>356.74032999999997</v>
          </cell>
          <cell r="H1792">
            <v>0</v>
          </cell>
          <cell r="I1792">
            <v>0</v>
          </cell>
          <cell r="J1792">
            <v>30</v>
          </cell>
          <cell r="K1792">
            <v>10702.21</v>
          </cell>
          <cell r="L1792" t="str">
            <v>贷</v>
          </cell>
          <cell r="M1792">
            <v>330</v>
          </cell>
          <cell r="N1792">
            <v>0</v>
          </cell>
          <cell r="O1792">
            <v>111082.95</v>
          </cell>
        </row>
        <row r="1793">
          <cell r="A1793" t="str">
            <v>08</v>
          </cell>
          <cell r="B1793" t="str">
            <v>25</v>
          </cell>
          <cell r="C1793" t="str">
            <v>记-0064</v>
          </cell>
          <cell r="D1793" t="str">
            <v>101</v>
          </cell>
          <cell r="E1793" t="str">
            <v>小元贝</v>
          </cell>
          <cell r="F1793" t="str">
            <v>收购产品</v>
          </cell>
          <cell r="G1793">
            <v>356.74032999999997</v>
          </cell>
          <cell r="H1793">
            <v>30</v>
          </cell>
          <cell r="I1793">
            <v>10702.21</v>
          </cell>
          <cell r="J1793">
            <v>0</v>
          </cell>
          <cell r="K1793">
            <v>0</v>
          </cell>
          <cell r="L1793" t="str">
            <v>贷</v>
          </cell>
          <cell r="M1793">
            <v>300</v>
          </cell>
          <cell r="N1793">
            <v>0</v>
          </cell>
          <cell r="O1793">
            <v>100380.74</v>
          </cell>
        </row>
        <row r="1794">
          <cell r="A1794" t="str">
            <v>08</v>
          </cell>
          <cell r="F1794" t="str">
            <v>本月合计</v>
          </cell>
          <cell r="G1794">
            <v>0</v>
          </cell>
          <cell r="H1794">
            <v>30</v>
          </cell>
          <cell r="I1794">
            <v>10702.21</v>
          </cell>
          <cell r="J1794">
            <v>30</v>
          </cell>
          <cell r="K1794">
            <v>10702.21</v>
          </cell>
          <cell r="L1794" t="str">
            <v>贷</v>
          </cell>
          <cell r="M1794">
            <v>300</v>
          </cell>
          <cell r="N1794">
            <v>334.60246999999998</v>
          </cell>
          <cell r="O1794">
            <v>100380.74</v>
          </cell>
        </row>
        <row r="1795">
          <cell r="A1795" t="str">
            <v>08</v>
          </cell>
          <cell r="F1795" t="str">
            <v>累    计</v>
          </cell>
          <cell r="G1795">
            <v>0</v>
          </cell>
          <cell r="H1795">
            <v>100</v>
          </cell>
          <cell r="I1795">
            <v>35166.21</v>
          </cell>
          <cell r="J1795">
            <v>400</v>
          </cell>
          <cell r="K1795">
            <v>135546.95000000001</v>
          </cell>
          <cell r="L1795" t="str">
            <v>贷</v>
          </cell>
          <cell r="M1795">
            <v>300</v>
          </cell>
          <cell r="N1795">
            <v>334.60246999999998</v>
          </cell>
          <cell r="O1795">
            <v>100380.74</v>
          </cell>
        </row>
        <row r="1796">
          <cell r="A1796" t="str">
            <v>09</v>
          </cell>
          <cell r="B1796" t="str">
            <v>22</v>
          </cell>
          <cell r="C1796" t="str">
            <v>记-0034</v>
          </cell>
          <cell r="D1796" t="str">
            <v>101</v>
          </cell>
          <cell r="E1796" t="str">
            <v>小元贝</v>
          </cell>
          <cell r="F1796" t="str">
            <v>结转成本</v>
          </cell>
          <cell r="G1796">
            <v>1.2674300000000001</v>
          </cell>
          <cell r="H1796">
            <v>0</v>
          </cell>
          <cell r="I1796">
            <v>0</v>
          </cell>
          <cell r="J1796">
            <v>3000</v>
          </cell>
          <cell r="K1796">
            <v>3802.3</v>
          </cell>
          <cell r="L1796" t="str">
            <v>贷</v>
          </cell>
          <cell r="M1796">
            <v>3300</v>
          </cell>
          <cell r="N1796">
            <v>0</v>
          </cell>
          <cell r="O1796">
            <v>104183.03999999999</v>
          </cell>
        </row>
        <row r="1797">
          <cell r="A1797" t="str">
            <v>09</v>
          </cell>
          <cell r="B1797" t="str">
            <v>22</v>
          </cell>
          <cell r="C1797" t="str">
            <v>记-0038</v>
          </cell>
          <cell r="D1797" t="str">
            <v>101</v>
          </cell>
          <cell r="E1797" t="str">
            <v>小元贝</v>
          </cell>
          <cell r="F1797" t="str">
            <v>收购产品</v>
          </cell>
          <cell r="G1797">
            <v>1.2674300000000001</v>
          </cell>
          <cell r="H1797">
            <v>3000</v>
          </cell>
          <cell r="I1797">
            <v>3802.3</v>
          </cell>
          <cell r="J1797">
            <v>0</v>
          </cell>
          <cell r="K1797">
            <v>0</v>
          </cell>
          <cell r="L1797" t="str">
            <v>贷</v>
          </cell>
          <cell r="M1797">
            <v>300</v>
          </cell>
          <cell r="N1797">
            <v>0</v>
          </cell>
          <cell r="O1797">
            <v>100380.74</v>
          </cell>
        </row>
        <row r="1798">
          <cell r="A1798" t="str">
            <v>09</v>
          </cell>
          <cell r="F1798" t="str">
            <v>本月合计</v>
          </cell>
          <cell r="G1798">
            <v>0</v>
          </cell>
          <cell r="H1798">
            <v>3000</v>
          </cell>
          <cell r="I1798">
            <v>3802.3</v>
          </cell>
          <cell r="J1798">
            <v>3000</v>
          </cell>
          <cell r="K1798">
            <v>3802.3</v>
          </cell>
          <cell r="L1798" t="str">
            <v>贷</v>
          </cell>
          <cell r="M1798">
            <v>300</v>
          </cell>
          <cell r="N1798">
            <v>334.60246999999998</v>
          </cell>
          <cell r="O1798">
            <v>100380.74</v>
          </cell>
        </row>
        <row r="1799">
          <cell r="A1799" t="str">
            <v>09</v>
          </cell>
          <cell r="E1799" t="str">
            <v>小元贝</v>
          </cell>
          <cell r="F1799" t="str">
            <v>本年累计</v>
          </cell>
          <cell r="G1799">
            <v>0</v>
          </cell>
          <cell r="H1799">
            <v>3100</v>
          </cell>
          <cell r="I1799">
            <v>38968.51</v>
          </cell>
          <cell r="J1799">
            <v>3400</v>
          </cell>
          <cell r="K1799">
            <v>139349.25</v>
          </cell>
          <cell r="L1799" t="str">
            <v>贷</v>
          </cell>
          <cell r="M1799">
            <v>300</v>
          </cell>
          <cell r="N1799">
            <v>334.60246999999998</v>
          </cell>
          <cell r="O1799">
            <v>100380.74</v>
          </cell>
        </row>
        <row r="1800">
          <cell r="A1800" t="str">
            <v>02</v>
          </cell>
          <cell r="B1800" t="str">
            <v>28</v>
          </cell>
          <cell r="C1800" t="str">
            <v>记-0059</v>
          </cell>
          <cell r="D1800" t="str">
            <v>102</v>
          </cell>
          <cell r="E1800" t="str">
            <v>冬虫草皇</v>
          </cell>
          <cell r="F1800" t="str">
            <v>结转销售成本</v>
          </cell>
          <cell r="G1800">
            <v>32582.25</v>
          </cell>
          <cell r="H1800">
            <v>0</v>
          </cell>
          <cell r="I1800">
            <v>0</v>
          </cell>
          <cell r="J1800">
            <v>2</v>
          </cell>
          <cell r="K1800">
            <v>65164.5</v>
          </cell>
          <cell r="L1800" t="str">
            <v>贷</v>
          </cell>
          <cell r="M1800">
            <v>2</v>
          </cell>
          <cell r="N1800">
            <v>0</v>
          </cell>
          <cell r="O1800">
            <v>65164.5</v>
          </cell>
        </row>
        <row r="1801">
          <cell r="A1801" t="str">
            <v>02</v>
          </cell>
          <cell r="B1801" t="str">
            <v>28</v>
          </cell>
          <cell r="C1801" t="str">
            <v>记-0064</v>
          </cell>
          <cell r="D1801" t="str">
            <v>102</v>
          </cell>
          <cell r="E1801" t="str">
            <v>冬虫草皇</v>
          </cell>
          <cell r="F1801" t="str">
            <v>收购产品</v>
          </cell>
          <cell r="G1801">
            <v>32582.25</v>
          </cell>
          <cell r="H1801">
            <v>2</v>
          </cell>
          <cell r="I1801">
            <v>65164.5</v>
          </cell>
          <cell r="J1801">
            <v>0</v>
          </cell>
          <cell r="K1801">
            <v>0</v>
          </cell>
          <cell r="L1801" t="str">
            <v>平</v>
          </cell>
          <cell r="M1801">
            <v>0</v>
          </cell>
          <cell r="N1801">
            <v>0</v>
          </cell>
          <cell r="O1801">
            <v>0</v>
          </cell>
        </row>
        <row r="1802">
          <cell r="A1802" t="str">
            <v>02</v>
          </cell>
          <cell r="F1802" t="str">
            <v>本月合计</v>
          </cell>
          <cell r="G1802">
            <v>0</v>
          </cell>
          <cell r="H1802">
            <v>2</v>
          </cell>
          <cell r="I1802">
            <v>65164.5</v>
          </cell>
          <cell r="J1802">
            <v>2</v>
          </cell>
          <cell r="K1802">
            <v>65164.5</v>
          </cell>
          <cell r="L1802" t="str">
            <v>平</v>
          </cell>
          <cell r="M1802">
            <v>0</v>
          </cell>
          <cell r="N1802">
            <v>0</v>
          </cell>
          <cell r="O1802">
            <v>0</v>
          </cell>
        </row>
        <row r="1803">
          <cell r="A1803" t="str">
            <v>02</v>
          </cell>
          <cell r="F1803" t="str">
            <v>累    计</v>
          </cell>
          <cell r="G1803">
            <v>0</v>
          </cell>
          <cell r="H1803">
            <v>2</v>
          </cell>
          <cell r="I1803">
            <v>65164.5</v>
          </cell>
          <cell r="J1803">
            <v>2</v>
          </cell>
          <cell r="K1803">
            <v>65164.5</v>
          </cell>
          <cell r="L1803" t="str">
            <v>平</v>
          </cell>
          <cell r="M1803">
            <v>0</v>
          </cell>
          <cell r="N1803">
            <v>0</v>
          </cell>
          <cell r="O1803">
            <v>0</v>
          </cell>
        </row>
        <row r="1804">
          <cell r="A1804" t="str">
            <v>10</v>
          </cell>
          <cell r="B1804" t="str">
            <v>22</v>
          </cell>
          <cell r="C1804" t="str">
            <v>记-0025</v>
          </cell>
          <cell r="D1804" t="str">
            <v>102</v>
          </cell>
          <cell r="E1804" t="str">
            <v>冬虫草皇</v>
          </cell>
          <cell r="F1804" t="str">
            <v>结转成本</v>
          </cell>
          <cell r="G1804">
            <v>32108.318449999999</v>
          </cell>
          <cell r="H1804">
            <v>0</v>
          </cell>
          <cell r="I1804">
            <v>0</v>
          </cell>
          <cell r="J1804">
            <v>23.74</v>
          </cell>
          <cell r="K1804">
            <v>762251.48</v>
          </cell>
          <cell r="L1804" t="str">
            <v>贷</v>
          </cell>
          <cell r="M1804">
            <v>23.74</v>
          </cell>
          <cell r="N1804">
            <v>0</v>
          </cell>
          <cell r="O1804">
            <v>762251.48</v>
          </cell>
        </row>
        <row r="1805">
          <cell r="A1805" t="str">
            <v>10</v>
          </cell>
          <cell r="B1805" t="str">
            <v>22</v>
          </cell>
          <cell r="C1805" t="str">
            <v>记-0029</v>
          </cell>
          <cell r="D1805" t="str">
            <v>102</v>
          </cell>
          <cell r="E1805" t="str">
            <v>冬虫草皇</v>
          </cell>
          <cell r="F1805" t="str">
            <v>收购产品</v>
          </cell>
          <cell r="G1805">
            <v>32108.318449999999</v>
          </cell>
          <cell r="H1805">
            <v>23.74</v>
          </cell>
          <cell r="I1805">
            <v>762251.48</v>
          </cell>
          <cell r="J1805">
            <v>0</v>
          </cell>
          <cell r="K1805">
            <v>0</v>
          </cell>
          <cell r="L1805" t="str">
            <v>平</v>
          </cell>
          <cell r="M1805">
            <v>0</v>
          </cell>
          <cell r="N1805">
            <v>0</v>
          </cell>
          <cell r="O1805">
            <v>0</v>
          </cell>
        </row>
        <row r="1806">
          <cell r="A1806" t="str">
            <v>10</v>
          </cell>
          <cell r="F1806" t="str">
            <v>本月合计</v>
          </cell>
          <cell r="G1806">
            <v>0</v>
          </cell>
          <cell r="H1806">
            <v>23.74</v>
          </cell>
          <cell r="I1806">
            <v>762251.48</v>
          </cell>
          <cell r="J1806">
            <v>23.74</v>
          </cell>
          <cell r="K1806">
            <v>762251.48</v>
          </cell>
          <cell r="L1806" t="str">
            <v>平</v>
          </cell>
          <cell r="M1806">
            <v>0</v>
          </cell>
          <cell r="N1806">
            <v>0</v>
          </cell>
          <cell r="O1806">
            <v>0</v>
          </cell>
        </row>
        <row r="1807">
          <cell r="A1807" t="str">
            <v>10</v>
          </cell>
          <cell r="E1807" t="str">
            <v>冬虫草皇</v>
          </cell>
          <cell r="F1807" t="str">
            <v>本年累计</v>
          </cell>
          <cell r="G1807">
            <v>0</v>
          </cell>
          <cell r="H1807">
            <v>25.74</v>
          </cell>
          <cell r="I1807">
            <v>827415.98</v>
          </cell>
          <cell r="J1807">
            <v>25.74</v>
          </cell>
          <cell r="K1807">
            <v>827415.98</v>
          </cell>
          <cell r="L1807" t="str">
            <v>平</v>
          </cell>
          <cell r="M1807">
            <v>0</v>
          </cell>
          <cell r="N1807">
            <v>0</v>
          </cell>
          <cell r="O1807">
            <v>0</v>
          </cell>
        </row>
        <row r="1808">
          <cell r="A1808" t="str">
            <v>02</v>
          </cell>
          <cell r="B1808" t="str">
            <v>28</v>
          </cell>
          <cell r="C1808" t="str">
            <v>记-0059</v>
          </cell>
          <cell r="D1808" t="str">
            <v>103</v>
          </cell>
          <cell r="E1808" t="str">
            <v>参片</v>
          </cell>
          <cell r="F1808" t="str">
            <v>结转销售成本</v>
          </cell>
          <cell r="G1808">
            <v>412.33839999999998</v>
          </cell>
          <cell r="H1808">
            <v>0</v>
          </cell>
          <cell r="I1808">
            <v>0</v>
          </cell>
          <cell r="J1808">
            <v>50</v>
          </cell>
          <cell r="K1808">
            <v>20616.919999999998</v>
          </cell>
          <cell r="L1808" t="str">
            <v>贷</v>
          </cell>
          <cell r="M1808">
            <v>50</v>
          </cell>
          <cell r="N1808">
            <v>0</v>
          </cell>
          <cell r="O1808">
            <v>20616.919999999998</v>
          </cell>
        </row>
        <row r="1809">
          <cell r="A1809" t="str">
            <v>02</v>
          </cell>
          <cell r="B1809" t="str">
            <v>28</v>
          </cell>
          <cell r="C1809" t="str">
            <v>记-0064</v>
          </cell>
          <cell r="D1809" t="str">
            <v>103</v>
          </cell>
          <cell r="E1809" t="str">
            <v>参片</v>
          </cell>
          <cell r="F1809" t="str">
            <v>收购产品</v>
          </cell>
          <cell r="G1809">
            <v>412.33839999999998</v>
          </cell>
          <cell r="H1809">
            <v>50</v>
          </cell>
          <cell r="I1809">
            <v>20616.919999999998</v>
          </cell>
          <cell r="J1809">
            <v>0</v>
          </cell>
          <cell r="K1809">
            <v>0</v>
          </cell>
          <cell r="L1809" t="str">
            <v>平</v>
          </cell>
          <cell r="M1809">
            <v>0</v>
          </cell>
          <cell r="N1809">
            <v>0</v>
          </cell>
          <cell r="O1809">
            <v>0</v>
          </cell>
        </row>
        <row r="1810">
          <cell r="A1810" t="str">
            <v>02</v>
          </cell>
          <cell r="F1810" t="str">
            <v>本月合计</v>
          </cell>
          <cell r="G1810">
            <v>0</v>
          </cell>
          <cell r="H1810">
            <v>50</v>
          </cell>
          <cell r="I1810">
            <v>20616.919999999998</v>
          </cell>
          <cell r="J1810">
            <v>50</v>
          </cell>
          <cell r="K1810">
            <v>20616.919999999998</v>
          </cell>
          <cell r="L1810" t="str">
            <v>平</v>
          </cell>
          <cell r="M1810">
            <v>0</v>
          </cell>
          <cell r="N1810">
            <v>0</v>
          </cell>
          <cell r="O1810">
            <v>0</v>
          </cell>
        </row>
        <row r="1811">
          <cell r="A1811" t="str">
            <v>02</v>
          </cell>
          <cell r="E1811" t="str">
            <v>参片</v>
          </cell>
          <cell r="F1811" t="str">
            <v>本年累计</v>
          </cell>
          <cell r="G1811">
            <v>0</v>
          </cell>
          <cell r="H1811">
            <v>50</v>
          </cell>
          <cell r="I1811">
            <v>20616.919999999998</v>
          </cell>
          <cell r="J1811">
            <v>50</v>
          </cell>
          <cell r="K1811">
            <v>20616.919999999998</v>
          </cell>
          <cell r="L1811" t="str">
            <v>平</v>
          </cell>
          <cell r="M1811">
            <v>0</v>
          </cell>
          <cell r="N1811">
            <v>0</v>
          </cell>
          <cell r="O1811">
            <v>0</v>
          </cell>
        </row>
        <row r="1812">
          <cell r="A1812" t="str">
            <v>02</v>
          </cell>
          <cell r="B1812" t="str">
            <v>28</v>
          </cell>
          <cell r="C1812" t="str">
            <v>记-0059</v>
          </cell>
          <cell r="D1812" t="str">
            <v>105</v>
          </cell>
          <cell r="E1812" t="str">
            <v>红参</v>
          </cell>
          <cell r="F1812" t="str">
            <v>结转销售成本</v>
          </cell>
          <cell r="G1812">
            <v>877.06399999999996</v>
          </cell>
          <cell r="H1812">
            <v>0</v>
          </cell>
          <cell r="I1812">
            <v>0</v>
          </cell>
          <cell r="J1812">
            <v>50</v>
          </cell>
          <cell r="K1812">
            <v>43853.2</v>
          </cell>
          <cell r="L1812" t="str">
            <v>贷</v>
          </cell>
          <cell r="M1812">
            <v>50</v>
          </cell>
          <cell r="N1812">
            <v>0</v>
          </cell>
          <cell r="O1812">
            <v>43853.2</v>
          </cell>
        </row>
        <row r="1813">
          <cell r="A1813" t="str">
            <v>02</v>
          </cell>
          <cell r="B1813" t="str">
            <v>28</v>
          </cell>
          <cell r="C1813" t="str">
            <v>记-0064</v>
          </cell>
          <cell r="D1813" t="str">
            <v>105</v>
          </cell>
          <cell r="E1813" t="str">
            <v>红参</v>
          </cell>
          <cell r="F1813" t="str">
            <v>收购产品</v>
          </cell>
          <cell r="G1813">
            <v>877.06399999999996</v>
          </cell>
          <cell r="H1813">
            <v>50</v>
          </cell>
          <cell r="I1813">
            <v>43853.2</v>
          </cell>
          <cell r="J1813">
            <v>0</v>
          </cell>
          <cell r="K1813">
            <v>0</v>
          </cell>
          <cell r="L1813" t="str">
            <v>平</v>
          </cell>
          <cell r="M1813">
            <v>0</v>
          </cell>
          <cell r="N1813">
            <v>0</v>
          </cell>
          <cell r="O1813">
            <v>0</v>
          </cell>
        </row>
        <row r="1814">
          <cell r="A1814" t="str">
            <v>02</v>
          </cell>
          <cell r="F1814" t="str">
            <v>本月合计</v>
          </cell>
          <cell r="G1814">
            <v>0</v>
          </cell>
          <cell r="H1814">
            <v>50</v>
          </cell>
          <cell r="I1814">
            <v>43853.2</v>
          </cell>
          <cell r="J1814">
            <v>50</v>
          </cell>
          <cell r="K1814">
            <v>43853.2</v>
          </cell>
          <cell r="L1814" t="str">
            <v>平</v>
          </cell>
          <cell r="M1814">
            <v>0</v>
          </cell>
          <cell r="N1814">
            <v>0</v>
          </cell>
          <cell r="O1814">
            <v>0</v>
          </cell>
        </row>
        <row r="1815">
          <cell r="A1815" t="str">
            <v>02</v>
          </cell>
          <cell r="E1815" t="str">
            <v>红参</v>
          </cell>
          <cell r="F1815" t="str">
            <v>本年累计</v>
          </cell>
          <cell r="G1815">
            <v>0</v>
          </cell>
          <cell r="H1815">
            <v>50</v>
          </cell>
          <cell r="I1815">
            <v>43853.2</v>
          </cell>
          <cell r="J1815">
            <v>50</v>
          </cell>
          <cell r="K1815">
            <v>43853.2</v>
          </cell>
          <cell r="L1815" t="str">
            <v>平</v>
          </cell>
          <cell r="M1815">
            <v>0</v>
          </cell>
          <cell r="N1815">
            <v>0</v>
          </cell>
          <cell r="O1815">
            <v>0</v>
          </cell>
        </row>
        <row r="1816">
          <cell r="A1816" t="str">
            <v>02</v>
          </cell>
          <cell r="B1816" t="str">
            <v>28</v>
          </cell>
          <cell r="C1816" t="str">
            <v>记-0060</v>
          </cell>
          <cell r="D1816" t="str">
            <v>106</v>
          </cell>
          <cell r="E1816" t="str">
            <v>龙牙白燕条</v>
          </cell>
          <cell r="F1816" t="str">
            <v>结转成本</v>
          </cell>
          <cell r="G1816">
            <v>27.325869999999998</v>
          </cell>
          <cell r="H1816">
            <v>0</v>
          </cell>
          <cell r="I1816">
            <v>0</v>
          </cell>
          <cell r="J1816">
            <v>1000</v>
          </cell>
          <cell r="K1816">
            <v>27325.87</v>
          </cell>
          <cell r="L1816" t="str">
            <v>贷</v>
          </cell>
          <cell r="M1816">
            <v>1000</v>
          </cell>
          <cell r="N1816">
            <v>0</v>
          </cell>
          <cell r="O1816">
            <v>27325.87</v>
          </cell>
        </row>
        <row r="1817">
          <cell r="A1817" t="str">
            <v>02</v>
          </cell>
          <cell r="B1817" t="str">
            <v>28</v>
          </cell>
          <cell r="C1817" t="str">
            <v>记-0067</v>
          </cell>
          <cell r="D1817" t="str">
            <v>106</v>
          </cell>
          <cell r="E1817" t="str">
            <v>龙牙白燕条</v>
          </cell>
          <cell r="F1817" t="str">
            <v>收购产品</v>
          </cell>
          <cell r="G1817">
            <v>27.325869999999998</v>
          </cell>
          <cell r="H1817">
            <v>1000</v>
          </cell>
          <cell r="I1817">
            <v>27325.87</v>
          </cell>
          <cell r="J1817">
            <v>0</v>
          </cell>
          <cell r="K1817">
            <v>0</v>
          </cell>
          <cell r="L1817" t="str">
            <v>平</v>
          </cell>
          <cell r="M1817">
            <v>0</v>
          </cell>
          <cell r="N1817">
            <v>0</v>
          </cell>
          <cell r="O1817">
            <v>0</v>
          </cell>
        </row>
        <row r="1818">
          <cell r="A1818" t="str">
            <v>02</v>
          </cell>
          <cell r="F1818" t="str">
            <v>本月合计</v>
          </cell>
          <cell r="G1818">
            <v>0</v>
          </cell>
          <cell r="H1818">
            <v>1000</v>
          </cell>
          <cell r="I1818">
            <v>27325.87</v>
          </cell>
          <cell r="J1818">
            <v>1000</v>
          </cell>
          <cell r="K1818">
            <v>27325.87</v>
          </cell>
          <cell r="L1818" t="str">
            <v>平</v>
          </cell>
          <cell r="M1818">
            <v>0</v>
          </cell>
          <cell r="N1818">
            <v>0</v>
          </cell>
          <cell r="O1818">
            <v>0</v>
          </cell>
        </row>
        <row r="1819">
          <cell r="A1819" t="str">
            <v>02</v>
          </cell>
          <cell r="E1819" t="str">
            <v>龙牙白燕条</v>
          </cell>
          <cell r="F1819" t="str">
            <v>本年累计</v>
          </cell>
          <cell r="G1819">
            <v>0</v>
          </cell>
          <cell r="H1819">
            <v>1000</v>
          </cell>
          <cell r="I1819">
            <v>27325.87</v>
          </cell>
          <cell r="J1819">
            <v>1000</v>
          </cell>
          <cell r="K1819">
            <v>27325.87</v>
          </cell>
          <cell r="L1819" t="str">
            <v>平</v>
          </cell>
          <cell r="M1819">
            <v>0</v>
          </cell>
          <cell r="N1819">
            <v>0</v>
          </cell>
          <cell r="O1819">
            <v>0</v>
          </cell>
        </row>
        <row r="1820">
          <cell r="A1820" t="str">
            <v>02</v>
          </cell>
          <cell r="B1820" t="str">
            <v>28</v>
          </cell>
          <cell r="C1820" t="str">
            <v>记-0063</v>
          </cell>
          <cell r="D1820" t="str">
            <v>107</v>
          </cell>
          <cell r="E1820" t="str">
            <v>大野花旗参</v>
          </cell>
          <cell r="F1820" t="str">
            <v>结转成本</v>
          </cell>
          <cell r="G1820">
            <v>27.038589999999999</v>
          </cell>
          <cell r="H1820">
            <v>0</v>
          </cell>
          <cell r="I1820">
            <v>0</v>
          </cell>
          <cell r="J1820">
            <v>1500</v>
          </cell>
          <cell r="K1820">
            <v>40557.879999999997</v>
          </cell>
          <cell r="L1820" t="str">
            <v>贷</v>
          </cell>
          <cell r="M1820">
            <v>1500</v>
          </cell>
          <cell r="N1820">
            <v>0</v>
          </cell>
          <cell r="O1820">
            <v>40557.879999999997</v>
          </cell>
        </row>
        <row r="1821">
          <cell r="A1821" t="str">
            <v>02</v>
          </cell>
          <cell r="B1821" t="str">
            <v>28</v>
          </cell>
          <cell r="C1821" t="str">
            <v>记-0069</v>
          </cell>
          <cell r="D1821" t="str">
            <v>107</v>
          </cell>
          <cell r="E1821" t="str">
            <v>大野花旗参</v>
          </cell>
          <cell r="F1821" t="str">
            <v>收购产品</v>
          </cell>
          <cell r="G1821">
            <v>27.038589999999999</v>
          </cell>
          <cell r="H1821">
            <v>1500</v>
          </cell>
          <cell r="I1821">
            <v>40557.879999999997</v>
          </cell>
          <cell r="J1821">
            <v>0</v>
          </cell>
          <cell r="K1821">
            <v>0</v>
          </cell>
          <cell r="L1821" t="str">
            <v>平</v>
          </cell>
          <cell r="M1821">
            <v>0</v>
          </cell>
          <cell r="N1821">
            <v>0</v>
          </cell>
          <cell r="O1821">
            <v>0</v>
          </cell>
        </row>
        <row r="1822">
          <cell r="A1822" t="str">
            <v>02</v>
          </cell>
          <cell r="F1822" t="str">
            <v>本月合计</v>
          </cell>
          <cell r="G1822">
            <v>0</v>
          </cell>
          <cell r="H1822">
            <v>1500</v>
          </cell>
          <cell r="I1822">
            <v>40557.879999999997</v>
          </cell>
          <cell r="J1822">
            <v>1500</v>
          </cell>
          <cell r="K1822">
            <v>40557.879999999997</v>
          </cell>
          <cell r="L1822" t="str">
            <v>平</v>
          </cell>
          <cell r="M1822">
            <v>0</v>
          </cell>
          <cell r="N1822">
            <v>0</v>
          </cell>
          <cell r="O1822">
            <v>0</v>
          </cell>
        </row>
        <row r="1823">
          <cell r="A1823" t="str">
            <v>02</v>
          </cell>
          <cell r="F1823" t="str">
            <v>累    计</v>
          </cell>
          <cell r="G1823">
            <v>0</v>
          </cell>
          <cell r="H1823">
            <v>1500</v>
          </cell>
          <cell r="I1823">
            <v>40557.879999999997</v>
          </cell>
          <cell r="J1823">
            <v>1500</v>
          </cell>
          <cell r="K1823">
            <v>40557.879999999997</v>
          </cell>
          <cell r="L1823" t="str">
            <v>平</v>
          </cell>
          <cell r="M1823">
            <v>0</v>
          </cell>
          <cell r="N1823">
            <v>0</v>
          </cell>
          <cell r="O1823">
            <v>0</v>
          </cell>
        </row>
        <row r="1824">
          <cell r="A1824" t="str">
            <v>07</v>
          </cell>
          <cell r="B1824" t="str">
            <v>22</v>
          </cell>
          <cell r="C1824" t="str">
            <v>记-0051</v>
          </cell>
          <cell r="D1824" t="str">
            <v>107</v>
          </cell>
          <cell r="E1824" t="str">
            <v>大野花旗参</v>
          </cell>
          <cell r="F1824" t="str">
            <v>结转成本</v>
          </cell>
          <cell r="G1824">
            <v>31.263359999999999</v>
          </cell>
          <cell r="H1824">
            <v>0</v>
          </cell>
          <cell r="I1824">
            <v>0</v>
          </cell>
          <cell r="J1824">
            <v>700</v>
          </cell>
          <cell r="K1824">
            <v>21884.35</v>
          </cell>
          <cell r="L1824" t="str">
            <v>贷</v>
          </cell>
          <cell r="M1824">
            <v>700</v>
          </cell>
          <cell r="N1824">
            <v>0</v>
          </cell>
          <cell r="O1824">
            <v>21884.35</v>
          </cell>
        </row>
        <row r="1825">
          <cell r="A1825" t="str">
            <v>07</v>
          </cell>
          <cell r="B1825" t="str">
            <v>22</v>
          </cell>
          <cell r="C1825" t="str">
            <v>记-0051</v>
          </cell>
          <cell r="D1825" t="str">
            <v>107</v>
          </cell>
          <cell r="E1825" t="str">
            <v>大野花旗参</v>
          </cell>
          <cell r="F1825" t="str">
            <v>结转成本</v>
          </cell>
          <cell r="G1825">
            <v>28.7285</v>
          </cell>
          <cell r="H1825">
            <v>0</v>
          </cell>
          <cell r="I1825">
            <v>0</v>
          </cell>
          <cell r="J1825">
            <v>800</v>
          </cell>
          <cell r="K1825">
            <v>22982.799999999999</v>
          </cell>
          <cell r="L1825" t="str">
            <v>贷</v>
          </cell>
          <cell r="M1825">
            <v>1500</v>
          </cell>
          <cell r="N1825">
            <v>0</v>
          </cell>
          <cell r="O1825">
            <v>44867.15</v>
          </cell>
        </row>
        <row r="1826">
          <cell r="A1826" t="str">
            <v>07</v>
          </cell>
          <cell r="B1826" t="str">
            <v>22</v>
          </cell>
          <cell r="C1826" t="str">
            <v>记-0051</v>
          </cell>
          <cell r="D1826" t="str">
            <v>107</v>
          </cell>
          <cell r="E1826" t="str">
            <v>大野花旗参</v>
          </cell>
          <cell r="F1826" t="str">
            <v>结转成本</v>
          </cell>
          <cell r="G1826">
            <v>21.96885</v>
          </cell>
          <cell r="H1826">
            <v>0</v>
          </cell>
          <cell r="I1826">
            <v>0</v>
          </cell>
          <cell r="J1826">
            <v>1000</v>
          </cell>
          <cell r="K1826">
            <v>21968.85</v>
          </cell>
          <cell r="L1826" t="str">
            <v>贷</v>
          </cell>
          <cell r="M1826">
            <v>2500</v>
          </cell>
          <cell r="N1826">
            <v>0</v>
          </cell>
          <cell r="O1826">
            <v>66836</v>
          </cell>
        </row>
        <row r="1827">
          <cell r="A1827" t="str">
            <v>07</v>
          </cell>
          <cell r="B1827" t="str">
            <v>22</v>
          </cell>
          <cell r="C1827" t="str">
            <v>记-0052</v>
          </cell>
          <cell r="D1827" t="str">
            <v>107</v>
          </cell>
          <cell r="E1827" t="str">
            <v>大野花旗参</v>
          </cell>
          <cell r="F1827" t="str">
            <v>结转成本</v>
          </cell>
          <cell r="G1827">
            <v>1.68991</v>
          </cell>
          <cell r="H1827">
            <v>0</v>
          </cell>
          <cell r="I1827">
            <v>0</v>
          </cell>
          <cell r="J1827">
            <v>1600</v>
          </cell>
          <cell r="K1827">
            <v>2703.86</v>
          </cell>
          <cell r="L1827" t="str">
            <v>贷</v>
          </cell>
          <cell r="M1827">
            <v>4100</v>
          </cell>
          <cell r="N1827">
            <v>0</v>
          </cell>
          <cell r="O1827">
            <v>69539.86</v>
          </cell>
        </row>
        <row r="1828">
          <cell r="A1828" t="str">
            <v>07</v>
          </cell>
          <cell r="B1828" t="str">
            <v>22</v>
          </cell>
          <cell r="C1828" t="str">
            <v>记-0053</v>
          </cell>
          <cell r="D1828" t="str">
            <v>107</v>
          </cell>
          <cell r="E1828" t="str">
            <v>大野花旗参</v>
          </cell>
          <cell r="F1828" t="str">
            <v>收购产品</v>
          </cell>
          <cell r="G1828">
            <v>31.263359999999999</v>
          </cell>
          <cell r="H1828">
            <v>700</v>
          </cell>
          <cell r="I1828">
            <v>21884.35</v>
          </cell>
          <cell r="J1828">
            <v>0</v>
          </cell>
          <cell r="K1828">
            <v>0</v>
          </cell>
          <cell r="L1828" t="str">
            <v>贷</v>
          </cell>
          <cell r="M1828">
            <v>3400</v>
          </cell>
          <cell r="N1828">
            <v>0</v>
          </cell>
          <cell r="O1828">
            <v>47655.51</v>
          </cell>
        </row>
        <row r="1829">
          <cell r="A1829" t="str">
            <v>07</v>
          </cell>
          <cell r="B1829" t="str">
            <v>22</v>
          </cell>
          <cell r="C1829" t="str">
            <v>记-0053</v>
          </cell>
          <cell r="D1829" t="str">
            <v>107</v>
          </cell>
          <cell r="E1829" t="str">
            <v>大野花旗参</v>
          </cell>
          <cell r="F1829" t="str">
            <v>收购产品</v>
          </cell>
          <cell r="G1829">
            <v>28.7285</v>
          </cell>
          <cell r="H1829">
            <v>800</v>
          </cell>
          <cell r="I1829">
            <v>22982.799999999999</v>
          </cell>
          <cell r="J1829">
            <v>0</v>
          </cell>
          <cell r="K1829">
            <v>0</v>
          </cell>
          <cell r="L1829" t="str">
            <v>贷</v>
          </cell>
          <cell r="M1829">
            <v>2600</v>
          </cell>
          <cell r="N1829">
            <v>0</v>
          </cell>
          <cell r="O1829">
            <v>24672.71</v>
          </cell>
        </row>
        <row r="1830">
          <cell r="A1830" t="str">
            <v>07</v>
          </cell>
          <cell r="B1830" t="str">
            <v>22</v>
          </cell>
          <cell r="C1830" t="str">
            <v>记-0053</v>
          </cell>
          <cell r="D1830" t="str">
            <v>107</v>
          </cell>
          <cell r="E1830" t="str">
            <v>大野花旗参</v>
          </cell>
          <cell r="F1830" t="str">
            <v>收购产品</v>
          </cell>
          <cell r="G1830">
            <v>21.96885</v>
          </cell>
          <cell r="H1830">
            <v>1000</v>
          </cell>
          <cell r="I1830">
            <v>21968.85</v>
          </cell>
          <cell r="J1830">
            <v>0</v>
          </cell>
          <cell r="K1830">
            <v>0</v>
          </cell>
          <cell r="L1830" t="str">
            <v>贷</v>
          </cell>
          <cell r="M1830">
            <v>1600</v>
          </cell>
          <cell r="N1830">
            <v>0</v>
          </cell>
          <cell r="O1830">
            <v>2703.86</v>
          </cell>
        </row>
        <row r="1831">
          <cell r="A1831" t="str">
            <v>07</v>
          </cell>
          <cell r="B1831" t="str">
            <v>22</v>
          </cell>
          <cell r="C1831" t="str">
            <v>记-0054</v>
          </cell>
          <cell r="D1831" t="str">
            <v>107</v>
          </cell>
          <cell r="E1831" t="str">
            <v>大野花旗参</v>
          </cell>
          <cell r="F1831" t="str">
            <v>收购产品</v>
          </cell>
          <cell r="G1831">
            <v>1.68991</v>
          </cell>
          <cell r="H1831">
            <v>1600</v>
          </cell>
          <cell r="I1831">
            <v>2703.86</v>
          </cell>
          <cell r="J1831">
            <v>0</v>
          </cell>
          <cell r="K1831">
            <v>0</v>
          </cell>
          <cell r="L1831" t="str">
            <v>平</v>
          </cell>
          <cell r="M1831">
            <v>0</v>
          </cell>
          <cell r="N1831">
            <v>0</v>
          </cell>
          <cell r="O1831">
            <v>0</v>
          </cell>
        </row>
        <row r="1832">
          <cell r="A1832" t="str">
            <v>07</v>
          </cell>
          <cell r="F1832" t="str">
            <v>本月合计</v>
          </cell>
          <cell r="G1832">
            <v>0</v>
          </cell>
          <cell r="H1832">
            <v>4100</v>
          </cell>
          <cell r="I1832">
            <v>69539.86</v>
          </cell>
          <cell r="J1832">
            <v>4100</v>
          </cell>
          <cell r="K1832">
            <v>69539.86</v>
          </cell>
          <cell r="L1832" t="str">
            <v>平</v>
          </cell>
          <cell r="M1832">
            <v>0</v>
          </cell>
          <cell r="N1832">
            <v>0</v>
          </cell>
          <cell r="O1832">
            <v>0</v>
          </cell>
        </row>
        <row r="1833">
          <cell r="A1833" t="str">
            <v>07</v>
          </cell>
          <cell r="F1833" t="str">
            <v>累    计</v>
          </cell>
          <cell r="G1833">
            <v>0</v>
          </cell>
          <cell r="H1833">
            <v>5600</v>
          </cell>
          <cell r="I1833">
            <v>110097.74</v>
          </cell>
          <cell r="J1833">
            <v>5600</v>
          </cell>
          <cell r="K1833">
            <v>110097.74</v>
          </cell>
          <cell r="L1833" t="str">
            <v>平</v>
          </cell>
          <cell r="M1833">
            <v>0</v>
          </cell>
          <cell r="N1833">
            <v>0</v>
          </cell>
          <cell r="O1833">
            <v>0</v>
          </cell>
        </row>
        <row r="1834">
          <cell r="A1834" t="str">
            <v>09</v>
          </cell>
          <cell r="B1834" t="str">
            <v>22</v>
          </cell>
          <cell r="C1834" t="str">
            <v>记-0034</v>
          </cell>
          <cell r="D1834" t="str">
            <v>107</v>
          </cell>
          <cell r="E1834" t="str">
            <v>大野花旗参</v>
          </cell>
          <cell r="F1834" t="str">
            <v>结转成本</v>
          </cell>
          <cell r="G1834">
            <v>27.88354</v>
          </cell>
          <cell r="H1834">
            <v>0</v>
          </cell>
          <cell r="I1834">
            <v>0</v>
          </cell>
          <cell r="J1834">
            <v>500</v>
          </cell>
          <cell r="K1834">
            <v>13941.77</v>
          </cell>
          <cell r="L1834" t="str">
            <v>贷</v>
          </cell>
          <cell r="M1834">
            <v>500</v>
          </cell>
          <cell r="N1834">
            <v>0</v>
          </cell>
          <cell r="O1834">
            <v>13941.77</v>
          </cell>
        </row>
        <row r="1835">
          <cell r="A1835" t="str">
            <v>09</v>
          </cell>
          <cell r="B1835" t="str">
            <v>22</v>
          </cell>
          <cell r="C1835" t="str">
            <v>记-0038</v>
          </cell>
          <cell r="D1835" t="str">
            <v>107</v>
          </cell>
          <cell r="E1835" t="str">
            <v>大野花旗参</v>
          </cell>
          <cell r="F1835" t="str">
            <v>收购产品</v>
          </cell>
          <cell r="G1835">
            <v>27.88354</v>
          </cell>
          <cell r="H1835">
            <v>500</v>
          </cell>
          <cell r="I1835">
            <v>13941.77</v>
          </cell>
          <cell r="J1835">
            <v>0</v>
          </cell>
          <cell r="K1835">
            <v>0</v>
          </cell>
          <cell r="L1835" t="str">
            <v>平</v>
          </cell>
          <cell r="M1835">
            <v>0</v>
          </cell>
          <cell r="N1835">
            <v>0</v>
          </cell>
          <cell r="O1835">
            <v>0</v>
          </cell>
        </row>
        <row r="1836">
          <cell r="A1836" t="str">
            <v>09</v>
          </cell>
          <cell r="F1836" t="str">
            <v>本月合计</v>
          </cell>
          <cell r="G1836">
            <v>0</v>
          </cell>
          <cell r="H1836">
            <v>500</v>
          </cell>
          <cell r="I1836">
            <v>13941.77</v>
          </cell>
          <cell r="J1836">
            <v>500</v>
          </cell>
          <cell r="K1836">
            <v>13941.77</v>
          </cell>
          <cell r="L1836" t="str">
            <v>平</v>
          </cell>
          <cell r="M1836">
            <v>0</v>
          </cell>
          <cell r="N1836">
            <v>0</v>
          </cell>
          <cell r="O1836">
            <v>0</v>
          </cell>
        </row>
        <row r="1837">
          <cell r="A1837" t="str">
            <v>09</v>
          </cell>
          <cell r="E1837" t="str">
            <v>大野花旗参</v>
          </cell>
          <cell r="F1837" t="str">
            <v>本年累计</v>
          </cell>
          <cell r="G1837">
            <v>0</v>
          </cell>
          <cell r="H1837">
            <v>6100</v>
          </cell>
          <cell r="I1837">
            <v>124039.51</v>
          </cell>
          <cell r="J1837">
            <v>6100</v>
          </cell>
          <cell r="K1837">
            <v>124039.51</v>
          </cell>
          <cell r="L1837" t="str">
            <v>平</v>
          </cell>
          <cell r="M1837">
            <v>0</v>
          </cell>
          <cell r="N1837">
            <v>0</v>
          </cell>
          <cell r="O1837">
            <v>0</v>
          </cell>
        </row>
        <row r="1838">
          <cell r="A1838" t="str">
            <v>02</v>
          </cell>
          <cell r="B1838" t="str">
            <v>28</v>
          </cell>
          <cell r="C1838" t="str">
            <v>记-0063</v>
          </cell>
          <cell r="D1838" t="str">
            <v>108</v>
          </cell>
          <cell r="E1838" t="str">
            <v>小野花旗参</v>
          </cell>
          <cell r="F1838" t="str">
            <v>结转成本</v>
          </cell>
          <cell r="G1838">
            <v>18.589030000000001</v>
          </cell>
          <cell r="H1838">
            <v>0</v>
          </cell>
          <cell r="I1838">
            <v>0</v>
          </cell>
          <cell r="J1838">
            <v>1500</v>
          </cell>
          <cell r="K1838">
            <v>27883.54</v>
          </cell>
          <cell r="L1838" t="str">
            <v>贷</v>
          </cell>
          <cell r="M1838">
            <v>1500</v>
          </cell>
          <cell r="N1838">
            <v>0</v>
          </cell>
          <cell r="O1838">
            <v>27883.54</v>
          </cell>
        </row>
        <row r="1839">
          <cell r="A1839" t="str">
            <v>02</v>
          </cell>
          <cell r="B1839" t="str">
            <v>28</v>
          </cell>
          <cell r="C1839" t="str">
            <v>记-0069</v>
          </cell>
          <cell r="D1839" t="str">
            <v>108</v>
          </cell>
          <cell r="E1839" t="str">
            <v>小野花旗参</v>
          </cell>
          <cell r="F1839" t="str">
            <v>收购产品</v>
          </cell>
          <cell r="G1839">
            <v>18.589030000000001</v>
          </cell>
          <cell r="H1839">
            <v>1500</v>
          </cell>
          <cell r="I1839">
            <v>27883.54</v>
          </cell>
          <cell r="J1839">
            <v>0</v>
          </cell>
          <cell r="K1839">
            <v>0</v>
          </cell>
          <cell r="L1839" t="str">
            <v>平</v>
          </cell>
          <cell r="M1839">
            <v>0</v>
          </cell>
          <cell r="N1839">
            <v>0</v>
          </cell>
          <cell r="O1839">
            <v>0</v>
          </cell>
        </row>
        <row r="1840">
          <cell r="A1840" t="str">
            <v>02</v>
          </cell>
          <cell r="F1840" t="str">
            <v>本月合计</v>
          </cell>
          <cell r="G1840">
            <v>0</v>
          </cell>
          <cell r="H1840">
            <v>1500</v>
          </cell>
          <cell r="I1840">
            <v>27883.54</v>
          </cell>
          <cell r="J1840">
            <v>1500</v>
          </cell>
          <cell r="K1840">
            <v>27883.54</v>
          </cell>
          <cell r="L1840" t="str">
            <v>平</v>
          </cell>
          <cell r="M1840">
            <v>0</v>
          </cell>
          <cell r="N1840">
            <v>0</v>
          </cell>
          <cell r="O1840">
            <v>0</v>
          </cell>
        </row>
        <row r="1841">
          <cell r="A1841" t="str">
            <v>02</v>
          </cell>
          <cell r="F1841" t="str">
            <v>累    计</v>
          </cell>
          <cell r="G1841">
            <v>0</v>
          </cell>
          <cell r="H1841">
            <v>1500</v>
          </cell>
          <cell r="I1841">
            <v>27883.54</v>
          </cell>
          <cell r="J1841">
            <v>1500</v>
          </cell>
          <cell r="K1841">
            <v>27883.54</v>
          </cell>
          <cell r="L1841" t="str">
            <v>平</v>
          </cell>
          <cell r="M1841">
            <v>0</v>
          </cell>
          <cell r="N1841">
            <v>0</v>
          </cell>
          <cell r="O1841">
            <v>0</v>
          </cell>
        </row>
        <row r="1842">
          <cell r="A1842" t="str">
            <v>09</v>
          </cell>
          <cell r="B1842" t="str">
            <v>22</v>
          </cell>
          <cell r="C1842" t="str">
            <v>记-0034</v>
          </cell>
          <cell r="D1842" t="str">
            <v>108</v>
          </cell>
          <cell r="E1842" t="str">
            <v>小野花旗参</v>
          </cell>
          <cell r="F1842" t="str">
            <v>结转成本</v>
          </cell>
          <cell r="G1842">
            <v>19.433979999999998</v>
          </cell>
          <cell r="H1842">
            <v>0</v>
          </cell>
          <cell r="I1842">
            <v>0</v>
          </cell>
          <cell r="J1842">
            <v>1000</v>
          </cell>
          <cell r="K1842">
            <v>19433.98</v>
          </cell>
          <cell r="L1842" t="str">
            <v>贷</v>
          </cell>
          <cell r="M1842">
            <v>1000</v>
          </cell>
          <cell r="N1842">
            <v>0</v>
          </cell>
          <cell r="O1842">
            <v>19433.98</v>
          </cell>
        </row>
        <row r="1843">
          <cell r="A1843" t="str">
            <v>09</v>
          </cell>
          <cell r="B1843" t="str">
            <v>22</v>
          </cell>
          <cell r="C1843" t="str">
            <v>记-0038</v>
          </cell>
          <cell r="D1843" t="str">
            <v>108</v>
          </cell>
          <cell r="E1843" t="str">
            <v>小野花旗参</v>
          </cell>
          <cell r="F1843" t="str">
            <v>收购产品</v>
          </cell>
          <cell r="G1843">
            <v>19.433979999999998</v>
          </cell>
          <cell r="H1843">
            <v>1000</v>
          </cell>
          <cell r="I1843">
            <v>19433.98</v>
          </cell>
          <cell r="J1843">
            <v>0</v>
          </cell>
          <cell r="K1843">
            <v>0</v>
          </cell>
          <cell r="L1843" t="str">
            <v>平</v>
          </cell>
          <cell r="M1843">
            <v>0</v>
          </cell>
          <cell r="N1843">
            <v>0</v>
          </cell>
          <cell r="O1843">
            <v>0</v>
          </cell>
        </row>
        <row r="1844">
          <cell r="A1844" t="str">
            <v>09</v>
          </cell>
          <cell r="F1844" t="str">
            <v>本月合计</v>
          </cell>
          <cell r="G1844">
            <v>0</v>
          </cell>
          <cell r="H1844">
            <v>1000</v>
          </cell>
          <cell r="I1844">
            <v>19433.98</v>
          </cell>
          <cell r="J1844">
            <v>1000</v>
          </cell>
          <cell r="K1844">
            <v>19433.98</v>
          </cell>
          <cell r="L1844" t="str">
            <v>平</v>
          </cell>
          <cell r="M1844">
            <v>0</v>
          </cell>
          <cell r="N1844">
            <v>0</v>
          </cell>
          <cell r="O1844">
            <v>0</v>
          </cell>
        </row>
        <row r="1845">
          <cell r="A1845" t="str">
            <v>09</v>
          </cell>
          <cell r="E1845" t="str">
            <v>小野花旗参</v>
          </cell>
          <cell r="F1845" t="str">
            <v>本年累计</v>
          </cell>
          <cell r="G1845">
            <v>0</v>
          </cell>
          <cell r="H1845">
            <v>2500</v>
          </cell>
          <cell r="I1845">
            <v>47317.52</v>
          </cell>
          <cell r="J1845">
            <v>2500</v>
          </cell>
          <cell r="K1845">
            <v>47317.52</v>
          </cell>
          <cell r="L1845" t="str">
            <v>平</v>
          </cell>
          <cell r="M1845">
            <v>0</v>
          </cell>
          <cell r="N1845">
            <v>0</v>
          </cell>
          <cell r="O1845">
            <v>0</v>
          </cell>
        </row>
        <row r="1846">
          <cell r="A1846" t="str">
            <v>02</v>
          </cell>
          <cell r="B1846" t="str">
            <v>28</v>
          </cell>
          <cell r="C1846" t="str">
            <v>记-0063</v>
          </cell>
          <cell r="D1846" t="str">
            <v>112</v>
          </cell>
          <cell r="E1846" t="str">
            <v>花旗参特粗野生</v>
          </cell>
          <cell r="F1846" t="str">
            <v>结转成本</v>
          </cell>
          <cell r="G1846">
            <v>30.418410000000002</v>
          </cell>
          <cell r="H1846">
            <v>0</v>
          </cell>
          <cell r="I1846">
            <v>0</v>
          </cell>
          <cell r="J1846">
            <v>2000</v>
          </cell>
          <cell r="K1846">
            <v>60836.81</v>
          </cell>
          <cell r="L1846" t="str">
            <v>贷</v>
          </cell>
          <cell r="M1846">
            <v>2000</v>
          </cell>
          <cell r="N1846">
            <v>0</v>
          </cell>
          <cell r="O1846">
            <v>60836.81</v>
          </cell>
        </row>
        <row r="1847">
          <cell r="A1847" t="str">
            <v>02</v>
          </cell>
          <cell r="B1847" t="str">
            <v>28</v>
          </cell>
          <cell r="C1847" t="str">
            <v>记-0069</v>
          </cell>
          <cell r="D1847" t="str">
            <v>112</v>
          </cell>
          <cell r="E1847" t="str">
            <v>花旗参特粗野生</v>
          </cell>
          <cell r="F1847" t="str">
            <v>收购产品</v>
          </cell>
          <cell r="G1847">
            <v>30.418410000000002</v>
          </cell>
          <cell r="H1847">
            <v>2000</v>
          </cell>
          <cell r="I1847">
            <v>60836.81</v>
          </cell>
          <cell r="J1847">
            <v>0</v>
          </cell>
          <cell r="K1847">
            <v>0</v>
          </cell>
          <cell r="L1847" t="str">
            <v>平</v>
          </cell>
          <cell r="M1847">
            <v>0</v>
          </cell>
          <cell r="N1847">
            <v>0</v>
          </cell>
          <cell r="O1847">
            <v>0</v>
          </cell>
        </row>
        <row r="1848">
          <cell r="A1848" t="str">
            <v>02</v>
          </cell>
          <cell r="F1848" t="str">
            <v>本月合计</v>
          </cell>
          <cell r="G1848">
            <v>0</v>
          </cell>
          <cell r="H1848">
            <v>2000</v>
          </cell>
          <cell r="I1848">
            <v>60836.81</v>
          </cell>
          <cell r="J1848">
            <v>2000</v>
          </cell>
          <cell r="K1848">
            <v>60836.81</v>
          </cell>
          <cell r="L1848" t="str">
            <v>平</v>
          </cell>
          <cell r="M1848">
            <v>0</v>
          </cell>
          <cell r="N1848">
            <v>0</v>
          </cell>
          <cell r="O1848">
            <v>0</v>
          </cell>
        </row>
        <row r="1849">
          <cell r="A1849" t="str">
            <v>02</v>
          </cell>
          <cell r="F1849" t="str">
            <v>累    计</v>
          </cell>
          <cell r="G1849">
            <v>0</v>
          </cell>
          <cell r="H1849">
            <v>2000</v>
          </cell>
          <cell r="I1849">
            <v>60836.81</v>
          </cell>
          <cell r="J1849">
            <v>2000</v>
          </cell>
          <cell r="K1849">
            <v>60836.81</v>
          </cell>
          <cell r="L1849" t="str">
            <v>平</v>
          </cell>
          <cell r="M1849">
            <v>0</v>
          </cell>
          <cell r="N1849">
            <v>0</v>
          </cell>
          <cell r="O1849">
            <v>0</v>
          </cell>
        </row>
        <row r="1850">
          <cell r="A1850" t="str">
            <v>07</v>
          </cell>
          <cell r="B1850" t="str">
            <v>22</v>
          </cell>
          <cell r="C1850" t="str">
            <v>记-0051</v>
          </cell>
          <cell r="D1850" t="str">
            <v>112</v>
          </cell>
          <cell r="E1850" t="str">
            <v>花旗参特粗野生</v>
          </cell>
          <cell r="F1850" t="str">
            <v>结转成本</v>
          </cell>
          <cell r="G1850">
            <v>7.1821299999999999</v>
          </cell>
          <cell r="H1850">
            <v>0</v>
          </cell>
          <cell r="I1850">
            <v>0</v>
          </cell>
          <cell r="J1850">
            <v>2000</v>
          </cell>
          <cell r="K1850">
            <v>14364.25</v>
          </cell>
          <cell r="L1850" t="str">
            <v>贷</v>
          </cell>
          <cell r="M1850">
            <v>2000</v>
          </cell>
          <cell r="N1850">
            <v>0</v>
          </cell>
          <cell r="O1850">
            <v>14364.25</v>
          </cell>
        </row>
        <row r="1851">
          <cell r="A1851" t="str">
            <v>07</v>
          </cell>
          <cell r="B1851" t="str">
            <v>22</v>
          </cell>
          <cell r="C1851" t="str">
            <v>记-0053</v>
          </cell>
          <cell r="D1851" t="str">
            <v>112</v>
          </cell>
          <cell r="E1851" t="str">
            <v>花旗参特粗野生</v>
          </cell>
          <cell r="F1851" t="str">
            <v>收购产品</v>
          </cell>
          <cell r="G1851">
            <v>7.1821299999999999</v>
          </cell>
          <cell r="H1851">
            <v>2000</v>
          </cell>
          <cell r="I1851">
            <v>14364.25</v>
          </cell>
          <cell r="J1851">
            <v>0</v>
          </cell>
          <cell r="K1851">
            <v>0</v>
          </cell>
          <cell r="L1851" t="str">
            <v>平</v>
          </cell>
          <cell r="M1851">
            <v>0</v>
          </cell>
          <cell r="N1851">
            <v>0</v>
          </cell>
          <cell r="O1851">
            <v>0</v>
          </cell>
        </row>
        <row r="1852">
          <cell r="A1852" t="str">
            <v>07</v>
          </cell>
          <cell r="F1852" t="str">
            <v>本月合计</v>
          </cell>
          <cell r="G1852">
            <v>0</v>
          </cell>
          <cell r="H1852">
            <v>2000</v>
          </cell>
          <cell r="I1852">
            <v>14364.25</v>
          </cell>
          <cell r="J1852">
            <v>2000</v>
          </cell>
          <cell r="K1852">
            <v>14364.25</v>
          </cell>
          <cell r="L1852" t="str">
            <v>平</v>
          </cell>
          <cell r="M1852">
            <v>0</v>
          </cell>
          <cell r="N1852">
            <v>0</v>
          </cell>
          <cell r="O1852">
            <v>0</v>
          </cell>
        </row>
        <row r="1853">
          <cell r="A1853" t="str">
            <v>07</v>
          </cell>
          <cell r="F1853" t="str">
            <v>累    计</v>
          </cell>
          <cell r="G1853">
            <v>0</v>
          </cell>
          <cell r="H1853">
            <v>4000</v>
          </cell>
          <cell r="I1853">
            <v>75201.06</v>
          </cell>
          <cell r="J1853">
            <v>4000</v>
          </cell>
          <cell r="K1853">
            <v>75201.06</v>
          </cell>
          <cell r="L1853" t="str">
            <v>平</v>
          </cell>
          <cell r="M1853">
            <v>0</v>
          </cell>
          <cell r="N1853">
            <v>0</v>
          </cell>
          <cell r="O1853">
            <v>0</v>
          </cell>
        </row>
        <row r="1854">
          <cell r="A1854" t="str">
            <v>09</v>
          </cell>
          <cell r="B1854" t="str">
            <v>22</v>
          </cell>
          <cell r="C1854" t="str">
            <v>记-0034</v>
          </cell>
          <cell r="D1854" t="str">
            <v>112</v>
          </cell>
          <cell r="E1854" t="str">
            <v>花旗参特粗野生</v>
          </cell>
          <cell r="F1854" t="str">
            <v>结转成本</v>
          </cell>
          <cell r="G1854">
            <v>6.7596499999999997</v>
          </cell>
          <cell r="H1854">
            <v>0</v>
          </cell>
          <cell r="I1854">
            <v>0</v>
          </cell>
          <cell r="J1854">
            <v>1000</v>
          </cell>
          <cell r="K1854">
            <v>6759.65</v>
          </cell>
          <cell r="L1854" t="str">
            <v>贷</v>
          </cell>
          <cell r="M1854">
            <v>1000</v>
          </cell>
          <cell r="N1854">
            <v>0</v>
          </cell>
          <cell r="O1854">
            <v>6759.65</v>
          </cell>
        </row>
        <row r="1855">
          <cell r="A1855" t="str">
            <v>09</v>
          </cell>
          <cell r="B1855" t="str">
            <v>22</v>
          </cell>
          <cell r="C1855" t="str">
            <v>记-0038</v>
          </cell>
          <cell r="D1855" t="str">
            <v>112</v>
          </cell>
          <cell r="E1855" t="str">
            <v>花旗参特粗野生</v>
          </cell>
          <cell r="F1855" t="str">
            <v>收购产品</v>
          </cell>
          <cell r="G1855">
            <v>6.7596499999999997</v>
          </cell>
          <cell r="H1855">
            <v>1000</v>
          </cell>
          <cell r="I1855">
            <v>6759.65</v>
          </cell>
          <cell r="J1855">
            <v>0</v>
          </cell>
          <cell r="K1855">
            <v>0</v>
          </cell>
          <cell r="L1855" t="str">
            <v>平</v>
          </cell>
          <cell r="M1855">
            <v>0</v>
          </cell>
          <cell r="N1855">
            <v>0</v>
          </cell>
          <cell r="O1855">
            <v>0</v>
          </cell>
        </row>
        <row r="1856">
          <cell r="A1856" t="str">
            <v>09</v>
          </cell>
          <cell r="F1856" t="str">
            <v>本月合计</v>
          </cell>
          <cell r="G1856">
            <v>0</v>
          </cell>
          <cell r="H1856">
            <v>1000</v>
          </cell>
          <cell r="I1856">
            <v>6759.65</v>
          </cell>
          <cell r="J1856">
            <v>1000</v>
          </cell>
          <cell r="K1856">
            <v>6759.65</v>
          </cell>
          <cell r="L1856" t="str">
            <v>平</v>
          </cell>
          <cell r="M1856">
            <v>0</v>
          </cell>
          <cell r="N1856">
            <v>0</v>
          </cell>
          <cell r="O1856">
            <v>0</v>
          </cell>
        </row>
        <row r="1857">
          <cell r="A1857" t="str">
            <v>09</v>
          </cell>
          <cell r="F1857" t="str">
            <v>累    计</v>
          </cell>
          <cell r="G1857">
            <v>0</v>
          </cell>
          <cell r="H1857">
            <v>5000</v>
          </cell>
          <cell r="I1857">
            <v>81960.710000000006</v>
          </cell>
          <cell r="J1857">
            <v>5000</v>
          </cell>
          <cell r="K1857">
            <v>81960.710000000006</v>
          </cell>
          <cell r="L1857" t="str">
            <v>平</v>
          </cell>
          <cell r="M1857">
            <v>0</v>
          </cell>
          <cell r="N1857">
            <v>0</v>
          </cell>
          <cell r="O1857">
            <v>0</v>
          </cell>
        </row>
        <row r="1858">
          <cell r="A1858" t="str">
            <v>11</v>
          </cell>
          <cell r="B1858" t="str">
            <v>18</v>
          </cell>
          <cell r="C1858" t="str">
            <v>记-0001</v>
          </cell>
          <cell r="D1858" t="str">
            <v>112</v>
          </cell>
          <cell r="E1858" t="str">
            <v>花旗参特粗野生</v>
          </cell>
          <cell r="F1858" t="str">
            <v>收购产品</v>
          </cell>
          <cell r="G1858">
            <v>1825.7381700000001</v>
          </cell>
          <cell r="H1858">
            <v>60</v>
          </cell>
          <cell r="I1858">
            <v>109544.29</v>
          </cell>
          <cell r="J1858">
            <v>0</v>
          </cell>
          <cell r="K1858">
            <v>0</v>
          </cell>
          <cell r="L1858" t="str">
            <v>借</v>
          </cell>
          <cell r="M1858">
            <v>60</v>
          </cell>
          <cell r="N1858">
            <v>0</v>
          </cell>
          <cell r="O1858">
            <v>109544.29</v>
          </cell>
        </row>
        <row r="1859">
          <cell r="A1859" t="str">
            <v>11</v>
          </cell>
          <cell r="B1859" t="str">
            <v>18</v>
          </cell>
          <cell r="C1859" t="str">
            <v>记-0001</v>
          </cell>
          <cell r="D1859" t="str">
            <v>112</v>
          </cell>
          <cell r="E1859" t="str">
            <v>花旗参特粗野生</v>
          </cell>
          <cell r="F1859" t="str">
            <v>收购产品</v>
          </cell>
          <cell r="G1859">
            <v>11748.028</v>
          </cell>
          <cell r="H1859">
            <v>10</v>
          </cell>
          <cell r="I1859">
            <v>117480.28</v>
          </cell>
          <cell r="J1859">
            <v>0</v>
          </cell>
          <cell r="K1859">
            <v>0</v>
          </cell>
          <cell r="L1859" t="str">
            <v>借</v>
          </cell>
          <cell r="M1859">
            <v>70</v>
          </cell>
          <cell r="N1859">
            <v>0</v>
          </cell>
          <cell r="O1859">
            <v>227024.57</v>
          </cell>
        </row>
        <row r="1860">
          <cell r="A1860" t="str">
            <v>11</v>
          </cell>
          <cell r="B1860" t="str">
            <v>18</v>
          </cell>
          <cell r="C1860" t="str">
            <v>记-0004</v>
          </cell>
          <cell r="D1860" t="str">
            <v>112</v>
          </cell>
          <cell r="E1860" t="str">
            <v>花旗参特粗野生</v>
          </cell>
          <cell r="F1860" t="str">
            <v>结转成本</v>
          </cell>
          <cell r="G1860">
            <v>11748.028</v>
          </cell>
          <cell r="H1860">
            <v>0</v>
          </cell>
          <cell r="I1860">
            <v>0</v>
          </cell>
          <cell r="J1860">
            <v>10</v>
          </cell>
          <cell r="K1860">
            <v>117480.28</v>
          </cell>
          <cell r="L1860" t="str">
            <v>借</v>
          </cell>
          <cell r="M1860">
            <v>60</v>
          </cell>
          <cell r="N1860">
            <v>0</v>
          </cell>
          <cell r="O1860">
            <v>109544.29</v>
          </cell>
        </row>
        <row r="1861">
          <cell r="A1861" t="str">
            <v>11</v>
          </cell>
          <cell r="B1861" t="str">
            <v>18</v>
          </cell>
          <cell r="C1861" t="str">
            <v>记-0004</v>
          </cell>
          <cell r="D1861" t="str">
            <v>112</v>
          </cell>
          <cell r="E1861" t="str">
            <v>花旗参特粗野生</v>
          </cell>
          <cell r="F1861" t="str">
            <v>结转成本</v>
          </cell>
          <cell r="G1861">
            <v>1825.7381700000001</v>
          </cell>
          <cell r="H1861">
            <v>0</v>
          </cell>
          <cell r="I1861">
            <v>0</v>
          </cell>
          <cell r="J1861">
            <v>60</v>
          </cell>
          <cell r="K1861">
            <v>109544.29</v>
          </cell>
          <cell r="L1861" t="str">
            <v>平</v>
          </cell>
          <cell r="M1861">
            <v>0</v>
          </cell>
          <cell r="N1861">
            <v>0</v>
          </cell>
          <cell r="O1861">
            <v>0</v>
          </cell>
        </row>
        <row r="1862">
          <cell r="A1862" t="str">
            <v>11</v>
          </cell>
          <cell r="F1862" t="str">
            <v>本月合计</v>
          </cell>
          <cell r="G1862">
            <v>0</v>
          </cell>
          <cell r="H1862">
            <v>70</v>
          </cell>
          <cell r="I1862">
            <v>227024.57</v>
          </cell>
          <cell r="J1862">
            <v>70</v>
          </cell>
          <cell r="K1862">
            <v>227024.57</v>
          </cell>
          <cell r="L1862" t="str">
            <v>平</v>
          </cell>
          <cell r="M1862">
            <v>0</v>
          </cell>
          <cell r="N1862">
            <v>0</v>
          </cell>
          <cell r="O1862">
            <v>0</v>
          </cell>
        </row>
        <row r="1863">
          <cell r="A1863" t="str">
            <v>11</v>
          </cell>
          <cell r="F1863" t="str">
            <v>累    计</v>
          </cell>
          <cell r="G1863">
            <v>0</v>
          </cell>
          <cell r="H1863">
            <v>5070</v>
          </cell>
          <cell r="I1863">
            <v>308985.28000000003</v>
          </cell>
          <cell r="J1863">
            <v>5070</v>
          </cell>
          <cell r="K1863">
            <v>308985.28000000003</v>
          </cell>
          <cell r="L1863" t="str">
            <v>平</v>
          </cell>
          <cell r="M1863">
            <v>0</v>
          </cell>
          <cell r="N1863">
            <v>0</v>
          </cell>
          <cell r="O1863">
            <v>0</v>
          </cell>
        </row>
        <row r="1864">
          <cell r="A1864" t="str">
            <v>12</v>
          </cell>
          <cell r="B1864" t="str">
            <v>11</v>
          </cell>
          <cell r="C1864" t="str">
            <v>记-0018</v>
          </cell>
          <cell r="D1864" t="str">
            <v>112</v>
          </cell>
          <cell r="E1864" t="str">
            <v>花旗参特粗野生</v>
          </cell>
          <cell r="F1864" t="str">
            <v>收购产品</v>
          </cell>
          <cell r="G1864">
            <v>7.1314200000000003</v>
          </cell>
          <cell r="H1864">
            <v>900</v>
          </cell>
          <cell r="I1864">
            <v>6418.28</v>
          </cell>
          <cell r="J1864">
            <v>0</v>
          </cell>
          <cell r="K1864">
            <v>0</v>
          </cell>
          <cell r="L1864" t="str">
            <v>借</v>
          </cell>
          <cell r="M1864">
            <v>900</v>
          </cell>
          <cell r="N1864">
            <v>0</v>
          </cell>
          <cell r="O1864">
            <v>6418.28</v>
          </cell>
        </row>
        <row r="1865">
          <cell r="A1865" t="str">
            <v>12</v>
          </cell>
          <cell r="B1865" t="str">
            <v>11</v>
          </cell>
          <cell r="C1865" t="str">
            <v>记-0030</v>
          </cell>
          <cell r="D1865" t="str">
            <v>112</v>
          </cell>
          <cell r="E1865" t="str">
            <v>花旗参特粗野生</v>
          </cell>
          <cell r="F1865" t="str">
            <v>结转成本</v>
          </cell>
          <cell r="G1865">
            <v>7.1314200000000003</v>
          </cell>
          <cell r="H1865">
            <v>0</v>
          </cell>
          <cell r="I1865">
            <v>0</v>
          </cell>
          <cell r="J1865">
            <v>900</v>
          </cell>
          <cell r="K1865">
            <v>6418.28</v>
          </cell>
          <cell r="L1865" t="str">
            <v>平</v>
          </cell>
          <cell r="M1865">
            <v>0</v>
          </cell>
          <cell r="N1865">
            <v>0</v>
          </cell>
          <cell r="O1865">
            <v>0</v>
          </cell>
        </row>
        <row r="1866">
          <cell r="A1866" t="str">
            <v>12</v>
          </cell>
          <cell r="F1866" t="str">
            <v>本月合计</v>
          </cell>
          <cell r="G1866">
            <v>0</v>
          </cell>
          <cell r="H1866">
            <v>900</v>
          </cell>
          <cell r="I1866">
            <v>6418.28</v>
          </cell>
          <cell r="J1866">
            <v>900</v>
          </cell>
          <cell r="K1866">
            <v>6418.28</v>
          </cell>
          <cell r="L1866" t="str">
            <v>平</v>
          </cell>
          <cell r="M1866">
            <v>0</v>
          </cell>
          <cell r="N1866">
            <v>0</v>
          </cell>
          <cell r="O1866">
            <v>0</v>
          </cell>
        </row>
        <row r="1867">
          <cell r="A1867" t="str">
            <v>12</v>
          </cell>
          <cell r="E1867" t="str">
            <v>花旗参特粗野生</v>
          </cell>
          <cell r="F1867" t="str">
            <v>本年累计</v>
          </cell>
          <cell r="G1867">
            <v>0</v>
          </cell>
          <cell r="H1867">
            <v>5970</v>
          </cell>
          <cell r="I1867">
            <v>315403.56</v>
          </cell>
          <cell r="J1867">
            <v>5970</v>
          </cell>
          <cell r="K1867">
            <v>315403.56</v>
          </cell>
          <cell r="L1867" t="str">
            <v>平</v>
          </cell>
          <cell r="M1867">
            <v>0</v>
          </cell>
          <cell r="N1867">
            <v>0</v>
          </cell>
          <cell r="O1867">
            <v>0</v>
          </cell>
        </row>
        <row r="1868">
          <cell r="A1868" t="str">
            <v>02</v>
          </cell>
          <cell r="B1868" t="str">
            <v>28</v>
          </cell>
          <cell r="C1868" t="str">
            <v>记-0063</v>
          </cell>
          <cell r="D1868" t="str">
            <v>113</v>
          </cell>
          <cell r="E1868" t="str">
            <v>血茸片小</v>
          </cell>
          <cell r="F1868" t="str">
            <v>结转成本</v>
          </cell>
          <cell r="G1868">
            <v>20.278939999999999</v>
          </cell>
          <cell r="H1868">
            <v>0</v>
          </cell>
          <cell r="I1868">
            <v>0</v>
          </cell>
          <cell r="J1868">
            <v>1000</v>
          </cell>
          <cell r="K1868">
            <v>20278.939999999999</v>
          </cell>
          <cell r="L1868" t="str">
            <v>贷</v>
          </cell>
          <cell r="M1868">
            <v>1000</v>
          </cell>
          <cell r="N1868">
            <v>0</v>
          </cell>
          <cell r="O1868">
            <v>20278.939999999999</v>
          </cell>
        </row>
        <row r="1869">
          <cell r="A1869" t="str">
            <v>02</v>
          </cell>
          <cell r="B1869" t="str">
            <v>28</v>
          </cell>
          <cell r="C1869" t="str">
            <v>记-0069</v>
          </cell>
          <cell r="D1869" t="str">
            <v>113</v>
          </cell>
          <cell r="E1869" t="str">
            <v>血茸片小</v>
          </cell>
          <cell r="F1869" t="str">
            <v>收购产品</v>
          </cell>
          <cell r="G1869">
            <v>20.278939999999999</v>
          </cell>
          <cell r="H1869">
            <v>1000</v>
          </cell>
          <cell r="I1869">
            <v>20278.939999999999</v>
          </cell>
          <cell r="J1869">
            <v>0</v>
          </cell>
          <cell r="K1869">
            <v>0</v>
          </cell>
          <cell r="L1869" t="str">
            <v>平</v>
          </cell>
          <cell r="M1869">
            <v>0</v>
          </cell>
          <cell r="N1869">
            <v>0</v>
          </cell>
          <cell r="O1869">
            <v>0</v>
          </cell>
        </row>
        <row r="1870">
          <cell r="A1870" t="str">
            <v>02</v>
          </cell>
          <cell r="F1870" t="str">
            <v>本月合计</v>
          </cell>
          <cell r="G1870">
            <v>0</v>
          </cell>
          <cell r="H1870">
            <v>1000</v>
          </cell>
          <cell r="I1870">
            <v>20278.939999999999</v>
          </cell>
          <cell r="J1870">
            <v>1000</v>
          </cell>
          <cell r="K1870">
            <v>20278.939999999999</v>
          </cell>
          <cell r="L1870" t="str">
            <v>平</v>
          </cell>
          <cell r="M1870">
            <v>0</v>
          </cell>
          <cell r="N1870">
            <v>0</v>
          </cell>
          <cell r="O1870">
            <v>0</v>
          </cell>
        </row>
        <row r="1871">
          <cell r="A1871" t="str">
            <v>02</v>
          </cell>
          <cell r="F1871" t="str">
            <v>累    计</v>
          </cell>
          <cell r="G1871">
            <v>0</v>
          </cell>
          <cell r="H1871">
            <v>1000</v>
          </cell>
          <cell r="I1871">
            <v>20278.939999999999</v>
          </cell>
          <cell r="J1871">
            <v>1000</v>
          </cell>
          <cell r="K1871">
            <v>20278.939999999999</v>
          </cell>
          <cell r="L1871" t="str">
            <v>平</v>
          </cell>
          <cell r="M1871">
            <v>0</v>
          </cell>
          <cell r="N1871">
            <v>0</v>
          </cell>
          <cell r="O1871">
            <v>0</v>
          </cell>
        </row>
        <row r="1872">
          <cell r="A1872" t="str">
            <v>06</v>
          </cell>
          <cell r="B1872" t="str">
            <v>24</v>
          </cell>
          <cell r="C1872" t="str">
            <v>记-0025</v>
          </cell>
          <cell r="D1872" t="str">
            <v>113</v>
          </cell>
          <cell r="E1872" t="str">
            <v>血茸片小</v>
          </cell>
          <cell r="F1872" t="str">
            <v>收购产品</v>
          </cell>
          <cell r="G1872">
            <v>1520.9209800000001</v>
          </cell>
          <cell r="H1872">
            <v>13.92</v>
          </cell>
          <cell r="I1872">
            <v>21171.22</v>
          </cell>
          <cell r="J1872">
            <v>0</v>
          </cell>
          <cell r="K1872">
            <v>0</v>
          </cell>
          <cell r="L1872" t="str">
            <v>借</v>
          </cell>
          <cell r="M1872">
            <v>13.92</v>
          </cell>
          <cell r="N1872">
            <v>0</v>
          </cell>
          <cell r="O1872">
            <v>21171.22</v>
          </cell>
        </row>
        <row r="1873">
          <cell r="A1873" t="str">
            <v>06</v>
          </cell>
          <cell r="B1873" t="str">
            <v>24</v>
          </cell>
          <cell r="C1873" t="str">
            <v>记-0026</v>
          </cell>
          <cell r="D1873" t="str">
            <v>113</v>
          </cell>
          <cell r="E1873" t="str">
            <v>血茸片小</v>
          </cell>
          <cell r="F1873" t="str">
            <v>转成本</v>
          </cell>
          <cell r="G1873">
            <v>1520.9209800000001</v>
          </cell>
          <cell r="H1873">
            <v>0</v>
          </cell>
          <cell r="I1873">
            <v>0</v>
          </cell>
          <cell r="J1873">
            <v>13.92</v>
          </cell>
          <cell r="K1873">
            <v>21171.22</v>
          </cell>
          <cell r="L1873" t="str">
            <v>平</v>
          </cell>
          <cell r="M1873">
            <v>0</v>
          </cell>
          <cell r="N1873">
            <v>0</v>
          </cell>
          <cell r="O1873">
            <v>0</v>
          </cell>
        </row>
        <row r="1874">
          <cell r="A1874" t="str">
            <v>06</v>
          </cell>
          <cell r="F1874" t="str">
            <v>本月合计</v>
          </cell>
          <cell r="G1874">
            <v>0</v>
          </cell>
          <cell r="H1874">
            <v>13.92</v>
          </cell>
          <cell r="I1874">
            <v>21171.22</v>
          </cell>
          <cell r="J1874">
            <v>13.92</v>
          </cell>
          <cell r="K1874">
            <v>21171.22</v>
          </cell>
          <cell r="L1874" t="str">
            <v>平</v>
          </cell>
          <cell r="M1874">
            <v>0</v>
          </cell>
          <cell r="N1874">
            <v>0</v>
          </cell>
          <cell r="O1874">
            <v>0</v>
          </cell>
        </row>
        <row r="1875">
          <cell r="A1875" t="str">
            <v>06</v>
          </cell>
          <cell r="E1875" t="str">
            <v>血茸片小</v>
          </cell>
          <cell r="F1875" t="str">
            <v>本年累计</v>
          </cell>
          <cell r="G1875">
            <v>0</v>
          </cell>
          <cell r="H1875">
            <v>1013.92</v>
          </cell>
          <cell r="I1875">
            <v>41450.160000000003</v>
          </cell>
          <cell r="J1875">
            <v>1013.92</v>
          </cell>
          <cell r="K1875">
            <v>41450.160000000003</v>
          </cell>
          <cell r="L1875" t="str">
            <v>平</v>
          </cell>
          <cell r="M1875">
            <v>0</v>
          </cell>
          <cell r="N1875">
            <v>0</v>
          </cell>
          <cell r="O1875">
            <v>0</v>
          </cell>
        </row>
        <row r="1876">
          <cell r="A1876" t="str">
            <v>02</v>
          </cell>
          <cell r="B1876" t="str">
            <v>28</v>
          </cell>
          <cell r="C1876" t="str">
            <v>记-0063</v>
          </cell>
          <cell r="D1876" t="str">
            <v>114</v>
          </cell>
          <cell r="E1876" t="str">
            <v>血茸片中</v>
          </cell>
          <cell r="F1876" t="str">
            <v>结转成本</v>
          </cell>
          <cell r="G1876">
            <v>13.51929</v>
          </cell>
          <cell r="H1876">
            <v>0</v>
          </cell>
          <cell r="I1876">
            <v>0</v>
          </cell>
          <cell r="J1876">
            <v>1000</v>
          </cell>
          <cell r="K1876">
            <v>13519.29</v>
          </cell>
          <cell r="L1876" t="str">
            <v>贷</v>
          </cell>
          <cell r="M1876">
            <v>1000</v>
          </cell>
          <cell r="N1876">
            <v>0</v>
          </cell>
          <cell r="O1876">
            <v>13519.29</v>
          </cell>
        </row>
        <row r="1877">
          <cell r="A1877" t="str">
            <v>02</v>
          </cell>
          <cell r="B1877" t="str">
            <v>28</v>
          </cell>
          <cell r="C1877" t="str">
            <v>记-0069</v>
          </cell>
          <cell r="D1877" t="str">
            <v>114</v>
          </cell>
          <cell r="E1877" t="str">
            <v>血茸片中</v>
          </cell>
          <cell r="F1877" t="str">
            <v>收购产品</v>
          </cell>
          <cell r="G1877">
            <v>13.51929</v>
          </cell>
          <cell r="H1877">
            <v>1000</v>
          </cell>
          <cell r="I1877">
            <v>13519.29</v>
          </cell>
          <cell r="J1877">
            <v>0</v>
          </cell>
          <cell r="K1877">
            <v>0</v>
          </cell>
          <cell r="L1877" t="str">
            <v>平</v>
          </cell>
          <cell r="M1877">
            <v>0</v>
          </cell>
          <cell r="N1877">
            <v>0</v>
          </cell>
          <cell r="O1877">
            <v>0</v>
          </cell>
        </row>
        <row r="1878">
          <cell r="A1878" t="str">
            <v>02</v>
          </cell>
          <cell r="F1878" t="str">
            <v>本月合计</v>
          </cell>
          <cell r="G1878">
            <v>0</v>
          </cell>
          <cell r="H1878">
            <v>1000</v>
          </cell>
          <cell r="I1878">
            <v>13519.29</v>
          </cell>
          <cell r="J1878">
            <v>1000</v>
          </cell>
          <cell r="K1878">
            <v>13519.29</v>
          </cell>
          <cell r="L1878" t="str">
            <v>平</v>
          </cell>
          <cell r="M1878">
            <v>0</v>
          </cell>
          <cell r="N1878">
            <v>0</v>
          </cell>
          <cell r="O1878">
            <v>0</v>
          </cell>
        </row>
        <row r="1879">
          <cell r="A1879" t="str">
            <v>02</v>
          </cell>
          <cell r="F1879" t="str">
            <v>累    计</v>
          </cell>
          <cell r="G1879">
            <v>0</v>
          </cell>
          <cell r="H1879">
            <v>1000</v>
          </cell>
          <cell r="I1879">
            <v>13519.29</v>
          </cell>
          <cell r="J1879">
            <v>1000</v>
          </cell>
          <cell r="K1879">
            <v>13519.29</v>
          </cell>
          <cell r="L1879" t="str">
            <v>平</v>
          </cell>
          <cell r="M1879">
            <v>0</v>
          </cell>
          <cell r="N1879">
            <v>0</v>
          </cell>
          <cell r="O1879">
            <v>0</v>
          </cell>
        </row>
        <row r="1880">
          <cell r="A1880" t="str">
            <v>12</v>
          </cell>
          <cell r="B1880" t="str">
            <v>11</v>
          </cell>
          <cell r="C1880" t="str">
            <v>记-0018</v>
          </cell>
          <cell r="D1880" t="str">
            <v>114</v>
          </cell>
          <cell r="E1880" t="str">
            <v>血茸片中</v>
          </cell>
          <cell r="F1880" t="str">
            <v>收购产品</v>
          </cell>
          <cell r="G1880">
            <v>8.1115700000000004</v>
          </cell>
          <cell r="H1880">
            <v>420.1</v>
          </cell>
          <cell r="I1880">
            <v>3407.67</v>
          </cell>
          <cell r="J1880">
            <v>0</v>
          </cell>
          <cell r="K1880">
            <v>0</v>
          </cell>
          <cell r="L1880" t="str">
            <v>借</v>
          </cell>
          <cell r="M1880">
            <v>420.1</v>
          </cell>
          <cell r="N1880">
            <v>0</v>
          </cell>
          <cell r="O1880">
            <v>3407.67</v>
          </cell>
        </row>
        <row r="1881">
          <cell r="A1881" t="str">
            <v>12</v>
          </cell>
          <cell r="B1881" t="str">
            <v>11</v>
          </cell>
          <cell r="C1881" t="str">
            <v>记-0026</v>
          </cell>
          <cell r="D1881" t="str">
            <v>114</v>
          </cell>
          <cell r="E1881" t="str">
            <v>血茸片中</v>
          </cell>
          <cell r="F1881" t="str">
            <v>收购产品</v>
          </cell>
          <cell r="G1881">
            <v>1098.4424100000001</v>
          </cell>
          <cell r="H1881">
            <v>45.23</v>
          </cell>
          <cell r="I1881">
            <v>49682.55</v>
          </cell>
          <cell r="J1881">
            <v>0</v>
          </cell>
          <cell r="K1881">
            <v>0</v>
          </cell>
          <cell r="L1881" t="str">
            <v>借</v>
          </cell>
          <cell r="M1881">
            <v>465.33</v>
          </cell>
          <cell r="N1881">
            <v>0</v>
          </cell>
          <cell r="O1881">
            <v>53090.22</v>
          </cell>
        </row>
        <row r="1882">
          <cell r="A1882" t="str">
            <v>12</v>
          </cell>
          <cell r="B1882" t="str">
            <v>11</v>
          </cell>
          <cell r="C1882" t="str">
            <v>记-0030</v>
          </cell>
          <cell r="D1882" t="str">
            <v>114</v>
          </cell>
          <cell r="E1882" t="str">
            <v>血茸片中</v>
          </cell>
          <cell r="F1882" t="str">
            <v>结转成本</v>
          </cell>
          <cell r="G1882">
            <v>8.1115700000000004</v>
          </cell>
          <cell r="H1882">
            <v>0</v>
          </cell>
          <cell r="I1882">
            <v>0</v>
          </cell>
          <cell r="J1882">
            <v>420.1</v>
          </cell>
          <cell r="K1882">
            <v>3407.67</v>
          </cell>
          <cell r="L1882" t="str">
            <v>借</v>
          </cell>
          <cell r="M1882">
            <v>45.23</v>
          </cell>
          <cell r="N1882">
            <v>0</v>
          </cell>
          <cell r="O1882">
            <v>49682.55</v>
          </cell>
        </row>
        <row r="1883">
          <cell r="A1883" t="str">
            <v>12</v>
          </cell>
          <cell r="B1883" t="str">
            <v>11</v>
          </cell>
          <cell r="C1883" t="str">
            <v>记-0035</v>
          </cell>
          <cell r="D1883" t="str">
            <v>114</v>
          </cell>
          <cell r="E1883" t="str">
            <v>血茸片中</v>
          </cell>
          <cell r="F1883" t="str">
            <v>结转成本</v>
          </cell>
          <cell r="G1883">
            <v>1098.4424100000001</v>
          </cell>
          <cell r="H1883">
            <v>0</v>
          </cell>
          <cell r="I1883">
            <v>0</v>
          </cell>
          <cell r="J1883">
            <v>45.23</v>
          </cell>
          <cell r="K1883">
            <v>49682.55</v>
          </cell>
          <cell r="L1883" t="str">
            <v>平</v>
          </cell>
          <cell r="M1883">
            <v>0</v>
          </cell>
          <cell r="N1883">
            <v>0</v>
          </cell>
          <cell r="O1883">
            <v>0</v>
          </cell>
        </row>
        <row r="1884">
          <cell r="A1884" t="str">
            <v>12</v>
          </cell>
          <cell r="F1884" t="str">
            <v>本月合计</v>
          </cell>
          <cell r="G1884">
            <v>0</v>
          </cell>
          <cell r="H1884">
            <v>465.33</v>
          </cell>
          <cell r="I1884">
            <v>53090.22</v>
          </cell>
          <cell r="J1884">
            <v>465.33</v>
          </cell>
          <cell r="K1884">
            <v>53090.22</v>
          </cell>
          <cell r="L1884" t="str">
            <v>平</v>
          </cell>
          <cell r="M1884">
            <v>0</v>
          </cell>
          <cell r="N1884">
            <v>0</v>
          </cell>
          <cell r="O1884">
            <v>0</v>
          </cell>
        </row>
        <row r="1885">
          <cell r="A1885" t="str">
            <v>12</v>
          </cell>
          <cell r="E1885" t="str">
            <v>血茸片中</v>
          </cell>
          <cell r="F1885" t="str">
            <v>本年累计</v>
          </cell>
          <cell r="G1885">
            <v>0</v>
          </cell>
          <cell r="H1885">
            <v>1465.33</v>
          </cell>
          <cell r="I1885">
            <v>66609.509999999995</v>
          </cell>
          <cell r="J1885">
            <v>1465.33</v>
          </cell>
          <cell r="K1885">
            <v>66609.509999999995</v>
          </cell>
          <cell r="L1885" t="str">
            <v>平</v>
          </cell>
          <cell r="M1885">
            <v>0</v>
          </cell>
          <cell r="N1885">
            <v>0</v>
          </cell>
          <cell r="O1885">
            <v>0</v>
          </cell>
        </row>
        <row r="1886">
          <cell r="A1886" t="str">
            <v>02</v>
          </cell>
          <cell r="B1886" t="str">
            <v>28</v>
          </cell>
          <cell r="C1886" t="str">
            <v>记-0063</v>
          </cell>
          <cell r="D1886" t="str">
            <v>115</v>
          </cell>
          <cell r="E1886" t="str">
            <v>花旗参尖尾</v>
          </cell>
          <cell r="F1886" t="str">
            <v>结转成本</v>
          </cell>
          <cell r="G1886">
            <v>1.68994</v>
          </cell>
          <cell r="H1886">
            <v>0</v>
          </cell>
          <cell r="I1886">
            <v>0</v>
          </cell>
          <cell r="J1886">
            <v>166</v>
          </cell>
          <cell r="K1886">
            <v>280.52999999999997</v>
          </cell>
          <cell r="L1886" t="str">
            <v>贷</v>
          </cell>
          <cell r="M1886">
            <v>166</v>
          </cell>
          <cell r="N1886">
            <v>0</v>
          </cell>
          <cell r="O1886">
            <v>280.52999999999997</v>
          </cell>
        </row>
        <row r="1887">
          <cell r="A1887" t="str">
            <v>02</v>
          </cell>
          <cell r="B1887" t="str">
            <v>28</v>
          </cell>
          <cell r="C1887" t="str">
            <v>记-0069</v>
          </cell>
          <cell r="D1887" t="str">
            <v>115</v>
          </cell>
          <cell r="E1887" t="str">
            <v>花旗参尖尾</v>
          </cell>
          <cell r="F1887" t="str">
            <v>收购产品</v>
          </cell>
          <cell r="G1887">
            <v>1.68994</v>
          </cell>
          <cell r="H1887">
            <v>166</v>
          </cell>
          <cell r="I1887">
            <v>280.52999999999997</v>
          </cell>
          <cell r="J1887">
            <v>0</v>
          </cell>
          <cell r="K1887">
            <v>0</v>
          </cell>
          <cell r="L1887" t="str">
            <v>平</v>
          </cell>
          <cell r="M1887">
            <v>0</v>
          </cell>
          <cell r="N1887">
            <v>0</v>
          </cell>
          <cell r="O1887">
            <v>0</v>
          </cell>
        </row>
        <row r="1888">
          <cell r="A1888" t="str">
            <v>02</v>
          </cell>
          <cell r="F1888" t="str">
            <v>本月合计</v>
          </cell>
          <cell r="G1888">
            <v>0</v>
          </cell>
          <cell r="H1888">
            <v>166</v>
          </cell>
          <cell r="I1888">
            <v>280.52999999999997</v>
          </cell>
          <cell r="J1888">
            <v>166</v>
          </cell>
          <cell r="K1888">
            <v>280.52999999999997</v>
          </cell>
          <cell r="L1888" t="str">
            <v>平</v>
          </cell>
          <cell r="M1888">
            <v>0</v>
          </cell>
          <cell r="N1888">
            <v>0</v>
          </cell>
          <cell r="O1888">
            <v>0</v>
          </cell>
        </row>
        <row r="1889">
          <cell r="A1889" t="str">
            <v>02</v>
          </cell>
          <cell r="F1889" t="str">
            <v>累    计</v>
          </cell>
          <cell r="G1889">
            <v>0</v>
          </cell>
          <cell r="H1889">
            <v>166</v>
          </cell>
          <cell r="I1889">
            <v>280.52999999999997</v>
          </cell>
          <cell r="J1889">
            <v>166</v>
          </cell>
          <cell r="K1889">
            <v>280.52999999999997</v>
          </cell>
          <cell r="L1889" t="str">
            <v>平</v>
          </cell>
          <cell r="M1889">
            <v>0</v>
          </cell>
          <cell r="N1889">
            <v>0</v>
          </cell>
          <cell r="O1889">
            <v>0</v>
          </cell>
        </row>
        <row r="1890">
          <cell r="A1890" t="str">
            <v>07</v>
          </cell>
          <cell r="B1890" t="str">
            <v>22</v>
          </cell>
          <cell r="C1890" t="str">
            <v>记-0051</v>
          </cell>
          <cell r="D1890" t="str">
            <v>115</v>
          </cell>
          <cell r="E1890" t="str">
            <v>花旗参尖尾</v>
          </cell>
          <cell r="F1890" t="str">
            <v>结转成本</v>
          </cell>
          <cell r="G1890">
            <v>53.232210000000002</v>
          </cell>
          <cell r="H1890">
            <v>0</v>
          </cell>
          <cell r="I1890">
            <v>0</v>
          </cell>
          <cell r="J1890">
            <v>700</v>
          </cell>
          <cell r="K1890">
            <v>37262.550000000003</v>
          </cell>
          <cell r="L1890" t="str">
            <v>贷</v>
          </cell>
          <cell r="M1890">
            <v>700</v>
          </cell>
          <cell r="N1890">
            <v>0</v>
          </cell>
          <cell r="O1890">
            <v>37262.550000000003</v>
          </cell>
        </row>
        <row r="1891">
          <cell r="A1891" t="str">
            <v>07</v>
          </cell>
          <cell r="B1891" t="str">
            <v>22</v>
          </cell>
          <cell r="C1891" t="str">
            <v>记-0051</v>
          </cell>
          <cell r="D1891" t="str">
            <v>115</v>
          </cell>
          <cell r="E1891" t="str">
            <v>花旗参尖尾</v>
          </cell>
          <cell r="F1891" t="str">
            <v>结转成本</v>
          </cell>
          <cell r="G1891">
            <v>42.247799999999998</v>
          </cell>
          <cell r="H1891">
            <v>0</v>
          </cell>
          <cell r="I1891">
            <v>0</v>
          </cell>
          <cell r="J1891">
            <v>400</v>
          </cell>
          <cell r="K1891">
            <v>16899.12</v>
          </cell>
          <cell r="L1891" t="str">
            <v>贷</v>
          </cell>
          <cell r="M1891">
            <v>1100</v>
          </cell>
          <cell r="N1891">
            <v>0</v>
          </cell>
          <cell r="O1891">
            <v>54161.67</v>
          </cell>
        </row>
        <row r="1892">
          <cell r="A1892" t="str">
            <v>07</v>
          </cell>
          <cell r="B1892" t="str">
            <v>22</v>
          </cell>
          <cell r="C1892" t="str">
            <v>记-0053</v>
          </cell>
          <cell r="D1892" t="str">
            <v>115</v>
          </cell>
          <cell r="E1892" t="str">
            <v>花旗参尖尾</v>
          </cell>
          <cell r="F1892" t="str">
            <v>收购产品</v>
          </cell>
          <cell r="G1892">
            <v>53.232210000000002</v>
          </cell>
          <cell r="H1892">
            <v>700</v>
          </cell>
          <cell r="I1892">
            <v>37262.550000000003</v>
          </cell>
          <cell r="J1892">
            <v>0</v>
          </cell>
          <cell r="K1892">
            <v>0</v>
          </cell>
          <cell r="L1892" t="str">
            <v>贷</v>
          </cell>
          <cell r="M1892">
            <v>400</v>
          </cell>
          <cell r="N1892">
            <v>0</v>
          </cell>
          <cell r="O1892">
            <v>16899.12</v>
          </cell>
        </row>
        <row r="1893">
          <cell r="A1893" t="str">
            <v>07</v>
          </cell>
          <cell r="B1893" t="str">
            <v>22</v>
          </cell>
          <cell r="C1893" t="str">
            <v>记-0053</v>
          </cell>
          <cell r="D1893" t="str">
            <v>115</v>
          </cell>
          <cell r="E1893" t="str">
            <v>花旗参尖尾</v>
          </cell>
          <cell r="F1893" t="str">
            <v>收购产品</v>
          </cell>
          <cell r="G1893">
            <v>42.247799999999998</v>
          </cell>
          <cell r="H1893">
            <v>400</v>
          </cell>
          <cell r="I1893">
            <v>16899.12</v>
          </cell>
          <cell r="J1893">
            <v>0</v>
          </cell>
          <cell r="K1893">
            <v>0</v>
          </cell>
          <cell r="L1893" t="str">
            <v>平</v>
          </cell>
          <cell r="M1893">
            <v>0</v>
          </cell>
          <cell r="N1893">
            <v>0</v>
          </cell>
          <cell r="O1893">
            <v>0</v>
          </cell>
        </row>
        <row r="1894">
          <cell r="A1894" t="str">
            <v>07</v>
          </cell>
          <cell r="F1894" t="str">
            <v>本月合计</v>
          </cell>
          <cell r="G1894">
            <v>0</v>
          </cell>
          <cell r="H1894">
            <v>1100</v>
          </cell>
          <cell r="I1894">
            <v>54161.67</v>
          </cell>
          <cell r="J1894">
            <v>1100</v>
          </cell>
          <cell r="K1894">
            <v>54161.67</v>
          </cell>
          <cell r="L1894" t="str">
            <v>平</v>
          </cell>
          <cell r="M1894">
            <v>0</v>
          </cell>
          <cell r="N1894">
            <v>0</v>
          </cell>
          <cell r="O1894">
            <v>0</v>
          </cell>
        </row>
        <row r="1895">
          <cell r="A1895" t="str">
            <v>07</v>
          </cell>
          <cell r="F1895" t="str">
            <v>累    计</v>
          </cell>
          <cell r="G1895">
            <v>0</v>
          </cell>
          <cell r="H1895">
            <v>1266</v>
          </cell>
          <cell r="I1895">
            <v>54442.2</v>
          </cell>
          <cell r="J1895">
            <v>1266</v>
          </cell>
          <cell r="K1895">
            <v>54442.2</v>
          </cell>
          <cell r="L1895" t="str">
            <v>平</v>
          </cell>
          <cell r="M1895">
            <v>0</v>
          </cell>
          <cell r="N1895">
            <v>0</v>
          </cell>
          <cell r="O1895">
            <v>0</v>
          </cell>
        </row>
        <row r="1896">
          <cell r="A1896" t="str">
            <v>09</v>
          </cell>
          <cell r="B1896" t="str">
            <v>22</v>
          </cell>
          <cell r="C1896" t="str">
            <v>记-0034</v>
          </cell>
          <cell r="D1896" t="str">
            <v>115</v>
          </cell>
          <cell r="E1896" t="str">
            <v>花旗参尖尾</v>
          </cell>
          <cell r="F1896" t="str">
            <v>结转成本</v>
          </cell>
          <cell r="G1896">
            <v>1.77441</v>
          </cell>
          <cell r="H1896">
            <v>0</v>
          </cell>
          <cell r="I1896">
            <v>0</v>
          </cell>
          <cell r="J1896">
            <v>5001</v>
          </cell>
          <cell r="K1896">
            <v>8873.81</v>
          </cell>
          <cell r="L1896" t="str">
            <v>贷</v>
          </cell>
          <cell r="M1896">
            <v>5001</v>
          </cell>
          <cell r="N1896">
            <v>0</v>
          </cell>
          <cell r="O1896">
            <v>8873.81</v>
          </cell>
        </row>
        <row r="1897">
          <cell r="A1897" t="str">
            <v>09</v>
          </cell>
          <cell r="B1897" t="str">
            <v>22</v>
          </cell>
          <cell r="C1897" t="str">
            <v>记-0034</v>
          </cell>
          <cell r="D1897" t="str">
            <v>115</v>
          </cell>
          <cell r="E1897" t="str">
            <v>花旗参尖尾</v>
          </cell>
          <cell r="F1897" t="str">
            <v>结转成本</v>
          </cell>
          <cell r="G1897">
            <v>42.247790000000002</v>
          </cell>
          <cell r="H1897">
            <v>0</v>
          </cell>
          <cell r="I1897">
            <v>0</v>
          </cell>
          <cell r="J1897">
            <v>506.8</v>
          </cell>
          <cell r="K1897">
            <v>21411.18</v>
          </cell>
          <cell r="L1897" t="str">
            <v>贷</v>
          </cell>
          <cell r="M1897">
            <v>5507.8</v>
          </cell>
          <cell r="N1897">
            <v>0</v>
          </cell>
          <cell r="O1897">
            <v>30284.99</v>
          </cell>
        </row>
        <row r="1898">
          <cell r="A1898" t="str">
            <v>09</v>
          </cell>
          <cell r="B1898" t="str">
            <v>22</v>
          </cell>
          <cell r="C1898" t="str">
            <v>记-0034</v>
          </cell>
          <cell r="D1898" t="str">
            <v>115</v>
          </cell>
          <cell r="E1898" t="str">
            <v>花旗参尖尾</v>
          </cell>
          <cell r="F1898" t="str">
            <v>结转成本</v>
          </cell>
          <cell r="G1898">
            <v>38.023000000000003</v>
          </cell>
          <cell r="H1898">
            <v>0</v>
          </cell>
          <cell r="I1898">
            <v>0</v>
          </cell>
          <cell r="J1898">
            <v>380</v>
          </cell>
          <cell r="K1898">
            <v>14448.74</v>
          </cell>
          <cell r="L1898" t="str">
            <v>贷</v>
          </cell>
          <cell r="M1898">
            <v>5887.8</v>
          </cell>
          <cell r="N1898">
            <v>0</v>
          </cell>
          <cell r="O1898">
            <v>44733.73</v>
          </cell>
        </row>
        <row r="1899">
          <cell r="A1899" t="str">
            <v>09</v>
          </cell>
          <cell r="B1899" t="str">
            <v>22</v>
          </cell>
          <cell r="C1899" t="str">
            <v>记-0038</v>
          </cell>
          <cell r="D1899" t="str">
            <v>115</v>
          </cell>
          <cell r="E1899" t="str">
            <v>花旗参尖尾</v>
          </cell>
          <cell r="F1899" t="str">
            <v>收购产品</v>
          </cell>
          <cell r="G1899">
            <v>1.77441</v>
          </cell>
          <cell r="H1899">
            <v>5001</v>
          </cell>
          <cell r="I1899">
            <v>8873.81</v>
          </cell>
          <cell r="J1899">
            <v>0</v>
          </cell>
          <cell r="K1899">
            <v>0</v>
          </cell>
          <cell r="L1899" t="str">
            <v>贷</v>
          </cell>
          <cell r="M1899">
            <v>886.8</v>
          </cell>
          <cell r="N1899">
            <v>0</v>
          </cell>
          <cell r="O1899">
            <v>35859.919999999998</v>
          </cell>
        </row>
        <row r="1900">
          <cell r="A1900" t="str">
            <v>09</v>
          </cell>
          <cell r="B1900" t="str">
            <v>22</v>
          </cell>
          <cell r="C1900" t="str">
            <v>记-0038</v>
          </cell>
          <cell r="D1900" t="str">
            <v>115</v>
          </cell>
          <cell r="E1900" t="str">
            <v>花旗参尖尾</v>
          </cell>
          <cell r="F1900" t="str">
            <v>收购产品</v>
          </cell>
          <cell r="G1900">
            <v>42.247790000000002</v>
          </cell>
          <cell r="H1900">
            <v>506.8</v>
          </cell>
          <cell r="I1900">
            <v>21411.18</v>
          </cell>
          <cell r="J1900">
            <v>0</v>
          </cell>
          <cell r="K1900">
            <v>0</v>
          </cell>
          <cell r="L1900" t="str">
            <v>贷</v>
          </cell>
          <cell r="M1900">
            <v>380</v>
          </cell>
          <cell r="N1900">
            <v>0</v>
          </cell>
          <cell r="O1900">
            <v>14448.74</v>
          </cell>
        </row>
        <row r="1901">
          <cell r="A1901" t="str">
            <v>09</v>
          </cell>
          <cell r="B1901" t="str">
            <v>22</v>
          </cell>
          <cell r="C1901" t="str">
            <v>记-0038</v>
          </cell>
          <cell r="D1901" t="str">
            <v>115</v>
          </cell>
          <cell r="E1901" t="str">
            <v>花旗参尖尾</v>
          </cell>
          <cell r="F1901" t="str">
            <v>收购产品</v>
          </cell>
          <cell r="G1901">
            <v>38.023000000000003</v>
          </cell>
          <cell r="H1901">
            <v>380</v>
          </cell>
          <cell r="I1901">
            <v>14448.74</v>
          </cell>
          <cell r="J1901">
            <v>0</v>
          </cell>
          <cell r="K1901">
            <v>0</v>
          </cell>
          <cell r="L1901" t="str">
            <v>平</v>
          </cell>
          <cell r="M1901">
            <v>0</v>
          </cell>
          <cell r="N1901">
            <v>0</v>
          </cell>
          <cell r="O1901">
            <v>0</v>
          </cell>
        </row>
        <row r="1902">
          <cell r="A1902" t="str">
            <v>09</v>
          </cell>
          <cell r="F1902" t="str">
            <v>本月合计</v>
          </cell>
          <cell r="G1902">
            <v>0</v>
          </cell>
          <cell r="H1902">
            <v>5887.8</v>
          </cell>
          <cell r="I1902">
            <v>44733.73</v>
          </cell>
          <cell r="J1902">
            <v>5887.8</v>
          </cell>
          <cell r="K1902">
            <v>44733.73</v>
          </cell>
          <cell r="L1902" t="str">
            <v>平</v>
          </cell>
          <cell r="M1902">
            <v>0</v>
          </cell>
          <cell r="N1902">
            <v>0</v>
          </cell>
          <cell r="O1902">
            <v>0</v>
          </cell>
        </row>
        <row r="1903">
          <cell r="A1903" t="str">
            <v>09</v>
          </cell>
          <cell r="F1903" t="str">
            <v>累    计</v>
          </cell>
          <cell r="G1903">
            <v>0</v>
          </cell>
          <cell r="H1903">
            <v>7153.8</v>
          </cell>
          <cell r="I1903">
            <v>99175.93</v>
          </cell>
          <cell r="J1903">
            <v>7153.8</v>
          </cell>
          <cell r="K1903">
            <v>99175.93</v>
          </cell>
          <cell r="L1903" t="str">
            <v>平</v>
          </cell>
          <cell r="M1903">
            <v>0</v>
          </cell>
          <cell r="N1903">
            <v>0</v>
          </cell>
          <cell r="O1903">
            <v>0</v>
          </cell>
        </row>
        <row r="1904">
          <cell r="A1904" t="str">
            <v>12</v>
          </cell>
          <cell r="B1904" t="str">
            <v>11</v>
          </cell>
          <cell r="C1904" t="str">
            <v>记-0018</v>
          </cell>
          <cell r="D1904" t="str">
            <v>115</v>
          </cell>
          <cell r="E1904" t="str">
            <v>花旗参尖尾</v>
          </cell>
          <cell r="F1904" t="str">
            <v>收购产品</v>
          </cell>
          <cell r="G1904">
            <v>6.3371700000000004</v>
          </cell>
          <cell r="H1904">
            <v>700</v>
          </cell>
          <cell r="I1904">
            <v>4436.0200000000004</v>
          </cell>
          <cell r="J1904">
            <v>0</v>
          </cell>
          <cell r="K1904">
            <v>0</v>
          </cell>
          <cell r="L1904" t="str">
            <v>借</v>
          </cell>
          <cell r="M1904">
            <v>700</v>
          </cell>
          <cell r="N1904">
            <v>0</v>
          </cell>
          <cell r="O1904">
            <v>4436.0200000000004</v>
          </cell>
        </row>
        <row r="1905">
          <cell r="A1905" t="str">
            <v>12</v>
          </cell>
          <cell r="B1905" t="str">
            <v>11</v>
          </cell>
          <cell r="C1905" t="str">
            <v>记-0030</v>
          </cell>
          <cell r="D1905" t="str">
            <v>115</v>
          </cell>
          <cell r="E1905" t="str">
            <v>花旗参尖尾</v>
          </cell>
          <cell r="F1905" t="str">
            <v>结转成本</v>
          </cell>
          <cell r="G1905">
            <v>6.3371700000000004</v>
          </cell>
          <cell r="H1905">
            <v>0</v>
          </cell>
          <cell r="I1905">
            <v>0</v>
          </cell>
          <cell r="J1905">
            <v>700</v>
          </cell>
          <cell r="K1905">
            <v>4436.0200000000004</v>
          </cell>
          <cell r="L1905" t="str">
            <v>平</v>
          </cell>
          <cell r="M1905">
            <v>0</v>
          </cell>
          <cell r="N1905">
            <v>0</v>
          </cell>
          <cell r="O1905">
            <v>0</v>
          </cell>
        </row>
        <row r="1906">
          <cell r="A1906" t="str">
            <v>12</v>
          </cell>
          <cell r="F1906" t="str">
            <v>本月合计</v>
          </cell>
          <cell r="G1906">
            <v>0</v>
          </cell>
          <cell r="H1906">
            <v>700</v>
          </cell>
          <cell r="I1906">
            <v>4436.0200000000004</v>
          </cell>
          <cell r="J1906">
            <v>700</v>
          </cell>
          <cell r="K1906">
            <v>4436.0200000000004</v>
          </cell>
          <cell r="L1906" t="str">
            <v>平</v>
          </cell>
          <cell r="M1906">
            <v>0</v>
          </cell>
          <cell r="N1906">
            <v>0</v>
          </cell>
          <cell r="O1906">
            <v>0</v>
          </cell>
        </row>
        <row r="1907">
          <cell r="A1907" t="str">
            <v>12</v>
          </cell>
          <cell r="E1907" t="str">
            <v>花旗参尖尾</v>
          </cell>
          <cell r="F1907" t="str">
            <v>本年累计</v>
          </cell>
          <cell r="G1907">
            <v>0</v>
          </cell>
          <cell r="H1907">
            <v>7853.8</v>
          </cell>
          <cell r="I1907">
            <v>103611.95</v>
          </cell>
          <cell r="J1907">
            <v>7853.8</v>
          </cell>
          <cell r="K1907">
            <v>103611.95</v>
          </cell>
          <cell r="L1907" t="str">
            <v>平</v>
          </cell>
          <cell r="M1907">
            <v>0</v>
          </cell>
          <cell r="N1907">
            <v>0</v>
          </cell>
          <cell r="O1907">
            <v>0</v>
          </cell>
        </row>
        <row r="1908">
          <cell r="A1908" t="str">
            <v>02</v>
          </cell>
          <cell r="B1908" t="str">
            <v>28</v>
          </cell>
          <cell r="C1908" t="str">
            <v>记-0064</v>
          </cell>
          <cell r="D1908" t="str">
            <v>116</v>
          </cell>
          <cell r="E1908" t="str">
            <v>参须</v>
          </cell>
          <cell r="F1908" t="str">
            <v>收购产品</v>
          </cell>
          <cell r="G1908">
            <v>413.18340000000001</v>
          </cell>
          <cell r="H1908">
            <v>50</v>
          </cell>
          <cell r="I1908">
            <v>20659.169999999998</v>
          </cell>
          <cell r="J1908">
            <v>0</v>
          </cell>
          <cell r="K1908">
            <v>0</v>
          </cell>
          <cell r="L1908" t="str">
            <v>借</v>
          </cell>
          <cell r="M1908">
            <v>50</v>
          </cell>
          <cell r="N1908">
            <v>0</v>
          </cell>
          <cell r="O1908">
            <v>20659.169999999998</v>
          </cell>
        </row>
        <row r="1909">
          <cell r="A1909" t="str">
            <v>02</v>
          </cell>
          <cell r="F1909" t="str">
            <v>本月合计</v>
          </cell>
          <cell r="G1909">
            <v>0</v>
          </cell>
          <cell r="H1909">
            <v>50</v>
          </cell>
          <cell r="I1909">
            <v>20659.169999999998</v>
          </cell>
          <cell r="J1909">
            <v>0</v>
          </cell>
          <cell r="K1909">
            <v>0</v>
          </cell>
          <cell r="L1909" t="str">
            <v>借</v>
          </cell>
          <cell r="M1909">
            <v>50</v>
          </cell>
          <cell r="N1909">
            <v>413.18340000000001</v>
          </cell>
          <cell r="O1909">
            <v>20659.169999999998</v>
          </cell>
        </row>
        <row r="1910">
          <cell r="A1910" t="str">
            <v>02</v>
          </cell>
          <cell r="F1910" t="str">
            <v>累    计</v>
          </cell>
          <cell r="G1910">
            <v>0</v>
          </cell>
          <cell r="H1910">
            <v>50</v>
          </cell>
          <cell r="I1910">
            <v>20659.169999999998</v>
          </cell>
          <cell r="J1910">
            <v>0</v>
          </cell>
          <cell r="K1910">
            <v>0</v>
          </cell>
          <cell r="L1910" t="str">
            <v>借</v>
          </cell>
          <cell r="M1910">
            <v>50</v>
          </cell>
          <cell r="N1910">
            <v>413.18340000000001</v>
          </cell>
          <cell r="O1910">
            <v>20659.169999999998</v>
          </cell>
        </row>
        <row r="1911">
          <cell r="A1911" t="str">
            <v>12</v>
          </cell>
          <cell r="B1911" t="str">
            <v>31</v>
          </cell>
          <cell r="C1911" t="str">
            <v>记-0174</v>
          </cell>
          <cell r="D1911" t="str">
            <v>116</v>
          </cell>
          <cell r="E1911" t="str">
            <v>参须</v>
          </cell>
          <cell r="F1911" t="str">
            <v>调整2月59号凭</v>
          </cell>
          <cell r="G1911">
            <v>413.18340000000001</v>
          </cell>
          <cell r="H1911">
            <v>0</v>
          </cell>
          <cell r="I1911">
            <v>0</v>
          </cell>
          <cell r="J1911">
            <v>50</v>
          </cell>
          <cell r="K1911">
            <v>20659.169999999998</v>
          </cell>
          <cell r="L1911" t="str">
            <v>平</v>
          </cell>
          <cell r="M1911">
            <v>0</v>
          </cell>
          <cell r="N1911">
            <v>0</v>
          </cell>
          <cell r="O1911">
            <v>0</v>
          </cell>
        </row>
        <row r="1912">
          <cell r="A1912" t="str">
            <v>12</v>
          </cell>
          <cell r="F1912" t="str">
            <v>本月合计</v>
          </cell>
          <cell r="G1912">
            <v>0</v>
          </cell>
          <cell r="H1912">
            <v>0</v>
          </cell>
          <cell r="I1912">
            <v>0</v>
          </cell>
          <cell r="J1912">
            <v>50</v>
          </cell>
          <cell r="K1912">
            <v>20659.169999999998</v>
          </cell>
          <cell r="L1912" t="str">
            <v>平</v>
          </cell>
          <cell r="M1912">
            <v>0</v>
          </cell>
          <cell r="N1912">
            <v>0</v>
          </cell>
          <cell r="O1912">
            <v>0</v>
          </cell>
        </row>
        <row r="1913">
          <cell r="A1913" t="str">
            <v>12</v>
          </cell>
          <cell r="E1913" t="str">
            <v>参须</v>
          </cell>
          <cell r="F1913" t="str">
            <v>本年累计</v>
          </cell>
          <cell r="G1913">
            <v>0</v>
          </cell>
          <cell r="H1913">
            <v>50</v>
          </cell>
          <cell r="I1913">
            <v>20659.169999999998</v>
          </cell>
          <cell r="J1913">
            <v>50</v>
          </cell>
          <cell r="K1913">
            <v>20659.169999999998</v>
          </cell>
          <cell r="L1913" t="str">
            <v>平</v>
          </cell>
          <cell r="M1913">
            <v>0</v>
          </cell>
          <cell r="N1913">
            <v>0</v>
          </cell>
          <cell r="O1913">
            <v>0</v>
          </cell>
        </row>
        <row r="1914">
          <cell r="A1914" t="str">
            <v>03</v>
          </cell>
          <cell r="B1914" t="str">
            <v>31</v>
          </cell>
          <cell r="C1914" t="str">
            <v>记-0035</v>
          </cell>
          <cell r="D1914" t="str">
            <v>119</v>
          </cell>
          <cell r="E1914" t="str">
            <v>野生甘草粉</v>
          </cell>
          <cell r="F1914" t="str">
            <v>转成本</v>
          </cell>
          <cell r="G1914">
            <v>27.138500000000001</v>
          </cell>
          <cell r="H1914">
            <v>0</v>
          </cell>
          <cell r="I1914">
            <v>0</v>
          </cell>
          <cell r="J1914">
            <v>120</v>
          </cell>
          <cell r="K1914">
            <v>3256.62</v>
          </cell>
          <cell r="L1914" t="str">
            <v>贷</v>
          </cell>
          <cell r="M1914">
            <v>120</v>
          </cell>
          <cell r="N1914">
            <v>0</v>
          </cell>
          <cell r="O1914">
            <v>3256.62</v>
          </cell>
        </row>
        <row r="1915">
          <cell r="A1915" t="str">
            <v>03</v>
          </cell>
          <cell r="F1915" t="str">
            <v>本月合计</v>
          </cell>
          <cell r="G1915">
            <v>0</v>
          </cell>
          <cell r="H1915">
            <v>0</v>
          </cell>
          <cell r="I1915">
            <v>0</v>
          </cell>
          <cell r="J1915">
            <v>120</v>
          </cell>
          <cell r="K1915">
            <v>3256.62</v>
          </cell>
          <cell r="L1915" t="str">
            <v>贷</v>
          </cell>
          <cell r="M1915">
            <v>120</v>
          </cell>
          <cell r="N1915">
            <v>27.138500000000001</v>
          </cell>
          <cell r="O1915">
            <v>3256.62</v>
          </cell>
        </row>
        <row r="1916">
          <cell r="A1916" t="str">
            <v>03</v>
          </cell>
          <cell r="F1916" t="str">
            <v>累    计</v>
          </cell>
          <cell r="G1916">
            <v>0</v>
          </cell>
          <cell r="H1916">
            <v>0</v>
          </cell>
          <cell r="I1916">
            <v>0</v>
          </cell>
          <cell r="J1916">
            <v>120</v>
          </cell>
          <cell r="K1916">
            <v>3256.62</v>
          </cell>
          <cell r="L1916" t="str">
            <v>贷</v>
          </cell>
          <cell r="M1916">
            <v>120</v>
          </cell>
          <cell r="N1916">
            <v>27.138500000000001</v>
          </cell>
          <cell r="O1916">
            <v>3256.62</v>
          </cell>
        </row>
        <row r="1917">
          <cell r="A1917" t="str">
            <v>11</v>
          </cell>
          <cell r="B1917" t="str">
            <v>30</v>
          </cell>
          <cell r="C1917" t="str">
            <v>记-0080</v>
          </cell>
          <cell r="D1917" t="str">
            <v>119</v>
          </cell>
          <cell r="E1917" t="str">
            <v>野生甘草粉</v>
          </cell>
          <cell r="F1917" t="str">
            <v>合并名称</v>
          </cell>
          <cell r="G1917">
            <v>27.138500000000001</v>
          </cell>
          <cell r="H1917">
            <v>120</v>
          </cell>
          <cell r="I1917">
            <v>3256.62</v>
          </cell>
          <cell r="J1917">
            <v>0</v>
          </cell>
          <cell r="K1917">
            <v>0</v>
          </cell>
          <cell r="L1917" t="str">
            <v>平</v>
          </cell>
          <cell r="M1917">
            <v>0</v>
          </cell>
          <cell r="N1917">
            <v>0</v>
          </cell>
          <cell r="O1917">
            <v>0</v>
          </cell>
        </row>
        <row r="1918">
          <cell r="A1918" t="str">
            <v>11</v>
          </cell>
          <cell r="F1918" t="str">
            <v>本月合计</v>
          </cell>
          <cell r="G1918">
            <v>0</v>
          </cell>
          <cell r="H1918">
            <v>120</v>
          </cell>
          <cell r="I1918">
            <v>3256.62</v>
          </cell>
          <cell r="J1918">
            <v>0</v>
          </cell>
          <cell r="K1918">
            <v>0</v>
          </cell>
          <cell r="L1918" t="str">
            <v>平</v>
          </cell>
          <cell r="M1918">
            <v>0</v>
          </cell>
          <cell r="N1918">
            <v>0</v>
          </cell>
          <cell r="O1918">
            <v>0</v>
          </cell>
        </row>
        <row r="1919">
          <cell r="A1919" t="str">
            <v>11</v>
          </cell>
          <cell r="E1919" t="str">
            <v>野生甘草粉</v>
          </cell>
          <cell r="F1919" t="str">
            <v>本年累计</v>
          </cell>
          <cell r="G1919">
            <v>0</v>
          </cell>
          <cell r="H1919">
            <v>120</v>
          </cell>
          <cell r="I1919">
            <v>3256.62</v>
          </cell>
          <cell r="J1919">
            <v>120</v>
          </cell>
          <cell r="K1919">
            <v>3256.62</v>
          </cell>
          <cell r="L1919" t="str">
            <v>平</v>
          </cell>
          <cell r="M1919">
            <v>0</v>
          </cell>
          <cell r="N1919">
            <v>0</v>
          </cell>
          <cell r="O1919">
            <v>0</v>
          </cell>
        </row>
        <row r="1920">
          <cell r="A1920" t="str">
            <v>03</v>
          </cell>
          <cell r="B1920" t="str">
            <v>31</v>
          </cell>
          <cell r="C1920" t="str">
            <v>记-0039</v>
          </cell>
          <cell r="D1920" t="str">
            <v>145</v>
          </cell>
          <cell r="E1920" t="str">
            <v>特大黄花胶</v>
          </cell>
          <cell r="F1920" t="str">
            <v>转库存</v>
          </cell>
          <cell r="G1920">
            <v>315.25299999999999</v>
          </cell>
          <cell r="H1920">
            <v>0</v>
          </cell>
          <cell r="I1920">
            <v>0</v>
          </cell>
          <cell r="J1920">
            <v>20</v>
          </cell>
          <cell r="K1920">
            <v>6305.06</v>
          </cell>
          <cell r="L1920" t="str">
            <v>贷</v>
          </cell>
          <cell r="M1920">
            <v>20</v>
          </cell>
          <cell r="N1920">
            <v>0</v>
          </cell>
          <cell r="O1920">
            <v>6305.06</v>
          </cell>
        </row>
        <row r="1921">
          <cell r="A1921" t="str">
            <v>03</v>
          </cell>
          <cell r="B1921" t="str">
            <v>31</v>
          </cell>
          <cell r="C1921" t="str">
            <v>记-0053</v>
          </cell>
          <cell r="D1921" t="str">
            <v>145</v>
          </cell>
          <cell r="E1921" t="str">
            <v>特大黄花胶</v>
          </cell>
          <cell r="F1921" t="str">
            <v>收购产品</v>
          </cell>
          <cell r="G1921">
            <v>315.25299999999999</v>
          </cell>
          <cell r="H1921">
            <v>20</v>
          </cell>
          <cell r="I1921">
            <v>6305.06</v>
          </cell>
          <cell r="J1921">
            <v>0</v>
          </cell>
          <cell r="K1921">
            <v>0</v>
          </cell>
          <cell r="L1921" t="str">
            <v>平</v>
          </cell>
          <cell r="M1921">
            <v>0</v>
          </cell>
          <cell r="N1921">
            <v>0</v>
          </cell>
          <cell r="O1921">
            <v>0</v>
          </cell>
        </row>
        <row r="1922">
          <cell r="A1922" t="str">
            <v>03</v>
          </cell>
          <cell r="F1922" t="str">
            <v>本月合计</v>
          </cell>
          <cell r="G1922">
            <v>0</v>
          </cell>
          <cell r="H1922">
            <v>20</v>
          </cell>
          <cell r="I1922">
            <v>6305.06</v>
          </cell>
          <cell r="J1922">
            <v>20</v>
          </cell>
          <cell r="K1922">
            <v>6305.06</v>
          </cell>
          <cell r="L1922" t="str">
            <v>平</v>
          </cell>
          <cell r="M1922">
            <v>0</v>
          </cell>
          <cell r="N1922">
            <v>0</v>
          </cell>
          <cell r="O1922">
            <v>0</v>
          </cell>
        </row>
        <row r="1923">
          <cell r="A1923" t="str">
            <v>03</v>
          </cell>
          <cell r="F1923" t="str">
            <v>累    计</v>
          </cell>
          <cell r="G1923">
            <v>0</v>
          </cell>
          <cell r="H1923">
            <v>20</v>
          </cell>
          <cell r="I1923">
            <v>6305.06</v>
          </cell>
          <cell r="J1923">
            <v>20</v>
          </cell>
          <cell r="K1923">
            <v>6305.06</v>
          </cell>
          <cell r="L1923" t="str">
            <v>平</v>
          </cell>
          <cell r="M1923">
            <v>0</v>
          </cell>
          <cell r="N1923">
            <v>0</v>
          </cell>
          <cell r="O1923">
            <v>0</v>
          </cell>
        </row>
        <row r="1924">
          <cell r="A1924" t="str">
            <v>04</v>
          </cell>
          <cell r="B1924" t="str">
            <v>30</v>
          </cell>
          <cell r="C1924" t="str">
            <v>记-0032</v>
          </cell>
          <cell r="D1924" t="str">
            <v>145</v>
          </cell>
          <cell r="E1924" t="str">
            <v>特大黄花胶</v>
          </cell>
          <cell r="F1924" t="str">
            <v>收购产品</v>
          </cell>
          <cell r="G1924">
            <v>400.78782999999999</v>
          </cell>
          <cell r="H1924">
            <v>60</v>
          </cell>
          <cell r="I1924">
            <v>24047.27</v>
          </cell>
          <cell r="J1924">
            <v>0</v>
          </cell>
          <cell r="K1924">
            <v>0</v>
          </cell>
          <cell r="L1924" t="str">
            <v>借</v>
          </cell>
          <cell r="M1924">
            <v>60</v>
          </cell>
          <cell r="N1924">
            <v>0</v>
          </cell>
          <cell r="O1924">
            <v>24047.27</v>
          </cell>
        </row>
        <row r="1925">
          <cell r="A1925" t="str">
            <v>04</v>
          </cell>
          <cell r="B1925" t="str">
            <v>30</v>
          </cell>
          <cell r="C1925" t="str">
            <v>记-0050</v>
          </cell>
          <cell r="D1925" t="str">
            <v>145</v>
          </cell>
          <cell r="E1925" t="str">
            <v>特大黄花胶</v>
          </cell>
          <cell r="F1925" t="str">
            <v>转成本</v>
          </cell>
          <cell r="G1925">
            <v>400.78782999999999</v>
          </cell>
          <cell r="H1925">
            <v>0</v>
          </cell>
          <cell r="I1925">
            <v>0</v>
          </cell>
          <cell r="J1925">
            <v>60</v>
          </cell>
          <cell r="K1925">
            <v>24047.27</v>
          </cell>
          <cell r="L1925" t="str">
            <v>平</v>
          </cell>
          <cell r="M1925">
            <v>0</v>
          </cell>
          <cell r="N1925">
            <v>0</v>
          </cell>
          <cell r="O1925">
            <v>0</v>
          </cell>
        </row>
        <row r="1926">
          <cell r="A1926" t="str">
            <v>04</v>
          </cell>
          <cell r="F1926" t="str">
            <v>本月合计</v>
          </cell>
          <cell r="G1926">
            <v>0</v>
          </cell>
          <cell r="H1926">
            <v>60</v>
          </cell>
          <cell r="I1926">
            <v>24047.27</v>
          </cell>
          <cell r="J1926">
            <v>60</v>
          </cell>
          <cell r="K1926">
            <v>24047.27</v>
          </cell>
          <cell r="L1926" t="str">
            <v>平</v>
          </cell>
          <cell r="M1926">
            <v>0</v>
          </cell>
          <cell r="N1926">
            <v>0</v>
          </cell>
          <cell r="O1926">
            <v>0</v>
          </cell>
        </row>
        <row r="1927">
          <cell r="A1927" t="str">
            <v>04</v>
          </cell>
          <cell r="F1927" t="str">
            <v>累    计</v>
          </cell>
          <cell r="G1927">
            <v>0</v>
          </cell>
          <cell r="H1927">
            <v>80</v>
          </cell>
          <cell r="I1927">
            <v>30352.33</v>
          </cell>
          <cell r="J1927">
            <v>80</v>
          </cell>
          <cell r="K1927">
            <v>30352.33</v>
          </cell>
          <cell r="L1927" t="str">
            <v>平</v>
          </cell>
          <cell r="M1927">
            <v>0</v>
          </cell>
          <cell r="N1927">
            <v>0</v>
          </cell>
          <cell r="O1927">
            <v>0</v>
          </cell>
        </row>
        <row r="1928">
          <cell r="A1928" t="str">
            <v>12</v>
          </cell>
          <cell r="B1928" t="str">
            <v>11</v>
          </cell>
          <cell r="C1928" t="str">
            <v>记-0024</v>
          </cell>
          <cell r="D1928" t="str">
            <v>145</v>
          </cell>
          <cell r="E1928" t="str">
            <v>特大黄花胶</v>
          </cell>
          <cell r="F1928" t="str">
            <v>收购产品</v>
          </cell>
          <cell r="G1928">
            <v>400.93150000000003</v>
          </cell>
          <cell r="H1928">
            <v>20</v>
          </cell>
          <cell r="I1928">
            <v>8018.63</v>
          </cell>
          <cell r="J1928">
            <v>0</v>
          </cell>
          <cell r="K1928">
            <v>0</v>
          </cell>
          <cell r="L1928" t="str">
            <v>借</v>
          </cell>
          <cell r="M1928">
            <v>20</v>
          </cell>
          <cell r="N1928">
            <v>0</v>
          </cell>
          <cell r="O1928">
            <v>8018.63</v>
          </cell>
        </row>
        <row r="1929">
          <cell r="A1929" t="str">
            <v>12</v>
          </cell>
          <cell r="B1929" t="str">
            <v>11</v>
          </cell>
          <cell r="C1929" t="str">
            <v>记-0033</v>
          </cell>
          <cell r="D1929" t="str">
            <v>145</v>
          </cell>
          <cell r="E1929" t="str">
            <v>特大黄花胶</v>
          </cell>
          <cell r="F1929" t="str">
            <v>结转成本</v>
          </cell>
          <cell r="G1929">
            <v>400.93150000000003</v>
          </cell>
          <cell r="H1929">
            <v>0</v>
          </cell>
          <cell r="I1929">
            <v>0</v>
          </cell>
          <cell r="J1929">
            <v>20</v>
          </cell>
          <cell r="K1929">
            <v>8018.63</v>
          </cell>
          <cell r="L1929" t="str">
            <v>平</v>
          </cell>
          <cell r="M1929">
            <v>0</v>
          </cell>
          <cell r="N1929">
            <v>0</v>
          </cell>
          <cell r="O1929">
            <v>0</v>
          </cell>
        </row>
        <row r="1930">
          <cell r="A1930" t="str">
            <v>12</v>
          </cell>
          <cell r="F1930" t="str">
            <v>本月合计</v>
          </cell>
          <cell r="G1930">
            <v>0</v>
          </cell>
          <cell r="H1930">
            <v>20</v>
          </cell>
          <cell r="I1930">
            <v>8018.63</v>
          </cell>
          <cell r="J1930">
            <v>20</v>
          </cell>
          <cell r="K1930">
            <v>8018.63</v>
          </cell>
          <cell r="L1930" t="str">
            <v>平</v>
          </cell>
          <cell r="M1930">
            <v>0</v>
          </cell>
          <cell r="N1930">
            <v>0</v>
          </cell>
          <cell r="O1930">
            <v>0</v>
          </cell>
        </row>
        <row r="1931">
          <cell r="A1931" t="str">
            <v>12</v>
          </cell>
          <cell r="E1931" t="str">
            <v>特大黄花胶</v>
          </cell>
          <cell r="F1931" t="str">
            <v>本年累计</v>
          </cell>
          <cell r="G1931">
            <v>0</v>
          </cell>
          <cell r="H1931">
            <v>100</v>
          </cell>
          <cell r="I1931">
            <v>38370.959999999999</v>
          </cell>
          <cell r="J1931">
            <v>100</v>
          </cell>
          <cell r="K1931">
            <v>38370.959999999999</v>
          </cell>
          <cell r="L1931" t="str">
            <v>平</v>
          </cell>
          <cell r="M1931">
            <v>0</v>
          </cell>
          <cell r="N1931">
            <v>0</v>
          </cell>
          <cell r="O1931">
            <v>0</v>
          </cell>
        </row>
        <row r="1932">
          <cell r="A1932" t="str">
            <v>05</v>
          </cell>
          <cell r="B1932" t="str">
            <v>31</v>
          </cell>
          <cell r="C1932" t="str">
            <v>记-0023</v>
          </cell>
          <cell r="D1932" t="str">
            <v>146</v>
          </cell>
          <cell r="E1932" t="str">
            <v>家种乙草</v>
          </cell>
          <cell r="F1932" t="str">
            <v>收购产品</v>
          </cell>
          <cell r="G1932">
            <v>14.255330000000001</v>
          </cell>
          <cell r="H1932">
            <v>11149.6</v>
          </cell>
          <cell r="I1932">
            <v>158941.24</v>
          </cell>
          <cell r="J1932">
            <v>0</v>
          </cell>
          <cell r="K1932">
            <v>0</v>
          </cell>
          <cell r="L1932" t="str">
            <v>借</v>
          </cell>
          <cell r="M1932">
            <v>11149.6</v>
          </cell>
          <cell r="N1932">
            <v>0</v>
          </cell>
          <cell r="O1932">
            <v>158941.24</v>
          </cell>
        </row>
        <row r="1933">
          <cell r="A1933" t="str">
            <v>05</v>
          </cell>
          <cell r="F1933" t="str">
            <v>本月合计</v>
          </cell>
          <cell r="G1933">
            <v>0</v>
          </cell>
          <cell r="H1933">
            <v>11149.6</v>
          </cell>
          <cell r="I1933">
            <v>158941.24</v>
          </cell>
          <cell r="J1933">
            <v>0</v>
          </cell>
          <cell r="K1933">
            <v>0</v>
          </cell>
          <cell r="L1933" t="str">
            <v>借</v>
          </cell>
          <cell r="M1933">
            <v>11149.6</v>
          </cell>
          <cell r="N1933">
            <v>14.255330000000001</v>
          </cell>
          <cell r="O1933">
            <v>158941.24</v>
          </cell>
        </row>
        <row r="1934">
          <cell r="A1934" t="str">
            <v>05</v>
          </cell>
          <cell r="F1934" t="str">
            <v>累    计</v>
          </cell>
          <cell r="G1934">
            <v>0</v>
          </cell>
          <cell r="H1934">
            <v>11149.6</v>
          </cell>
          <cell r="I1934">
            <v>158941.24</v>
          </cell>
          <cell r="J1934">
            <v>0</v>
          </cell>
          <cell r="K1934">
            <v>0</v>
          </cell>
          <cell r="L1934" t="str">
            <v>借</v>
          </cell>
          <cell r="M1934">
            <v>11149.6</v>
          </cell>
          <cell r="N1934">
            <v>14.255330000000001</v>
          </cell>
          <cell r="O1934">
            <v>158941.24</v>
          </cell>
        </row>
        <row r="1935">
          <cell r="A1935" t="str">
            <v>09</v>
          </cell>
          <cell r="B1935" t="str">
            <v>22</v>
          </cell>
          <cell r="C1935" t="str">
            <v>记-0040</v>
          </cell>
          <cell r="D1935" t="str">
            <v>146</v>
          </cell>
          <cell r="E1935" t="str">
            <v>家种乙草</v>
          </cell>
          <cell r="F1935" t="str">
            <v>结转成本</v>
          </cell>
          <cell r="G1935">
            <v>14.242000000000001</v>
          </cell>
          <cell r="H1935">
            <v>0</v>
          </cell>
          <cell r="I1935">
            <v>0</v>
          </cell>
          <cell r="J1935">
            <v>5529.7</v>
          </cell>
          <cell r="K1935">
            <v>78753.990000000005</v>
          </cell>
          <cell r="L1935" t="str">
            <v>借</v>
          </cell>
          <cell r="M1935">
            <v>5619.9</v>
          </cell>
          <cell r="N1935">
            <v>0</v>
          </cell>
          <cell r="O1935">
            <v>80187.25</v>
          </cell>
        </row>
        <row r="1936">
          <cell r="A1936" t="str">
            <v>09</v>
          </cell>
          <cell r="F1936" t="str">
            <v>本月合计</v>
          </cell>
          <cell r="G1936">
            <v>0</v>
          </cell>
          <cell r="H1936">
            <v>0</v>
          </cell>
          <cell r="I1936">
            <v>0</v>
          </cell>
          <cell r="J1936">
            <v>5529.7</v>
          </cell>
          <cell r="K1936">
            <v>78753.990000000005</v>
          </cell>
          <cell r="L1936" t="str">
            <v>借</v>
          </cell>
          <cell r="M1936">
            <v>5619.9</v>
          </cell>
          <cell r="N1936">
            <v>14.26845</v>
          </cell>
          <cell r="O1936">
            <v>80187.25</v>
          </cell>
        </row>
        <row r="1937">
          <cell r="A1937" t="str">
            <v>09</v>
          </cell>
          <cell r="F1937" t="str">
            <v>累    计</v>
          </cell>
          <cell r="G1937">
            <v>0</v>
          </cell>
          <cell r="H1937">
            <v>11149.6</v>
          </cell>
          <cell r="I1937">
            <v>158941.24</v>
          </cell>
          <cell r="J1937">
            <v>5529.7</v>
          </cell>
          <cell r="K1937">
            <v>78753.990000000005</v>
          </cell>
          <cell r="L1937" t="str">
            <v>借</v>
          </cell>
          <cell r="M1937">
            <v>5619.9</v>
          </cell>
          <cell r="N1937">
            <v>14.26845</v>
          </cell>
          <cell r="O1937">
            <v>80187.25</v>
          </cell>
        </row>
        <row r="1938">
          <cell r="A1938" t="str">
            <v>11</v>
          </cell>
          <cell r="B1938" t="str">
            <v>30</v>
          </cell>
          <cell r="C1938" t="str">
            <v>记-0103</v>
          </cell>
          <cell r="D1938" t="str">
            <v>146</v>
          </cell>
          <cell r="E1938" t="str">
            <v>家种乙草</v>
          </cell>
          <cell r="F1938" t="str">
            <v>合并名称</v>
          </cell>
          <cell r="G1938">
            <v>14.24099</v>
          </cell>
          <cell r="H1938">
            <v>-543.5</v>
          </cell>
          <cell r="I1938">
            <v>-7739.98</v>
          </cell>
          <cell r="J1938">
            <v>0</v>
          </cell>
          <cell r="K1938">
            <v>0</v>
          </cell>
          <cell r="L1938" t="str">
            <v>借</v>
          </cell>
          <cell r="M1938">
            <v>5076.3999999999996</v>
          </cell>
          <cell r="N1938">
            <v>0</v>
          </cell>
          <cell r="O1938">
            <v>72447.27</v>
          </cell>
        </row>
        <row r="1939">
          <cell r="A1939" t="str">
            <v>11</v>
          </cell>
          <cell r="B1939" t="str">
            <v>30</v>
          </cell>
          <cell r="C1939" t="str">
            <v>记-0150</v>
          </cell>
          <cell r="D1939" t="str">
            <v>146</v>
          </cell>
          <cell r="E1939" t="str">
            <v>家种乙草</v>
          </cell>
          <cell r="F1939" t="str">
            <v>调整库存</v>
          </cell>
          <cell r="G1939">
            <v>14.240030000000001</v>
          </cell>
          <cell r="H1939">
            <v>120.9</v>
          </cell>
          <cell r="I1939">
            <v>1721.62</v>
          </cell>
          <cell r="J1939">
            <v>0</v>
          </cell>
          <cell r="K1939">
            <v>0</v>
          </cell>
          <cell r="L1939" t="str">
            <v>借</v>
          </cell>
          <cell r="M1939">
            <v>5197.3</v>
          </cell>
          <cell r="N1939">
            <v>0</v>
          </cell>
          <cell r="O1939">
            <v>74168.89</v>
          </cell>
        </row>
        <row r="1940">
          <cell r="A1940" t="str">
            <v>11</v>
          </cell>
          <cell r="F1940" t="str">
            <v>本月合计</v>
          </cell>
          <cell r="G1940">
            <v>0</v>
          </cell>
          <cell r="H1940">
            <v>-422.6</v>
          </cell>
          <cell r="I1940">
            <v>-6018.36</v>
          </cell>
          <cell r="J1940">
            <v>0</v>
          </cell>
          <cell r="K1940">
            <v>0</v>
          </cell>
          <cell r="L1940" t="str">
            <v>借</v>
          </cell>
          <cell r="M1940">
            <v>5197.3</v>
          </cell>
          <cell r="N1940">
            <v>14.270659999999999</v>
          </cell>
          <cell r="O1940">
            <v>74168.89</v>
          </cell>
        </row>
        <row r="1941">
          <cell r="A1941" t="str">
            <v>11</v>
          </cell>
          <cell r="E1941" t="str">
            <v>家种乙草</v>
          </cell>
          <cell r="F1941" t="str">
            <v>本年累计</v>
          </cell>
          <cell r="G1941">
            <v>0</v>
          </cell>
          <cell r="H1941">
            <v>10727</v>
          </cell>
          <cell r="I1941">
            <v>152922.88</v>
          </cell>
          <cell r="J1941">
            <v>5529.7</v>
          </cell>
          <cell r="K1941">
            <v>78753.990000000005</v>
          </cell>
          <cell r="L1941" t="str">
            <v>借</v>
          </cell>
          <cell r="M1941">
            <v>5197.3</v>
          </cell>
          <cell r="N1941">
            <v>14.270659999999999</v>
          </cell>
          <cell r="O1941">
            <v>74168.89</v>
          </cell>
        </row>
        <row r="1942">
          <cell r="A1942" t="str">
            <v>05</v>
          </cell>
          <cell r="B1942" t="str">
            <v>31</v>
          </cell>
          <cell r="C1942" t="str">
            <v>记-0024</v>
          </cell>
          <cell r="D1942" t="str">
            <v>147</v>
          </cell>
          <cell r="E1942" t="str">
            <v>家种甘草甲</v>
          </cell>
          <cell r="F1942" t="str">
            <v>收购产品</v>
          </cell>
          <cell r="G1942">
            <v>17.721900000000002</v>
          </cell>
          <cell r="H1942">
            <v>5508.5</v>
          </cell>
          <cell r="I1942">
            <v>97621.09</v>
          </cell>
          <cell r="J1942">
            <v>0</v>
          </cell>
          <cell r="K1942">
            <v>0</v>
          </cell>
          <cell r="L1942" t="str">
            <v>借</v>
          </cell>
          <cell r="M1942">
            <v>5508.5</v>
          </cell>
          <cell r="N1942">
            <v>0</v>
          </cell>
          <cell r="O1942">
            <v>97621.09</v>
          </cell>
        </row>
        <row r="1943">
          <cell r="A1943" t="str">
            <v>05</v>
          </cell>
          <cell r="B1943" t="str">
            <v>31</v>
          </cell>
          <cell r="C1943" t="str">
            <v>记-0024</v>
          </cell>
          <cell r="D1943" t="str">
            <v>147</v>
          </cell>
          <cell r="E1943" t="str">
            <v>家种甘草甲</v>
          </cell>
          <cell r="F1943" t="str">
            <v>收购产品</v>
          </cell>
          <cell r="G1943">
            <v>17.721900000000002</v>
          </cell>
          <cell r="H1943">
            <v>7036.1</v>
          </cell>
          <cell r="I1943">
            <v>124693.06</v>
          </cell>
          <cell r="J1943">
            <v>0</v>
          </cell>
          <cell r="K1943">
            <v>0</v>
          </cell>
          <cell r="L1943" t="str">
            <v>借</v>
          </cell>
          <cell r="M1943">
            <v>12544.6</v>
          </cell>
          <cell r="N1943">
            <v>0</v>
          </cell>
          <cell r="O1943">
            <v>222314.15</v>
          </cell>
        </row>
        <row r="1944">
          <cell r="A1944" t="str">
            <v>05</v>
          </cell>
          <cell r="B1944" t="str">
            <v>31</v>
          </cell>
          <cell r="C1944" t="str">
            <v>记-0087</v>
          </cell>
          <cell r="D1944" t="str">
            <v>147</v>
          </cell>
          <cell r="E1944" t="str">
            <v>家种甘草甲</v>
          </cell>
          <cell r="F1944" t="str">
            <v>转成本</v>
          </cell>
          <cell r="G1944">
            <v>17.721900000000002</v>
          </cell>
          <cell r="H1944">
            <v>0</v>
          </cell>
          <cell r="I1944">
            <v>0</v>
          </cell>
          <cell r="J1944">
            <v>1092</v>
          </cell>
          <cell r="K1944">
            <v>19352.310000000001</v>
          </cell>
          <cell r="L1944" t="str">
            <v>借</v>
          </cell>
          <cell r="M1944">
            <v>11452.6</v>
          </cell>
          <cell r="N1944">
            <v>0</v>
          </cell>
          <cell r="O1944">
            <v>202961.84</v>
          </cell>
        </row>
        <row r="1945">
          <cell r="A1945" t="str">
            <v>05</v>
          </cell>
          <cell r="F1945" t="str">
            <v>本月合计</v>
          </cell>
          <cell r="G1945">
            <v>0</v>
          </cell>
          <cell r="H1945">
            <v>12544.6</v>
          </cell>
          <cell r="I1945">
            <v>222314.15</v>
          </cell>
          <cell r="J1945">
            <v>1092</v>
          </cell>
          <cell r="K1945">
            <v>19352.310000000001</v>
          </cell>
          <cell r="L1945" t="str">
            <v>借</v>
          </cell>
          <cell r="M1945">
            <v>11452.6</v>
          </cell>
          <cell r="N1945">
            <v>17.721900000000002</v>
          </cell>
          <cell r="O1945">
            <v>202961.84</v>
          </cell>
        </row>
        <row r="1946">
          <cell r="A1946" t="str">
            <v>05</v>
          </cell>
          <cell r="F1946" t="str">
            <v>累    计</v>
          </cell>
          <cell r="G1946">
            <v>0</v>
          </cell>
          <cell r="H1946">
            <v>12544.6</v>
          </cell>
          <cell r="I1946">
            <v>222314.15</v>
          </cell>
          <cell r="J1946">
            <v>1092</v>
          </cell>
          <cell r="K1946">
            <v>19352.310000000001</v>
          </cell>
          <cell r="L1946" t="str">
            <v>借</v>
          </cell>
          <cell r="M1946">
            <v>11452.6</v>
          </cell>
          <cell r="N1946">
            <v>17.721900000000002</v>
          </cell>
          <cell r="O1946">
            <v>202961.84</v>
          </cell>
        </row>
        <row r="1947">
          <cell r="A1947" t="str">
            <v>07</v>
          </cell>
          <cell r="B1947" t="str">
            <v>22</v>
          </cell>
          <cell r="C1947" t="str">
            <v>记-0068</v>
          </cell>
          <cell r="D1947" t="str">
            <v>147</v>
          </cell>
          <cell r="E1947" t="str">
            <v>家种甘草甲</v>
          </cell>
          <cell r="F1947" t="str">
            <v>结转成本</v>
          </cell>
          <cell r="G1947">
            <v>17.72</v>
          </cell>
          <cell r="H1947">
            <v>0</v>
          </cell>
          <cell r="I1947">
            <v>0</v>
          </cell>
          <cell r="J1947">
            <v>107.5</v>
          </cell>
          <cell r="K1947">
            <v>1904.9</v>
          </cell>
          <cell r="L1947" t="str">
            <v>借</v>
          </cell>
          <cell r="M1947">
            <v>11345.1</v>
          </cell>
          <cell r="N1947">
            <v>0</v>
          </cell>
          <cell r="O1947">
            <v>201056.94</v>
          </cell>
        </row>
        <row r="1948">
          <cell r="A1948" t="str">
            <v>07</v>
          </cell>
          <cell r="F1948" t="str">
            <v>本月合计</v>
          </cell>
          <cell r="G1948">
            <v>0</v>
          </cell>
          <cell r="H1948">
            <v>0</v>
          </cell>
          <cell r="I1948">
            <v>0</v>
          </cell>
          <cell r="J1948">
            <v>107.5</v>
          </cell>
          <cell r="K1948">
            <v>1904.9</v>
          </cell>
          <cell r="L1948" t="str">
            <v>借</v>
          </cell>
          <cell r="M1948">
            <v>11345.1</v>
          </cell>
          <cell r="N1948">
            <v>17.721920000000001</v>
          </cell>
          <cell r="O1948">
            <v>201056.94</v>
          </cell>
        </row>
        <row r="1949">
          <cell r="A1949" t="str">
            <v>07</v>
          </cell>
          <cell r="F1949" t="str">
            <v>累    计</v>
          </cell>
          <cell r="G1949">
            <v>0</v>
          </cell>
          <cell r="H1949">
            <v>12544.6</v>
          </cell>
          <cell r="I1949">
            <v>222314.15</v>
          </cell>
          <cell r="J1949">
            <v>1199.5</v>
          </cell>
          <cell r="K1949">
            <v>21257.21</v>
          </cell>
          <cell r="L1949" t="str">
            <v>借</v>
          </cell>
          <cell r="M1949">
            <v>11345.1</v>
          </cell>
          <cell r="N1949">
            <v>17.721920000000001</v>
          </cell>
          <cell r="O1949">
            <v>201056.94</v>
          </cell>
        </row>
        <row r="1950">
          <cell r="A1950" t="str">
            <v>09</v>
          </cell>
          <cell r="B1950" t="str">
            <v>22</v>
          </cell>
          <cell r="C1950" t="str">
            <v>记-0040</v>
          </cell>
          <cell r="D1950" t="str">
            <v>147</v>
          </cell>
          <cell r="E1950" t="str">
            <v>家种甘草甲</v>
          </cell>
          <cell r="F1950" t="str">
            <v>结转成本</v>
          </cell>
          <cell r="G1950">
            <v>17.722999999999999</v>
          </cell>
          <cell r="H1950">
            <v>0</v>
          </cell>
          <cell r="I1950">
            <v>0</v>
          </cell>
          <cell r="J1950">
            <v>566.5</v>
          </cell>
          <cell r="K1950">
            <v>10040.08</v>
          </cell>
          <cell r="L1950" t="str">
            <v>借</v>
          </cell>
          <cell r="M1950">
            <v>10778.6</v>
          </cell>
          <cell r="N1950">
            <v>0</v>
          </cell>
          <cell r="O1950">
            <v>191016.86</v>
          </cell>
        </row>
        <row r="1951">
          <cell r="A1951" t="str">
            <v>09</v>
          </cell>
          <cell r="F1951" t="str">
            <v>本月合计</v>
          </cell>
          <cell r="G1951">
            <v>0</v>
          </cell>
          <cell r="H1951">
            <v>0</v>
          </cell>
          <cell r="I1951">
            <v>0</v>
          </cell>
          <cell r="J1951">
            <v>566.5</v>
          </cell>
          <cell r="K1951">
            <v>10040.08</v>
          </cell>
          <cell r="L1951" t="str">
            <v>借</v>
          </cell>
          <cell r="M1951">
            <v>10778.6</v>
          </cell>
          <cell r="N1951">
            <v>17.72186</v>
          </cell>
          <cell r="O1951">
            <v>191016.86</v>
          </cell>
        </row>
        <row r="1952">
          <cell r="A1952" t="str">
            <v>09</v>
          </cell>
          <cell r="E1952" t="str">
            <v>家种甘草甲</v>
          </cell>
          <cell r="F1952" t="str">
            <v>本年累计</v>
          </cell>
          <cell r="G1952">
            <v>0</v>
          </cell>
          <cell r="H1952">
            <v>12544.6</v>
          </cell>
          <cell r="I1952">
            <v>222314.15</v>
          </cell>
          <cell r="J1952">
            <v>1766</v>
          </cell>
          <cell r="K1952">
            <v>31297.29</v>
          </cell>
          <cell r="L1952" t="str">
            <v>借</v>
          </cell>
          <cell r="M1952">
            <v>10778.6</v>
          </cell>
          <cell r="N1952">
            <v>17.72186</v>
          </cell>
          <cell r="O1952">
            <v>191016.86</v>
          </cell>
        </row>
        <row r="1953">
          <cell r="A1953" t="str">
            <v>05</v>
          </cell>
          <cell r="B1953" t="str">
            <v>31</v>
          </cell>
          <cell r="C1953" t="str">
            <v>记-0024</v>
          </cell>
          <cell r="D1953" t="str">
            <v>148</v>
          </cell>
          <cell r="E1953" t="str">
            <v>家种甘草乙</v>
          </cell>
          <cell r="F1953" t="str">
            <v>收购产品</v>
          </cell>
          <cell r="G1953">
            <v>14.241899999999999</v>
          </cell>
          <cell r="H1953">
            <v>5529.5</v>
          </cell>
          <cell r="I1953">
            <v>78750.59</v>
          </cell>
          <cell r="J1953">
            <v>0</v>
          </cell>
          <cell r="K1953">
            <v>0</v>
          </cell>
          <cell r="L1953" t="str">
            <v>借</v>
          </cell>
          <cell r="M1953">
            <v>5529.5</v>
          </cell>
          <cell r="N1953">
            <v>0</v>
          </cell>
          <cell r="O1953">
            <v>78750.59</v>
          </cell>
        </row>
        <row r="1954">
          <cell r="A1954" t="str">
            <v>05</v>
          </cell>
          <cell r="F1954" t="str">
            <v>本月合计</v>
          </cell>
          <cell r="G1954">
            <v>0</v>
          </cell>
          <cell r="H1954">
            <v>5529.5</v>
          </cell>
          <cell r="I1954">
            <v>78750.59</v>
          </cell>
          <cell r="J1954">
            <v>0</v>
          </cell>
          <cell r="K1954">
            <v>0</v>
          </cell>
          <cell r="L1954" t="str">
            <v>借</v>
          </cell>
          <cell r="M1954">
            <v>5529.5</v>
          </cell>
          <cell r="N1954">
            <v>14.241899999999999</v>
          </cell>
          <cell r="O1954">
            <v>78750.59</v>
          </cell>
        </row>
        <row r="1955">
          <cell r="A1955" t="str">
            <v>05</v>
          </cell>
          <cell r="F1955" t="str">
            <v>累    计</v>
          </cell>
          <cell r="G1955">
            <v>0</v>
          </cell>
          <cell r="H1955">
            <v>5529.5</v>
          </cell>
          <cell r="I1955">
            <v>78750.59</v>
          </cell>
          <cell r="J1955">
            <v>0</v>
          </cell>
          <cell r="K1955">
            <v>0</v>
          </cell>
          <cell r="L1955" t="str">
            <v>借</v>
          </cell>
          <cell r="M1955">
            <v>5529.5</v>
          </cell>
          <cell r="N1955">
            <v>14.241899999999999</v>
          </cell>
          <cell r="O1955">
            <v>78750.59</v>
          </cell>
        </row>
        <row r="1956">
          <cell r="A1956" t="str">
            <v>07</v>
          </cell>
          <cell r="B1956" t="str">
            <v>22</v>
          </cell>
          <cell r="C1956" t="str">
            <v>记-0068</v>
          </cell>
          <cell r="D1956" t="str">
            <v>148</v>
          </cell>
          <cell r="E1956" t="str">
            <v>家种甘草乙</v>
          </cell>
          <cell r="F1956" t="str">
            <v>结转成本</v>
          </cell>
          <cell r="G1956">
            <v>14.239990000000001</v>
          </cell>
          <cell r="H1956">
            <v>0</v>
          </cell>
          <cell r="I1956">
            <v>0</v>
          </cell>
          <cell r="J1956">
            <v>547.6</v>
          </cell>
          <cell r="K1956">
            <v>7797.82</v>
          </cell>
          <cell r="L1956" t="str">
            <v>借</v>
          </cell>
          <cell r="M1956">
            <v>4981.8999999999996</v>
          </cell>
          <cell r="N1956">
            <v>0</v>
          </cell>
          <cell r="O1956">
            <v>70952.77</v>
          </cell>
        </row>
        <row r="1957">
          <cell r="A1957" t="str">
            <v>07</v>
          </cell>
          <cell r="F1957" t="str">
            <v>本月合计</v>
          </cell>
          <cell r="G1957">
            <v>0</v>
          </cell>
          <cell r="H1957">
            <v>0</v>
          </cell>
          <cell r="I1957">
            <v>0</v>
          </cell>
          <cell r="J1957">
            <v>547.6</v>
          </cell>
          <cell r="K1957">
            <v>7797.82</v>
          </cell>
          <cell r="L1957" t="str">
            <v>借</v>
          </cell>
          <cell r="M1957">
            <v>4981.8999999999996</v>
          </cell>
          <cell r="N1957">
            <v>14.24211</v>
          </cell>
          <cell r="O1957">
            <v>70952.77</v>
          </cell>
        </row>
        <row r="1958">
          <cell r="A1958" t="str">
            <v>07</v>
          </cell>
          <cell r="F1958" t="str">
            <v>累    计</v>
          </cell>
          <cell r="G1958">
            <v>0</v>
          </cell>
          <cell r="H1958">
            <v>5529.5</v>
          </cell>
          <cell r="I1958">
            <v>78750.59</v>
          </cell>
          <cell r="J1958">
            <v>547.6</v>
          </cell>
          <cell r="K1958">
            <v>7797.82</v>
          </cell>
          <cell r="L1958" t="str">
            <v>借</v>
          </cell>
          <cell r="M1958">
            <v>4981.8999999999996</v>
          </cell>
          <cell r="N1958">
            <v>14.24211</v>
          </cell>
          <cell r="O1958">
            <v>70952.77</v>
          </cell>
        </row>
        <row r="1959">
          <cell r="A1959" t="str">
            <v>09</v>
          </cell>
          <cell r="B1959" t="str">
            <v>22</v>
          </cell>
          <cell r="C1959" t="str">
            <v>记-0040</v>
          </cell>
          <cell r="D1959" t="str">
            <v>148</v>
          </cell>
          <cell r="E1959" t="str">
            <v>家种甘草乙</v>
          </cell>
          <cell r="F1959" t="str">
            <v>结转成本</v>
          </cell>
          <cell r="G1959">
            <v>14.242000000000001</v>
          </cell>
          <cell r="H1959">
            <v>0</v>
          </cell>
          <cell r="I1959">
            <v>0</v>
          </cell>
          <cell r="J1959">
            <v>5525.4</v>
          </cell>
          <cell r="K1959">
            <v>78692.75</v>
          </cell>
          <cell r="L1959" t="str">
            <v>贷</v>
          </cell>
          <cell r="M1959">
            <v>543.5</v>
          </cell>
          <cell r="N1959">
            <v>0</v>
          </cell>
          <cell r="O1959">
            <v>7739.98</v>
          </cell>
        </row>
        <row r="1960">
          <cell r="A1960" t="str">
            <v>09</v>
          </cell>
          <cell r="F1960" t="str">
            <v>本月合计</v>
          </cell>
          <cell r="G1960">
            <v>0</v>
          </cell>
          <cell r="H1960">
            <v>0</v>
          </cell>
          <cell r="I1960">
            <v>0</v>
          </cell>
          <cell r="J1960">
            <v>5525.4</v>
          </cell>
          <cell r="K1960">
            <v>78692.75</v>
          </cell>
          <cell r="L1960" t="str">
            <v>贷</v>
          </cell>
          <cell r="M1960">
            <v>543.5</v>
          </cell>
          <cell r="N1960">
            <v>14.24099</v>
          </cell>
          <cell r="O1960">
            <v>7739.98</v>
          </cell>
        </row>
        <row r="1961">
          <cell r="A1961" t="str">
            <v>09</v>
          </cell>
          <cell r="F1961" t="str">
            <v>累    计</v>
          </cell>
          <cell r="G1961">
            <v>0</v>
          </cell>
          <cell r="H1961">
            <v>5529.5</v>
          </cell>
          <cell r="I1961">
            <v>78750.59</v>
          </cell>
          <cell r="J1961">
            <v>6073</v>
          </cell>
          <cell r="K1961">
            <v>86490.57</v>
          </cell>
          <cell r="L1961" t="str">
            <v>贷</v>
          </cell>
          <cell r="M1961">
            <v>543.5</v>
          </cell>
          <cell r="N1961">
            <v>14.24099</v>
          </cell>
          <cell r="O1961">
            <v>7739.98</v>
          </cell>
        </row>
        <row r="1962">
          <cell r="A1962" t="str">
            <v>11</v>
          </cell>
          <cell r="B1962" t="str">
            <v>30</v>
          </cell>
          <cell r="C1962" t="str">
            <v>记-0103</v>
          </cell>
          <cell r="D1962" t="str">
            <v>148</v>
          </cell>
          <cell r="E1962" t="str">
            <v>家种甘草乙</v>
          </cell>
          <cell r="F1962" t="str">
            <v>合并名称</v>
          </cell>
          <cell r="G1962">
            <v>14.24099</v>
          </cell>
          <cell r="H1962">
            <v>543.5</v>
          </cell>
          <cell r="I1962">
            <v>7739.98</v>
          </cell>
          <cell r="J1962">
            <v>0</v>
          </cell>
          <cell r="K1962">
            <v>0</v>
          </cell>
          <cell r="L1962" t="str">
            <v>平</v>
          </cell>
          <cell r="M1962">
            <v>0</v>
          </cell>
          <cell r="N1962">
            <v>0</v>
          </cell>
          <cell r="O1962">
            <v>0</v>
          </cell>
        </row>
        <row r="1963">
          <cell r="A1963" t="str">
            <v>11</v>
          </cell>
          <cell r="F1963" t="str">
            <v>本月合计</v>
          </cell>
          <cell r="G1963">
            <v>0</v>
          </cell>
          <cell r="H1963">
            <v>543.5</v>
          </cell>
          <cell r="I1963">
            <v>7739.98</v>
          </cell>
          <cell r="J1963">
            <v>0</v>
          </cell>
          <cell r="K1963">
            <v>0</v>
          </cell>
          <cell r="L1963" t="str">
            <v>平</v>
          </cell>
          <cell r="M1963">
            <v>0</v>
          </cell>
          <cell r="N1963">
            <v>0</v>
          </cell>
          <cell r="O1963">
            <v>0</v>
          </cell>
        </row>
        <row r="1964">
          <cell r="A1964" t="str">
            <v>11</v>
          </cell>
          <cell r="E1964" t="str">
            <v>家种甘草乙</v>
          </cell>
          <cell r="F1964" t="str">
            <v>本年累计</v>
          </cell>
          <cell r="G1964">
            <v>0</v>
          </cell>
          <cell r="H1964">
            <v>6073</v>
          </cell>
          <cell r="I1964">
            <v>86490.57</v>
          </cell>
          <cell r="J1964">
            <v>6073</v>
          </cell>
          <cell r="K1964">
            <v>86490.57</v>
          </cell>
          <cell r="L1964" t="str">
            <v>平</v>
          </cell>
          <cell r="M1964">
            <v>0</v>
          </cell>
          <cell r="N1964">
            <v>0</v>
          </cell>
          <cell r="O1964">
            <v>0</v>
          </cell>
        </row>
        <row r="1965">
          <cell r="A1965" t="str">
            <v>05</v>
          </cell>
          <cell r="B1965" t="str">
            <v>31</v>
          </cell>
          <cell r="C1965" t="str">
            <v>记-0024</v>
          </cell>
          <cell r="D1965" t="str">
            <v>149</v>
          </cell>
          <cell r="E1965" t="str">
            <v>家种甘草丙</v>
          </cell>
          <cell r="F1965" t="str">
            <v>收购产品</v>
          </cell>
          <cell r="G1965">
            <v>10.76191</v>
          </cell>
          <cell r="H1965">
            <v>824</v>
          </cell>
          <cell r="I1965">
            <v>8867.81</v>
          </cell>
          <cell r="J1965">
            <v>0</v>
          </cell>
          <cell r="K1965">
            <v>0</v>
          </cell>
          <cell r="L1965" t="str">
            <v>借</v>
          </cell>
          <cell r="M1965">
            <v>824</v>
          </cell>
          <cell r="N1965">
            <v>0</v>
          </cell>
          <cell r="O1965">
            <v>8867.81</v>
          </cell>
        </row>
        <row r="1966">
          <cell r="A1966" t="str">
            <v>05</v>
          </cell>
          <cell r="B1966" t="str">
            <v>31</v>
          </cell>
          <cell r="C1966" t="str">
            <v>记-0024</v>
          </cell>
          <cell r="D1966" t="str">
            <v>149</v>
          </cell>
          <cell r="E1966" t="str">
            <v>家种甘草丙</v>
          </cell>
          <cell r="F1966" t="str">
            <v>收购产品</v>
          </cell>
          <cell r="G1966">
            <v>10.76079</v>
          </cell>
          <cell r="H1966">
            <v>13215.6</v>
          </cell>
          <cell r="I1966">
            <v>142210.29999999999</v>
          </cell>
          <cell r="J1966">
            <v>0</v>
          </cell>
          <cell r="K1966">
            <v>0</v>
          </cell>
          <cell r="L1966" t="str">
            <v>借</v>
          </cell>
          <cell r="M1966">
            <v>14039.6</v>
          </cell>
          <cell r="N1966">
            <v>0</v>
          </cell>
          <cell r="O1966">
            <v>151078.10999999999</v>
          </cell>
        </row>
        <row r="1967">
          <cell r="A1967" t="str">
            <v>05</v>
          </cell>
          <cell r="F1967" t="str">
            <v>本月合计</v>
          </cell>
          <cell r="G1967">
            <v>0</v>
          </cell>
          <cell r="H1967">
            <v>14039.6</v>
          </cell>
          <cell r="I1967">
            <v>151078.10999999999</v>
          </cell>
          <cell r="J1967">
            <v>0</v>
          </cell>
          <cell r="K1967">
            <v>0</v>
          </cell>
          <cell r="L1967" t="str">
            <v>借</v>
          </cell>
          <cell r="M1967">
            <v>14039.6</v>
          </cell>
          <cell r="N1967">
            <v>10.760859999999999</v>
          </cell>
          <cell r="O1967">
            <v>151078.10999999999</v>
          </cell>
        </row>
        <row r="1968">
          <cell r="A1968" t="str">
            <v>05</v>
          </cell>
          <cell r="F1968" t="str">
            <v>累    计</v>
          </cell>
          <cell r="G1968">
            <v>0</v>
          </cell>
          <cell r="H1968">
            <v>14039.6</v>
          </cell>
          <cell r="I1968">
            <v>151078.10999999999</v>
          </cell>
          <cell r="J1968">
            <v>0</v>
          </cell>
          <cell r="K1968">
            <v>0</v>
          </cell>
          <cell r="L1968" t="str">
            <v>借</v>
          </cell>
          <cell r="M1968">
            <v>14039.6</v>
          </cell>
          <cell r="N1968">
            <v>10.760859999999999</v>
          </cell>
          <cell r="O1968">
            <v>151078.10999999999</v>
          </cell>
        </row>
        <row r="1969">
          <cell r="A1969" t="str">
            <v>07</v>
          </cell>
          <cell r="B1969" t="str">
            <v>22</v>
          </cell>
          <cell r="C1969" t="str">
            <v>记-0068</v>
          </cell>
          <cell r="D1969" t="str">
            <v>149</v>
          </cell>
          <cell r="E1969" t="str">
            <v>家种甘草丙</v>
          </cell>
          <cell r="F1969" t="str">
            <v>结转成本</v>
          </cell>
          <cell r="G1969">
            <v>10.76</v>
          </cell>
          <cell r="H1969">
            <v>0</v>
          </cell>
          <cell r="I1969">
            <v>0</v>
          </cell>
          <cell r="J1969">
            <v>1951.5</v>
          </cell>
          <cell r="K1969">
            <v>20998.14</v>
          </cell>
          <cell r="L1969" t="str">
            <v>借</v>
          </cell>
          <cell r="M1969">
            <v>12088.1</v>
          </cell>
          <cell r="N1969">
            <v>0</v>
          </cell>
          <cell r="O1969">
            <v>130079.97</v>
          </cell>
        </row>
        <row r="1970">
          <cell r="A1970" t="str">
            <v>07</v>
          </cell>
          <cell r="F1970" t="str">
            <v>本月合计</v>
          </cell>
          <cell r="G1970">
            <v>0</v>
          </cell>
          <cell r="H1970">
            <v>0</v>
          </cell>
          <cell r="I1970">
            <v>0</v>
          </cell>
          <cell r="J1970">
            <v>1951.5</v>
          </cell>
          <cell r="K1970">
            <v>20998.14</v>
          </cell>
          <cell r="L1970" t="str">
            <v>借</v>
          </cell>
          <cell r="M1970">
            <v>12088.1</v>
          </cell>
          <cell r="N1970">
            <v>10.76099</v>
          </cell>
          <cell r="O1970">
            <v>130079.97</v>
          </cell>
        </row>
        <row r="1971">
          <cell r="A1971" t="str">
            <v>07</v>
          </cell>
          <cell r="F1971" t="str">
            <v>累    计</v>
          </cell>
          <cell r="G1971">
            <v>0</v>
          </cell>
          <cell r="H1971">
            <v>14039.6</v>
          </cell>
          <cell r="I1971">
            <v>151078.10999999999</v>
          </cell>
          <cell r="J1971">
            <v>1951.5</v>
          </cell>
          <cell r="K1971">
            <v>20998.14</v>
          </cell>
          <cell r="L1971" t="str">
            <v>借</v>
          </cell>
          <cell r="M1971">
            <v>12088.1</v>
          </cell>
          <cell r="N1971">
            <v>10.76099</v>
          </cell>
          <cell r="O1971">
            <v>130079.97</v>
          </cell>
        </row>
        <row r="1972">
          <cell r="A1972" t="str">
            <v>09</v>
          </cell>
          <cell r="B1972" t="str">
            <v>22</v>
          </cell>
          <cell r="C1972" t="str">
            <v>记-0040</v>
          </cell>
          <cell r="D1972" t="str">
            <v>149</v>
          </cell>
          <cell r="E1972" t="str">
            <v>家种甘草丙</v>
          </cell>
          <cell r="F1972" t="str">
            <v>结转成本</v>
          </cell>
          <cell r="G1972">
            <v>10.161</v>
          </cell>
          <cell r="H1972">
            <v>0</v>
          </cell>
          <cell r="I1972">
            <v>0</v>
          </cell>
          <cell r="J1972">
            <v>529</v>
          </cell>
          <cell r="K1972">
            <v>5375.17</v>
          </cell>
          <cell r="L1972" t="str">
            <v>借</v>
          </cell>
          <cell r="M1972">
            <v>11559.1</v>
          </cell>
          <cell r="N1972">
            <v>0</v>
          </cell>
          <cell r="O1972">
            <v>124704.8</v>
          </cell>
        </row>
        <row r="1973">
          <cell r="A1973" t="str">
            <v>09</v>
          </cell>
          <cell r="B1973" t="str">
            <v>22</v>
          </cell>
          <cell r="C1973" t="str">
            <v>记-0040</v>
          </cell>
          <cell r="D1973" t="str">
            <v>149</v>
          </cell>
          <cell r="E1973" t="str">
            <v>家种甘草丙</v>
          </cell>
          <cell r="F1973" t="str">
            <v>结转成本</v>
          </cell>
          <cell r="G1973">
            <v>10.161</v>
          </cell>
          <cell r="H1973">
            <v>0</v>
          </cell>
          <cell r="I1973">
            <v>0</v>
          </cell>
          <cell r="J1973">
            <v>540.79999999999995</v>
          </cell>
          <cell r="K1973">
            <v>5495.07</v>
          </cell>
          <cell r="L1973" t="str">
            <v>借</v>
          </cell>
          <cell r="M1973">
            <v>11018.3</v>
          </cell>
          <cell r="N1973">
            <v>0</v>
          </cell>
          <cell r="O1973">
            <v>119209.73</v>
          </cell>
        </row>
        <row r="1974">
          <cell r="A1974" t="str">
            <v>09</v>
          </cell>
          <cell r="F1974" t="str">
            <v>本月合计</v>
          </cell>
          <cell r="G1974">
            <v>0</v>
          </cell>
          <cell r="H1974">
            <v>0</v>
          </cell>
          <cell r="I1974">
            <v>0</v>
          </cell>
          <cell r="J1974">
            <v>1069.8</v>
          </cell>
          <cell r="K1974">
            <v>10870.24</v>
          </cell>
          <cell r="L1974" t="str">
            <v>借</v>
          </cell>
          <cell r="M1974">
            <v>11018.3</v>
          </cell>
          <cell r="N1974">
            <v>10.81925</v>
          </cell>
          <cell r="O1974">
            <v>119209.73</v>
          </cell>
        </row>
        <row r="1975">
          <cell r="A1975" t="str">
            <v>09</v>
          </cell>
          <cell r="F1975" t="str">
            <v>累    计</v>
          </cell>
          <cell r="G1975">
            <v>0</v>
          </cell>
          <cell r="H1975">
            <v>14039.6</v>
          </cell>
          <cell r="I1975">
            <v>151078.10999999999</v>
          </cell>
          <cell r="J1975">
            <v>3021.3</v>
          </cell>
          <cell r="K1975">
            <v>31868.38</v>
          </cell>
          <cell r="L1975" t="str">
            <v>借</v>
          </cell>
          <cell r="M1975">
            <v>11018.3</v>
          </cell>
          <cell r="N1975">
            <v>10.81925</v>
          </cell>
          <cell r="O1975">
            <v>119209.73</v>
          </cell>
        </row>
        <row r="1976">
          <cell r="A1976" t="str">
            <v>10</v>
          </cell>
          <cell r="B1976" t="str">
            <v>22</v>
          </cell>
          <cell r="C1976" t="str">
            <v>记-0069</v>
          </cell>
          <cell r="D1976" t="str">
            <v>149</v>
          </cell>
          <cell r="E1976" t="str">
            <v>家种甘草丙</v>
          </cell>
          <cell r="F1976" t="str">
            <v>结转成本</v>
          </cell>
          <cell r="G1976">
            <v>10.82</v>
          </cell>
          <cell r="H1976">
            <v>0</v>
          </cell>
          <cell r="I1976">
            <v>0</v>
          </cell>
          <cell r="J1976">
            <v>11155.8</v>
          </cell>
          <cell r="K1976">
            <v>120705.76</v>
          </cell>
          <cell r="L1976" t="str">
            <v>贷</v>
          </cell>
          <cell r="M1976">
            <v>137.5</v>
          </cell>
          <cell r="N1976">
            <v>0</v>
          </cell>
          <cell r="O1976">
            <v>1496.03</v>
          </cell>
        </row>
        <row r="1977">
          <cell r="A1977" t="str">
            <v>10</v>
          </cell>
          <cell r="F1977" t="str">
            <v>本月合计</v>
          </cell>
          <cell r="G1977">
            <v>0</v>
          </cell>
          <cell r="H1977">
            <v>0</v>
          </cell>
          <cell r="I1977">
            <v>0</v>
          </cell>
          <cell r="J1977">
            <v>11155.8</v>
          </cell>
          <cell r="K1977">
            <v>120705.76</v>
          </cell>
          <cell r="L1977" t="str">
            <v>贷</v>
          </cell>
          <cell r="M1977">
            <v>137.5</v>
          </cell>
          <cell r="N1977">
            <v>10.88022</v>
          </cell>
          <cell r="O1977">
            <v>1496.03</v>
          </cell>
        </row>
        <row r="1978">
          <cell r="A1978" t="str">
            <v>10</v>
          </cell>
          <cell r="F1978" t="str">
            <v>累    计</v>
          </cell>
          <cell r="G1978">
            <v>0</v>
          </cell>
          <cell r="H1978">
            <v>14039.6</v>
          </cell>
          <cell r="I1978">
            <v>151078.10999999999</v>
          </cell>
          <cell r="J1978">
            <v>14177.1</v>
          </cell>
          <cell r="K1978">
            <v>152574.14000000001</v>
          </cell>
          <cell r="L1978" t="str">
            <v>贷</v>
          </cell>
          <cell r="M1978">
            <v>137.5</v>
          </cell>
          <cell r="N1978">
            <v>10.88022</v>
          </cell>
          <cell r="O1978">
            <v>1496.03</v>
          </cell>
        </row>
        <row r="1979">
          <cell r="A1979" t="str">
            <v>11</v>
          </cell>
          <cell r="B1979" t="str">
            <v>30</v>
          </cell>
          <cell r="C1979" t="str">
            <v>记-0151</v>
          </cell>
          <cell r="D1979" t="str">
            <v>149</v>
          </cell>
          <cell r="E1979" t="str">
            <v>家种甘草丙</v>
          </cell>
          <cell r="F1979" t="str">
            <v>调整库存</v>
          </cell>
          <cell r="G1979">
            <v>10.88022</v>
          </cell>
          <cell r="H1979">
            <v>137.5</v>
          </cell>
          <cell r="I1979">
            <v>1496.03</v>
          </cell>
          <cell r="J1979">
            <v>0</v>
          </cell>
          <cell r="K1979">
            <v>0</v>
          </cell>
          <cell r="L1979" t="str">
            <v>平</v>
          </cell>
          <cell r="M1979">
            <v>0</v>
          </cell>
          <cell r="N1979">
            <v>0</v>
          </cell>
          <cell r="O1979">
            <v>0</v>
          </cell>
        </row>
        <row r="1980">
          <cell r="A1980" t="str">
            <v>11</v>
          </cell>
          <cell r="F1980" t="str">
            <v>本月合计</v>
          </cell>
          <cell r="G1980">
            <v>0</v>
          </cell>
          <cell r="H1980">
            <v>137.5</v>
          </cell>
          <cell r="I1980">
            <v>1496.03</v>
          </cell>
          <cell r="J1980">
            <v>0</v>
          </cell>
          <cell r="K1980">
            <v>0</v>
          </cell>
          <cell r="L1980" t="str">
            <v>平</v>
          </cell>
          <cell r="M1980">
            <v>0</v>
          </cell>
          <cell r="N1980">
            <v>0</v>
          </cell>
          <cell r="O1980">
            <v>0</v>
          </cell>
        </row>
        <row r="1981">
          <cell r="A1981" t="str">
            <v>11</v>
          </cell>
          <cell r="E1981" t="str">
            <v>家种甘草丙</v>
          </cell>
          <cell r="F1981" t="str">
            <v>本年累计</v>
          </cell>
          <cell r="G1981">
            <v>0</v>
          </cell>
          <cell r="H1981">
            <v>14177.1</v>
          </cell>
          <cell r="I1981">
            <v>152574.14000000001</v>
          </cell>
          <cell r="J1981">
            <v>14177.1</v>
          </cell>
          <cell r="K1981">
            <v>152574.14000000001</v>
          </cell>
          <cell r="L1981" t="str">
            <v>平</v>
          </cell>
          <cell r="M1981">
            <v>0</v>
          </cell>
          <cell r="N1981">
            <v>0</v>
          </cell>
          <cell r="O1981">
            <v>0</v>
          </cell>
        </row>
        <row r="1982">
          <cell r="A1982" t="str">
            <v>05</v>
          </cell>
          <cell r="B1982" t="str">
            <v>31</v>
          </cell>
          <cell r="C1982" t="str">
            <v>记-0030</v>
          </cell>
          <cell r="D1982" t="str">
            <v>150</v>
          </cell>
          <cell r="E1982" t="str">
            <v>野生特草</v>
          </cell>
          <cell r="F1982" t="str">
            <v>收购产品</v>
          </cell>
          <cell r="G1982">
            <v>23.0898</v>
          </cell>
          <cell r="H1982">
            <v>563.5</v>
          </cell>
          <cell r="I1982">
            <v>13011.1</v>
          </cell>
          <cell r="J1982">
            <v>0</v>
          </cell>
          <cell r="K1982">
            <v>0</v>
          </cell>
          <cell r="L1982" t="str">
            <v>借</v>
          </cell>
          <cell r="M1982">
            <v>563.5</v>
          </cell>
          <cell r="N1982">
            <v>0</v>
          </cell>
          <cell r="O1982">
            <v>13011.1</v>
          </cell>
        </row>
        <row r="1983">
          <cell r="A1983" t="str">
            <v>05</v>
          </cell>
          <cell r="F1983" t="str">
            <v>本月合计</v>
          </cell>
          <cell r="G1983">
            <v>0</v>
          </cell>
          <cell r="H1983">
            <v>563.5</v>
          </cell>
          <cell r="I1983">
            <v>13011.1</v>
          </cell>
          <cell r="J1983">
            <v>0</v>
          </cell>
          <cell r="K1983">
            <v>0</v>
          </cell>
          <cell r="L1983" t="str">
            <v>借</v>
          </cell>
          <cell r="M1983">
            <v>563.5</v>
          </cell>
          <cell r="N1983">
            <v>23.0898</v>
          </cell>
          <cell r="O1983">
            <v>13011.1</v>
          </cell>
        </row>
        <row r="1984">
          <cell r="A1984" t="str">
            <v>05</v>
          </cell>
          <cell r="F1984" t="str">
            <v>累    计</v>
          </cell>
          <cell r="G1984">
            <v>0</v>
          </cell>
          <cell r="H1984">
            <v>563.5</v>
          </cell>
          <cell r="I1984">
            <v>13011.1</v>
          </cell>
          <cell r="J1984">
            <v>0</v>
          </cell>
          <cell r="K1984">
            <v>0</v>
          </cell>
          <cell r="L1984" t="str">
            <v>借</v>
          </cell>
          <cell r="M1984">
            <v>563.5</v>
          </cell>
          <cell r="N1984">
            <v>23.0898</v>
          </cell>
          <cell r="O1984">
            <v>13011.1</v>
          </cell>
        </row>
        <row r="1985">
          <cell r="A1985" t="str">
            <v>06</v>
          </cell>
          <cell r="B1985" t="str">
            <v>24</v>
          </cell>
          <cell r="C1985" t="str">
            <v>记-0020</v>
          </cell>
          <cell r="D1985" t="str">
            <v>150</v>
          </cell>
          <cell r="E1985" t="str">
            <v>野生特草</v>
          </cell>
          <cell r="F1985" t="str">
            <v>收购产品</v>
          </cell>
          <cell r="G1985">
            <v>14.79002</v>
          </cell>
          <cell r="H1985">
            <v>45.1</v>
          </cell>
          <cell r="I1985">
            <v>667.03</v>
          </cell>
          <cell r="J1985">
            <v>0</v>
          </cell>
          <cell r="K1985">
            <v>0</v>
          </cell>
          <cell r="L1985" t="str">
            <v>借</v>
          </cell>
          <cell r="M1985">
            <v>608.6</v>
          </cell>
          <cell r="N1985">
            <v>0</v>
          </cell>
          <cell r="O1985">
            <v>13678.13</v>
          </cell>
        </row>
        <row r="1986">
          <cell r="A1986" t="str">
            <v>06</v>
          </cell>
          <cell r="B1986" t="str">
            <v>24</v>
          </cell>
          <cell r="C1986" t="str">
            <v>记-0071</v>
          </cell>
          <cell r="D1986" t="str">
            <v>150</v>
          </cell>
          <cell r="E1986" t="str">
            <v>野生特草</v>
          </cell>
          <cell r="F1986" t="str">
            <v>转成本</v>
          </cell>
          <cell r="G1986">
            <v>30</v>
          </cell>
          <cell r="H1986">
            <v>0</v>
          </cell>
          <cell r="I1986">
            <v>0</v>
          </cell>
          <cell r="J1986">
            <v>72500</v>
          </cell>
          <cell r="K1986">
            <v>2175000</v>
          </cell>
          <cell r="L1986" t="str">
            <v>贷</v>
          </cell>
          <cell r="M1986">
            <v>71891.399999999994</v>
          </cell>
          <cell r="N1986">
            <v>0</v>
          </cell>
          <cell r="O1986">
            <v>2161321.87</v>
          </cell>
        </row>
        <row r="1987">
          <cell r="A1987" t="str">
            <v>06</v>
          </cell>
          <cell r="B1987" t="str">
            <v>24</v>
          </cell>
          <cell r="C1987" t="str">
            <v>记-0072</v>
          </cell>
          <cell r="D1987" t="str">
            <v>150</v>
          </cell>
          <cell r="E1987" t="str">
            <v>野生特草</v>
          </cell>
          <cell r="F1987" t="str">
            <v>转成本</v>
          </cell>
          <cell r="G1987">
            <v>30</v>
          </cell>
          <cell r="H1987">
            <v>0</v>
          </cell>
          <cell r="I1987">
            <v>0</v>
          </cell>
          <cell r="J1987">
            <v>72500</v>
          </cell>
          <cell r="K1987">
            <v>2175000</v>
          </cell>
          <cell r="L1987" t="str">
            <v>贷</v>
          </cell>
          <cell r="M1987">
            <v>144391.4</v>
          </cell>
          <cell r="N1987">
            <v>0</v>
          </cell>
          <cell r="O1987">
            <v>4336321.87</v>
          </cell>
        </row>
        <row r="1988">
          <cell r="A1988" t="str">
            <v>06</v>
          </cell>
          <cell r="B1988" t="str">
            <v>24</v>
          </cell>
          <cell r="C1988" t="str">
            <v>记-0079</v>
          </cell>
          <cell r="D1988" t="str">
            <v>150</v>
          </cell>
          <cell r="E1988" t="str">
            <v>野生特草</v>
          </cell>
          <cell r="F1988" t="str">
            <v>收购产品</v>
          </cell>
          <cell r="G1988">
            <v>30</v>
          </cell>
          <cell r="H1988">
            <v>72500</v>
          </cell>
          <cell r="I1988">
            <v>2175000</v>
          </cell>
          <cell r="J1988">
            <v>0</v>
          </cell>
          <cell r="K1988">
            <v>0</v>
          </cell>
          <cell r="L1988" t="str">
            <v>贷</v>
          </cell>
          <cell r="M1988">
            <v>71891.399999999994</v>
          </cell>
          <cell r="N1988">
            <v>0</v>
          </cell>
          <cell r="O1988">
            <v>2161321.87</v>
          </cell>
        </row>
        <row r="1989">
          <cell r="A1989" t="str">
            <v>06</v>
          </cell>
          <cell r="B1989" t="str">
            <v>24</v>
          </cell>
          <cell r="C1989" t="str">
            <v>记-0080</v>
          </cell>
          <cell r="D1989" t="str">
            <v>150</v>
          </cell>
          <cell r="E1989" t="str">
            <v>野生特草</v>
          </cell>
          <cell r="F1989" t="str">
            <v>收购产品</v>
          </cell>
          <cell r="G1989">
            <v>30</v>
          </cell>
          <cell r="H1989">
            <v>72500</v>
          </cell>
          <cell r="I1989">
            <v>2175000</v>
          </cell>
          <cell r="J1989">
            <v>0</v>
          </cell>
          <cell r="K1989">
            <v>0</v>
          </cell>
          <cell r="L1989" t="str">
            <v>借</v>
          </cell>
          <cell r="M1989">
            <v>608.6</v>
          </cell>
          <cell r="N1989">
            <v>0</v>
          </cell>
          <cell r="O1989">
            <v>13678.13</v>
          </cell>
        </row>
        <row r="1990">
          <cell r="A1990" t="str">
            <v>06</v>
          </cell>
          <cell r="F1990" t="str">
            <v>本月合计</v>
          </cell>
          <cell r="G1990">
            <v>0</v>
          </cell>
          <cell r="H1990">
            <v>145045.1</v>
          </cell>
          <cell r="I1990">
            <v>4350667.03</v>
          </cell>
          <cell r="J1990">
            <v>145000</v>
          </cell>
          <cell r="K1990">
            <v>4350000</v>
          </cell>
          <cell r="L1990" t="str">
            <v>借</v>
          </cell>
          <cell r="M1990">
            <v>608.6</v>
          </cell>
          <cell r="N1990">
            <v>22.47475</v>
          </cell>
          <cell r="O1990">
            <v>13678.13</v>
          </cell>
        </row>
        <row r="1991">
          <cell r="A1991" t="str">
            <v>06</v>
          </cell>
          <cell r="F1991" t="str">
            <v>累    计</v>
          </cell>
          <cell r="G1991">
            <v>0</v>
          </cell>
          <cell r="H1991">
            <v>145608.6</v>
          </cell>
          <cell r="I1991">
            <v>4363678.13</v>
          </cell>
          <cell r="J1991">
            <v>145000</v>
          </cell>
          <cell r="K1991">
            <v>4350000</v>
          </cell>
          <cell r="L1991" t="str">
            <v>借</v>
          </cell>
          <cell r="M1991">
            <v>608.6</v>
          </cell>
          <cell r="N1991">
            <v>22.47475</v>
          </cell>
          <cell r="O1991">
            <v>13678.13</v>
          </cell>
        </row>
        <row r="1992">
          <cell r="A1992" t="str">
            <v>11</v>
          </cell>
          <cell r="B1992" t="str">
            <v>30</v>
          </cell>
          <cell r="C1992" t="str">
            <v>记-0097</v>
          </cell>
          <cell r="D1992" t="str">
            <v>150</v>
          </cell>
          <cell r="E1992" t="str">
            <v>野生特草</v>
          </cell>
          <cell r="F1992" t="str">
            <v>合并名称</v>
          </cell>
          <cell r="G1992">
            <v>0</v>
          </cell>
          <cell r="H1992">
            <v>0</v>
          </cell>
          <cell r="I1992">
            <v>-13678.13</v>
          </cell>
          <cell r="J1992">
            <v>0</v>
          </cell>
          <cell r="K1992">
            <v>0</v>
          </cell>
          <cell r="L1992" t="str">
            <v>平</v>
          </cell>
          <cell r="M1992">
            <v>608.6</v>
          </cell>
          <cell r="N1992">
            <v>0</v>
          </cell>
          <cell r="O1992">
            <v>0</v>
          </cell>
        </row>
        <row r="1993">
          <cell r="A1993" t="str">
            <v>11</v>
          </cell>
          <cell r="F1993" t="str">
            <v>本月合计</v>
          </cell>
          <cell r="G1993">
            <v>0</v>
          </cell>
          <cell r="H1993">
            <v>0</v>
          </cell>
          <cell r="I1993">
            <v>-13678.13</v>
          </cell>
          <cell r="J1993">
            <v>0</v>
          </cell>
          <cell r="K1993">
            <v>0</v>
          </cell>
          <cell r="L1993" t="str">
            <v>平</v>
          </cell>
          <cell r="M1993">
            <v>608.6</v>
          </cell>
          <cell r="N1993">
            <v>0</v>
          </cell>
          <cell r="O1993">
            <v>0</v>
          </cell>
        </row>
        <row r="1994">
          <cell r="A1994" t="str">
            <v>11</v>
          </cell>
          <cell r="F1994" t="str">
            <v>累    计</v>
          </cell>
          <cell r="G1994">
            <v>0</v>
          </cell>
          <cell r="H1994">
            <v>145608.6</v>
          </cell>
          <cell r="I1994">
            <v>4350000</v>
          </cell>
          <cell r="J1994">
            <v>145000</v>
          </cell>
          <cell r="K1994">
            <v>4350000</v>
          </cell>
          <cell r="L1994" t="str">
            <v>平</v>
          </cell>
          <cell r="M1994">
            <v>608.6</v>
          </cell>
          <cell r="N1994">
            <v>0</v>
          </cell>
          <cell r="O1994">
            <v>0</v>
          </cell>
        </row>
        <row r="1995">
          <cell r="A1995" t="str">
            <v>12</v>
          </cell>
          <cell r="B1995" t="str">
            <v>11</v>
          </cell>
          <cell r="C1995" t="str">
            <v>记-0011</v>
          </cell>
          <cell r="D1995" t="str">
            <v>150</v>
          </cell>
          <cell r="E1995" t="str">
            <v>野生特草</v>
          </cell>
          <cell r="F1995" t="str">
            <v>调整11月97号</v>
          </cell>
          <cell r="G1995">
            <v>0</v>
          </cell>
          <cell r="H1995">
            <v>0</v>
          </cell>
          <cell r="I1995">
            <v>13678.13</v>
          </cell>
          <cell r="J1995">
            <v>0</v>
          </cell>
          <cell r="K1995">
            <v>0</v>
          </cell>
          <cell r="L1995" t="str">
            <v>借</v>
          </cell>
          <cell r="M1995">
            <v>608.6</v>
          </cell>
          <cell r="N1995">
            <v>0</v>
          </cell>
          <cell r="O1995">
            <v>13678.13</v>
          </cell>
        </row>
        <row r="1996">
          <cell r="A1996" t="str">
            <v>12</v>
          </cell>
          <cell r="B1996" t="str">
            <v>11</v>
          </cell>
          <cell r="C1996" t="str">
            <v>记-0011</v>
          </cell>
          <cell r="D1996" t="str">
            <v>150</v>
          </cell>
          <cell r="E1996" t="str">
            <v>野生特草</v>
          </cell>
          <cell r="F1996" t="str">
            <v>更正</v>
          </cell>
          <cell r="G1996">
            <v>22.47475</v>
          </cell>
          <cell r="H1996">
            <v>-608.6</v>
          </cell>
          <cell r="I1996">
            <v>-13678.13</v>
          </cell>
          <cell r="J1996">
            <v>0</v>
          </cell>
          <cell r="K1996">
            <v>0</v>
          </cell>
          <cell r="L1996" t="str">
            <v>平</v>
          </cell>
          <cell r="M1996">
            <v>0</v>
          </cell>
          <cell r="N1996">
            <v>0</v>
          </cell>
          <cell r="O1996">
            <v>0</v>
          </cell>
        </row>
        <row r="1997">
          <cell r="A1997" t="str">
            <v>12</v>
          </cell>
          <cell r="B1997" t="str">
            <v>31</v>
          </cell>
          <cell r="C1997" t="str">
            <v>记-0189</v>
          </cell>
          <cell r="D1997" t="str">
            <v>150</v>
          </cell>
          <cell r="E1997" t="str">
            <v>野生特草</v>
          </cell>
          <cell r="F1997" t="str">
            <v>调整6月78-80</v>
          </cell>
          <cell r="G1997">
            <v>0</v>
          </cell>
          <cell r="H1997">
            <v>0</v>
          </cell>
          <cell r="I1997">
            <v>-4350000</v>
          </cell>
          <cell r="J1997">
            <v>0</v>
          </cell>
          <cell r="K1997">
            <v>0</v>
          </cell>
          <cell r="L1997" t="str">
            <v>贷</v>
          </cell>
          <cell r="M1997">
            <v>0</v>
          </cell>
          <cell r="N1997">
            <v>0</v>
          </cell>
          <cell r="O1997">
            <v>4350000</v>
          </cell>
        </row>
        <row r="1998">
          <cell r="A1998" t="str">
            <v>12</v>
          </cell>
          <cell r="B1998" t="str">
            <v>31</v>
          </cell>
          <cell r="C1998" t="str">
            <v>记-0189</v>
          </cell>
          <cell r="D1998" t="str">
            <v>150</v>
          </cell>
          <cell r="E1998" t="str">
            <v>野生特草</v>
          </cell>
          <cell r="F1998" t="str">
            <v>调整6月78-80</v>
          </cell>
          <cell r="G1998">
            <v>0</v>
          </cell>
          <cell r="H1998">
            <v>0</v>
          </cell>
          <cell r="I1998">
            <v>4350000</v>
          </cell>
          <cell r="J1998">
            <v>0</v>
          </cell>
          <cell r="K1998">
            <v>0</v>
          </cell>
          <cell r="L1998" t="str">
            <v>平</v>
          </cell>
          <cell r="M1998">
            <v>0</v>
          </cell>
          <cell r="N1998">
            <v>0</v>
          </cell>
          <cell r="O1998">
            <v>0</v>
          </cell>
        </row>
        <row r="1999">
          <cell r="A1999" t="str">
            <v>12</v>
          </cell>
          <cell r="F1999" t="str">
            <v>本月合计</v>
          </cell>
          <cell r="G1999">
            <v>0</v>
          </cell>
          <cell r="H1999">
            <v>-608.6</v>
          </cell>
          <cell r="I1999">
            <v>0</v>
          </cell>
          <cell r="J1999">
            <v>0</v>
          </cell>
          <cell r="K1999">
            <v>0</v>
          </cell>
          <cell r="L1999" t="str">
            <v>平</v>
          </cell>
          <cell r="M1999">
            <v>0</v>
          </cell>
          <cell r="N1999">
            <v>0</v>
          </cell>
          <cell r="O1999">
            <v>0</v>
          </cell>
        </row>
        <row r="2000">
          <cell r="A2000" t="str">
            <v>12</v>
          </cell>
          <cell r="E2000" t="str">
            <v>野生特草</v>
          </cell>
          <cell r="F2000" t="str">
            <v>本年累计</v>
          </cell>
          <cell r="G2000">
            <v>0</v>
          </cell>
          <cell r="H2000">
            <v>145000</v>
          </cell>
          <cell r="I2000">
            <v>4350000</v>
          </cell>
          <cell r="J2000">
            <v>145000</v>
          </cell>
          <cell r="K2000">
            <v>4350000</v>
          </cell>
          <cell r="L2000" t="str">
            <v>平</v>
          </cell>
          <cell r="M2000">
            <v>0</v>
          </cell>
          <cell r="N2000">
            <v>0</v>
          </cell>
          <cell r="O2000">
            <v>0</v>
          </cell>
        </row>
        <row r="2001">
          <cell r="A2001" t="str">
            <v>05</v>
          </cell>
          <cell r="B2001" t="str">
            <v>31</v>
          </cell>
          <cell r="C2001" t="str">
            <v>记-0030</v>
          </cell>
          <cell r="D2001" t="str">
            <v>151</v>
          </cell>
          <cell r="E2001" t="str">
            <v>野生甲草</v>
          </cell>
          <cell r="F2001" t="str">
            <v>收购产品</v>
          </cell>
          <cell r="G2001">
            <v>23.0898</v>
          </cell>
          <cell r="H2001">
            <v>1758.5</v>
          </cell>
          <cell r="I2001">
            <v>40603.410000000003</v>
          </cell>
          <cell r="J2001">
            <v>0</v>
          </cell>
          <cell r="K2001">
            <v>0</v>
          </cell>
          <cell r="L2001" t="str">
            <v>借</v>
          </cell>
          <cell r="M2001">
            <v>1758.5</v>
          </cell>
          <cell r="N2001">
            <v>0</v>
          </cell>
          <cell r="O2001">
            <v>40603.410000000003</v>
          </cell>
        </row>
        <row r="2002">
          <cell r="A2002" t="str">
            <v>05</v>
          </cell>
          <cell r="F2002" t="str">
            <v>本月合计</v>
          </cell>
          <cell r="G2002">
            <v>0</v>
          </cell>
          <cell r="H2002">
            <v>1758.5</v>
          </cell>
          <cell r="I2002">
            <v>40603.410000000003</v>
          </cell>
          <cell r="J2002">
            <v>0</v>
          </cell>
          <cell r="K2002">
            <v>0</v>
          </cell>
          <cell r="L2002" t="str">
            <v>借</v>
          </cell>
          <cell r="M2002">
            <v>1758.5</v>
          </cell>
          <cell r="N2002">
            <v>23.0898</v>
          </cell>
          <cell r="O2002">
            <v>40603.410000000003</v>
          </cell>
        </row>
        <row r="2003">
          <cell r="A2003" t="str">
            <v>05</v>
          </cell>
          <cell r="F2003" t="str">
            <v>累    计</v>
          </cell>
          <cell r="G2003">
            <v>0</v>
          </cell>
          <cell r="H2003">
            <v>1758.5</v>
          </cell>
          <cell r="I2003">
            <v>40603.410000000003</v>
          </cell>
          <cell r="J2003">
            <v>0</v>
          </cell>
          <cell r="K2003">
            <v>0</v>
          </cell>
          <cell r="L2003" t="str">
            <v>借</v>
          </cell>
          <cell r="M2003">
            <v>1758.5</v>
          </cell>
          <cell r="N2003">
            <v>23.0898</v>
          </cell>
          <cell r="O2003">
            <v>40603.410000000003</v>
          </cell>
        </row>
        <row r="2004">
          <cell r="A2004" t="str">
            <v>06</v>
          </cell>
          <cell r="B2004" t="str">
            <v>24</v>
          </cell>
          <cell r="C2004" t="str">
            <v>记-0020</v>
          </cell>
          <cell r="D2004" t="str">
            <v>151</v>
          </cell>
          <cell r="E2004" t="str">
            <v>野生甲草</v>
          </cell>
          <cell r="F2004" t="str">
            <v>收购产品</v>
          </cell>
          <cell r="G2004">
            <v>14.78997</v>
          </cell>
          <cell r="H2004">
            <v>157.5</v>
          </cell>
          <cell r="I2004">
            <v>2329.42</v>
          </cell>
          <cell r="J2004">
            <v>0</v>
          </cell>
          <cell r="K2004">
            <v>0</v>
          </cell>
          <cell r="L2004" t="str">
            <v>借</v>
          </cell>
          <cell r="M2004">
            <v>1916</v>
          </cell>
          <cell r="N2004">
            <v>0</v>
          </cell>
          <cell r="O2004">
            <v>42932.83</v>
          </cell>
        </row>
        <row r="2005">
          <cell r="A2005" t="str">
            <v>06</v>
          </cell>
          <cell r="B2005" t="str">
            <v>24</v>
          </cell>
          <cell r="C2005" t="str">
            <v>记-0055</v>
          </cell>
          <cell r="D2005" t="str">
            <v>151</v>
          </cell>
          <cell r="E2005" t="str">
            <v>野生甲草</v>
          </cell>
          <cell r="F2005" t="str">
            <v>购入商品</v>
          </cell>
          <cell r="G2005">
            <v>17.399999999999999</v>
          </cell>
          <cell r="H2005">
            <v>125000</v>
          </cell>
          <cell r="I2005">
            <v>2175000</v>
          </cell>
          <cell r="J2005">
            <v>0</v>
          </cell>
          <cell r="K2005">
            <v>0</v>
          </cell>
          <cell r="L2005" t="str">
            <v>借</v>
          </cell>
          <cell r="M2005">
            <v>126916</v>
          </cell>
          <cell r="N2005">
            <v>0</v>
          </cell>
          <cell r="O2005">
            <v>2217932.83</v>
          </cell>
        </row>
        <row r="2006">
          <cell r="A2006" t="str">
            <v>06</v>
          </cell>
          <cell r="B2006" t="str">
            <v>24</v>
          </cell>
          <cell r="C2006" t="str">
            <v>记-0056</v>
          </cell>
          <cell r="D2006" t="str">
            <v>151</v>
          </cell>
          <cell r="E2006" t="str">
            <v>野生甲草</v>
          </cell>
          <cell r="F2006" t="str">
            <v>购入商品</v>
          </cell>
          <cell r="G2006">
            <v>15.67545</v>
          </cell>
          <cell r="H2006">
            <v>138752</v>
          </cell>
          <cell r="I2006">
            <v>2175000</v>
          </cell>
          <cell r="J2006">
            <v>0</v>
          </cell>
          <cell r="K2006">
            <v>0</v>
          </cell>
          <cell r="L2006" t="str">
            <v>借</v>
          </cell>
          <cell r="M2006">
            <v>265668</v>
          </cell>
          <cell r="N2006">
            <v>0</v>
          </cell>
          <cell r="O2006">
            <v>4392932.83</v>
          </cell>
        </row>
        <row r="2007">
          <cell r="A2007" t="str">
            <v>06</v>
          </cell>
          <cell r="B2007" t="str">
            <v>24</v>
          </cell>
          <cell r="C2007" t="str">
            <v>记-0067</v>
          </cell>
          <cell r="D2007" t="str">
            <v>151</v>
          </cell>
          <cell r="E2007" t="str">
            <v>野生甲草</v>
          </cell>
          <cell r="F2007" t="str">
            <v>转成本</v>
          </cell>
          <cell r="G2007">
            <v>15.67545</v>
          </cell>
          <cell r="H2007">
            <v>0</v>
          </cell>
          <cell r="I2007">
            <v>0</v>
          </cell>
          <cell r="J2007">
            <v>138752</v>
          </cell>
          <cell r="K2007">
            <v>2175000</v>
          </cell>
          <cell r="L2007" t="str">
            <v>借</v>
          </cell>
          <cell r="M2007">
            <v>126916</v>
          </cell>
          <cell r="N2007">
            <v>0</v>
          </cell>
          <cell r="O2007">
            <v>2217932.83</v>
          </cell>
        </row>
        <row r="2008">
          <cell r="A2008" t="str">
            <v>06</v>
          </cell>
          <cell r="B2008" t="str">
            <v>24</v>
          </cell>
          <cell r="C2008" t="str">
            <v>记-0068</v>
          </cell>
          <cell r="D2008" t="str">
            <v>151</v>
          </cell>
          <cell r="E2008" t="str">
            <v>野生甲草</v>
          </cell>
          <cell r="F2008" t="str">
            <v>转成本</v>
          </cell>
          <cell r="G2008">
            <v>17.399999999999999</v>
          </cell>
          <cell r="H2008">
            <v>0</v>
          </cell>
          <cell r="I2008">
            <v>0</v>
          </cell>
          <cell r="J2008">
            <v>125000</v>
          </cell>
          <cell r="K2008">
            <v>2175000</v>
          </cell>
          <cell r="L2008" t="str">
            <v>借</v>
          </cell>
          <cell r="M2008">
            <v>1916</v>
          </cell>
          <cell r="N2008">
            <v>0</v>
          </cell>
          <cell r="O2008">
            <v>42932.83</v>
          </cell>
        </row>
        <row r="2009">
          <cell r="A2009" t="str">
            <v>06</v>
          </cell>
          <cell r="F2009" t="str">
            <v>本月合计</v>
          </cell>
          <cell r="G2009">
            <v>0</v>
          </cell>
          <cell r="H2009">
            <v>263909.5</v>
          </cell>
          <cell r="I2009">
            <v>4352329.42</v>
          </cell>
          <cell r="J2009">
            <v>263752</v>
          </cell>
          <cell r="K2009">
            <v>4350000</v>
          </cell>
          <cell r="L2009" t="str">
            <v>借</v>
          </cell>
          <cell r="M2009">
            <v>1916</v>
          </cell>
          <cell r="N2009">
            <v>22.407530000000001</v>
          </cell>
          <cell r="O2009">
            <v>42932.83</v>
          </cell>
        </row>
        <row r="2010">
          <cell r="A2010" t="str">
            <v>06</v>
          </cell>
          <cell r="F2010" t="str">
            <v>累    计</v>
          </cell>
          <cell r="G2010">
            <v>0</v>
          </cell>
          <cell r="H2010">
            <v>265668</v>
          </cell>
          <cell r="I2010">
            <v>4392932.83</v>
          </cell>
          <cell r="J2010">
            <v>263752</v>
          </cell>
          <cell r="K2010">
            <v>4350000</v>
          </cell>
          <cell r="L2010" t="str">
            <v>借</v>
          </cell>
          <cell r="M2010">
            <v>1916</v>
          </cell>
          <cell r="N2010">
            <v>22.407530000000001</v>
          </cell>
          <cell r="O2010">
            <v>42932.83</v>
          </cell>
        </row>
        <row r="2011">
          <cell r="A2011" t="str">
            <v>07</v>
          </cell>
          <cell r="B2011" t="str">
            <v>22</v>
          </cell>
          <cell r="C2011" t="str">
            <v>记-0068</v>
          </cell>
          <cell r="D2011" t="str">
            <v>151</v>
          </cell>
          <cell r="E2011" t="str">
            <v>野生甲草</v>
          </cell>
          <cell r="F2011" t="str">
            <v>结转成本</v>
          </cell>
          <cell r="G2011">
            <v>30.09</v>
          </cell>
          <cell r="H2011">
            <v>0</v>
          </cell>
          <cell r="I2011">
            <v>0</v>
          </cell>
          <cell r="J2011">
            <v>3646</v>
          </cell>
          <cell r="K2011">
            <v>109708.14</v>
          </cell>
          <cell r="L2011" t="str">
            <v>贷</v>
          </cell>
          <cell r="M2011">
            <v>1730</v>
          </cell>
          <cell r="N2011">
            <v>0</v>
          </cell>
          <cell r="O2011">
            <v>66775.31</v>
          </cell>
        </row>
        <row r="2012">
          <cell r="A2012" t="str">
            <v>07</v>
          </cell>
          <cell r="F2012" t="str">
            <v>本月合计</v>
          </cell>
          <cell r="G2012">
            <v>0</v>
          </cell>
          <cell r="H2012">
            <v>0</v>
          </cell>
          <cell r="I2012">
            <v>0</v>
          </cell>
          <cell r="J2012">
            <v>3646</v>
          </cell>
          <cell r="K2012">
            <v>109708.14</v>
          </cell>
          <cell r="L2012" t="str">
            <v>贷</v>
          </cell>
          <cell r="M2012">
            <v>1730</v>
          </cell>
          <cell r="N2012">
            <v>38.59845</v>
          </cell>
          <cell r="O2012">
            <v>66775.31</v>
          </cell>
        </row>
        <row r="2013">
          <cell r="A2013" t="str">
            <v>07</v>
          </cell>
          <cell r="F2013" t="str">
            <v>累    计</v>
          </cell>
          <cell r="G2013">
            <v>0</v>
          </cell>
          <cell r="H2013">
            <v>265668</v>
          </cell>
          <cell r="I2013">
            <v>4392932.83</v>
          </cell>
          <cell r="J2013">
            <v>267398</v>
          </cell>
          <cell r="K2013">
            <v>4459708.1399999997</v>
          </cell>
          <cell r="L2013" t="str">
            <v>贷</v>
          </cell>
          <cell r="M2013">
            <v>1730</v>
          </cell>
          <cell r="N2013">
            <v>38.59845</v>
          </cell>
          <cell r="O2013">
            <v>66775.31</v>
          </cell>
        </row>
        <row r="2014">
          <cell r="A2014" t="str">
            <v>09</v>
          </cell>
          <cell r="B2014" t="str">
            <v>22</v>
          </cell>
          <cell r="C2014" t="str">
            <v>记-0012</v>
          </cell>
          <cell r="D2014" t="str">
            <v>151</v>
          </cell>
          <cell r="E2014" t="str">
            <v>野生甲草</v>
          </cell>
          <cell r="F2014" t="str">
            <v>付收购款</v>
          </cell>
          <cell r="G2014">
            <v>17.399999999999999</v>
          </cell>
          <cell r="H2014">
            <v>253</v>
          </cell>
          <cell r="I2014">
            <v>4402.2</v>
          </cell>
          <cell r="J2014">
            <v>0</v>
          </cell>
          <cell r="K2014">
            <v>0</v>
          </cell>
          <cell r="L2014" t="str">
            <v>贷</v>
          </cell>
          <cell r="M2014">
            <v>1477</v>
          </cell>
          <cell r="N2014">
            <v>0</v>
          </cell>
          <cell r="O2014">
            <v>62373.11</v>
          </cell>
        </row>
        <row r="2015">
          <cell r="A2015" t="str">
            <v>09</v>
          </cell>
          <cell r="B2015" t="str">
            <v>22</v>
          </cell>
          <cell r="C2015" t="str">
            <v>记-0040</v>
          </cell>
          <cell r="D2015" t="str">
            <v>151</v>
          </cell>
          <cell r="E2015" t="str">
            <v>野生甲草</v>
          </cell>
          <cell r="F2015" t="str">
            <v>结转成本</v>
          </cell>
          <cell r="G2015">
            <v>33.619979999999998</v>
          </cell>
          <cell r="H2015">
            <v>0</v>
          </cell>
          <cell r="I2015">
            <v>0</v>
          </cell>
          <cell r="J2015">
            <v>95.6</v>
          </cell>
          <cell r="K2015">
            <v>3214.07</v>
          </cell>
          <cell r="L2015" t="str">
            <v>贷</v>
          </cell>
          <cell r="M2015">
            <v>1572.6</v>
          </cell>
          <cell r="N2015">
            <v>0</v>
          </cell>
          <cell r="O2015">
            <v>65587.179999999993</v>
          </cell>
        </row>
        <row r="2016">
          <cell r="A2016" t="str">
            <v>09</v>
          </cell>
          <cell r="F2016" t="str">
            <v>本月合计</v>
          </cell>
          <cell r="G2016">
            <v>0</v>
          </cell>
          <cell r="H2016">
            <v>253</v>
          </cell>
          <cell r="I2016">
            <v>4402.2</v>
          </cell>
          <cell r="J2016">
            <v>95.6</v>
          </cell>
          <cell r="K2016">
            <v>3214.07</v>
          </cell>
          <cell r="L2016" t="str">
            <v>贷</v>
          </cell>
          <cell r="M2016">
            <v>1572.6</v>
          </cell>
          <cell r="N2016">
            <v>41.706209999999999</v>
          </cell>
          <cell r="O2016">
            <v>65587.179999999993</v>
          </cell>
        </row>
        <row r="2017">
          <cell r="A2017" t="str">
            <v>09</v>
          </cell>
          <cell r="F2017" t="str">
            <v>累    计</v>
          </cell>
          <cell r="G2017">
            <v>0</v>
          </cell>
          <cell r="H2017">
            <v>265921</v>
          </cell>
          <cell r="I2017">
            <v>4397335.03</v>
          </cell>
          <cell r="J2017">
            <v>267493.59999999998</v>
          </cell>
          <cell r="K2017">
            <v>4462922.21</v>
          </cell>
          <cell r="L2017" t="str">
            <v>贷</v>
          </cell>
          <cell r="M2017">
            <v>1572.6</v>
          </cell>
          <cell r="N2017">
            <v>41.706209999999999</v>
          </cell>
          <cell r="O2017">
            <v>65587.179999999993</v>
          </cell>
        </row>
        <row r="2018">
          <cell r="A2018" t="str">
            <v>10</v>
          </cell>
          <cell r="B2018" t="str">
            <v>22</v>
          </cell>
          <cell r="C2018" t="str">
            <v>记-0050</v>
          </cell>
          <cell r="D2018" t="str">
            <v>151</v>
          </cell>
          <cell r="E2018" t="str">
            <v>野生甲草</v>
          </cell>
          <cell r="F2018" t="str">
            <v>收购产品</v>
          </cell>
          <cell r="G2018">
            <v>29.20354</v>
          </cell>
          <cell r="H2018">
            <v>1074</v>
          </cell>
          <cell r="I2018">
            <v>31364.6</v>
          </cell>
          <cell r="J2018">
            <v>0</v>
          </cell>
          <cell r="K2018">
            <v>0</v>
          </cell>
          <cell r="L2018" t="str">
            <v>贷</v>
          </cell>
          <cell r="M2018">
            <v>498.6</v>
          </cell>
          <cell r="N2018">
            <v>0</v>
          </cell>
          <cell r="O2018">
            <v>34222.58</v>
          </cell>
        </row>
        <row r="2019">
          <cell r="A2019" t="str">
            <v>10</v>
          </cell>
          <cell r="B2019" t="str">
            <v>22</v>
          </cell>
          <cell r="C2019" t="str">
            <v>记-0068</v>
          </cell>
          <cell r="D2019" t="str">
            <v>151</v>
          </cell>
          <cell r="E2019" t="str">
            <v>野生甲草</v>
          </cell>
          <cell r="F2019" t="str">
            <v>结转成本</v>
          </cell>
          <cell r="G2019">
            <v>20.706</v>
          </cell>
          <cell r="H2019">
            <v>0</v>
          </cell>
          <cell r="I2019">
            <v>0</v>
          </cell>
          <cell r="J2019">
            <v>3705</v>
          </cell>
          <cell r="K2019">
            <v>76715.73</v>
          </cell>
          <cell r="L2019" t="str">
            <v>贷</v>
          </cell>
          <cell r="M2019">
            <v>4203.6000000000004</v>
          </cell>
          <cell r="N2019">
            <v>0</v>
          </cell>
          <cell r="O2019">
            <v>110938.31</v>
          </cell>
        </row>
        <row r="2020">
          <cell r="A2020" t="str">
            <v>10</v>
          </cell>
          <cell r="F2020" t="str">
            <v>本月合计</v>
          </cell>
          <cell r="G2020">
            <v>0</v>
          </cell>
          <cell r="H2020">
            <v>1074</v>
          </cell>
          <cell r="I2020">
            <v>31364.6</v>
          </cell>
          <cell r="J2020">
            <v>3705</v>
          </cell>
          <cell r="K2020">
            <v>76715.73</v>
          </cell>
          <cell r="L2020" t="str">
            <v>贷</v>
          </cell>
          <cell r="M2020">
            <v>4203.6000000000004</v>
          </cell>
          <cell r="N2020">
            <v>26.391259999999999</v>
          </cell>
          <cell r="O2020">
            <v>110938.31</v>
          </cell>
        </row>
        <row r="2021">
          <cell r="A2021" t="str">
            <v>10</v>
          </cell>
          <cell r="F2021" t="str">
            <v>累    计</v>
          </cell>
          <cell r="G2021">
            <v>0</v>
          </cell>
          <cell r="H2021">
            <v>266995</v>
          </cell>
          <cell r="I2021">
            <v>4428699.63</v>
          </cell>
          <cell r="J2021">
            <v>271198.59999999998</v>
          </cell>
          <cell r="K2021">
            <v>4539637.9400000004</v>
          </cell>
          <cell r="L2021" t="str">
            <v>贷</v>
          </cell>
          <cell r="M2021">
            <v>4203.6000000000004</v>
          </cell>
          <cell r="N2021">
            <v>26.391259999999999</v>
          </cell>
          <cell r="O2021">
            <v>110938.31</v>
          </cell>
        </row>
        <row r="2022">
          <cell r="A2022" t="str">
            <v>11</v>
          </cell>
          <cell r="B2022" t="str">
            <v>30</v>
          </cell>
          <cell r="C2022" t="str">
            <v>记-0094</v>
          </cell>
          <cell r="D2022" t="str">
            <v>151</v>
          </cell>
          <cell r="E2022" t="str">
            <v>野生甲草</v>
          </cell>
          <cell r="F2022" t="str">
            <v>调整9月40号凭</v>
          </cell>
          <cell r="G2022">
            <v>33.619979999999998</v>
          </cell>
          <cell r="H2022">
            <v>0</v>
          </cell>
          <cell r="I2022">
            <v>0</v>
          </cell>
          <cell r="J2022">
            <v>-95.6</v>
          </cell>
          <cell r="K2022">
            <v>-3214.07</v>
          </cell>
          <cell r="L2022" t="str">
            <v>贷</v>
          </cell>
          <cell r="M2022">
            <v>4108</v>
          </cell>
          <cell r="N2022">
            <v>0</v>
          </cell>
          <cell r="O2022">
            <v>107724.24</v>
          </cell>
        </row>
        <row r="2023">
          <cell r="A2023" t="str">
            <v>11</v>
          </cell>
          <cell r="B2023" t="str">
            <v>30</v>
          </cell>
          <cell r="C2023" t="str">
            <v>记-0096</v>
          </cell>
          <cell r="D2023" t="str">
            <v>151</v>
          </cell>
          <cell r="E2023" t="str">
            <v>野生甲草</v>
          </cell>
          <cell r="F2023" t="str">
            <v>合并名称</v>
          </cell>
          <cell r="G2023">
            <v>18.04684</v>
          </cell>
          <cell r="H2023">
            <v>123.4</v>
          </cell>
          <cell r="I2023">
            <v>2226.98</v>
          </cell>
          <cell r="J2023">
            <v>0</v>
          </cell>
          <cell r="K2023">
            <v>0</v>
          </cell>
          <cell r="L2023" t="str">
            <v>贷</v>
          </cell>
          <cell r="M2023">
            <v>3984.6</v>
          </cell>
          <cell r="N2023">
            <v>0</v>
          </cell>
          <cell r="O2023">
            <v>105497.26</v>
          </cell>
        </row>
        <row r="2024">
          <cell r="A2024" t="str">
            <v>11</v>
          </cell>
          <cell r="B2024" t="str">
            <v>30</v>
          </cell>
          <cell r="C2024" t="str">
            <v>记-0096</v>
          </cell>
          <cell r="D2024" t="str">
            <v>151</v>
          </cell>
          <cell r="E2024" t="str">
            <v>野生甲草</v>
          </cell>
          <cell r="F2024" t="str">
            <v>合并名称</v>
          </cell>
          <cell r="G2024">
            <v>21.657250000000001</v>
          </cell>
          <cell r="H2024">
            <v>3141.2</v>
          </cell>
          <cell r="I2024">
            <v>68029.75</v>
          </cell>
          <cell r="J2024">
            <v>0</v>
          </cell>
          <cell r="K2024">
            <v>0</v>
          </cell>
          <cell r="L2024" t="str">
            <v>贷</v>
          </cell>
          <cell r="M2024">
            <v>843.4</v>
          </cell>
          <cell r="N2024">
            <v>0</v>
          </cell>
          <cell r="O2024">
            <v>37467.51</v>
          </cell>
        </row>
        <row r="2025">
          <cell r="A2025" t="str">
            <v>11</v>
          </cell>
          <cell r="B2025" t="str">
            <v>30</v>
          </cell>
          <cell r="C2025" t="str">
            <v>记-0097</v>
          </cell>
          <cell r="D2025" t="str">
            <v>151</v>
          </cell>
          <cell r="E2025" t="str">
            <v>野生甲草</v>
          </cell>
          <cell r="F2025" t="str">
            <v>合并名称</v>
          </cell>
          <cell r="G2025">
            <v>22.47475</v>
          </cell>
          <cell r="H2025">
            <v>608.6</v>
          </cell>
          <cell r="I2025">
            <v>13678.13</v>
          </cell>
          <cell r="J2025">
            <v>0</v>
          </cell>
          <cell r="K2025">
            <v>0</v>
          </cell>
          <cell r="L2025" t="str">
            <v>贷</v>
          </cell>
          <cell r="M2025">
            <v>234.8</v>
          </cell>
          <cell r="N2025">
            <v>0</v>
          </cell>
          <cell r="O2025">
            <v>23789.38</v>
          </cell>
        </row>
        <row r="2026">
          <cell r="A2026" t="str">
            <v>11</v>
          </cell>
          <cell r="B2026" t="str">
            <v>30</v>
          </cell>
          <cell r="C2026" t="str">
            <v>记-0099</v>
          </cell>
          <cell r="D2026" t="str">
            <v>151</v>
          </cell>
          <cell r="E2026" t="str">
            <v>野生甲草</v>
          </cell>
          <cell r="F2026" t="str">
            <v>调整7月58号凭</v>
          </cell>
          <cell r="G2026">
            <v>30.09</v>
          </cell>
          <cell r="H2026">
            <v>0</v>
          </cell>
          <cell r="I2026">
            <v>0</v>
          </cell>
          <cell r="J2026">
            <v>2655</v>
          </cell>
          <cell r="K2026">
            <v>79888.95</v>
          </cell>
          <cell r="L2026" t="str">
            <v>贷</v>
          </cell>
          <cell r="M2026">
            <v>2889.8</v>
          </cell>
          <cell r="N2026">
            <v>0</v>
          </cell>
          <cell r="O2026">
            <v>103678.33</v>
          </cell>
        </row>
        <row r="2027">
          <cell r="A2027" t="str">
            <v>11</v>
          </cell>
          <cell r="B2027" t="str">
            <v>30</v>
          </cell>
          <cell r="C2027" t="str">
            <v>记-0104</v>
          </cell>
          <cell r="D2027" t="str">
            <v>151</v>
          </cell>
          <cell r="E2027" t="str">
            <v>野生甲草</v>
          </cell>
          <cell r="F2027" t="str">
            <v>调整10月50号</v>
          </cell>
          <cell r="G2027">
            <v>29.20354</v>
          </cell>
          <cell r="H2027">
            <v>3107</v>
          </cell>
          <cell r="I2027">
            <v>90735.4</v>
          </cell>
          <cell r="J2027">
            <v>0</v>
          </cell>
          <cell r="K2027">
            <v>0</v>
          </cell>
          <cell r="L2027" t="str">
            <v>贷</v>
          </cell>
          <cell r="M2027">
            <v>-217.2</v>
          </cell>
          <cell r="N2027">
            <v>0</v>
          </cell>
          <cell r="O2027">
            <v>12942.93</v>
          </cell>
        </row>
        <row r="2028">
          <cell r="A2028" t="str">
            <v>11</v>
          </cell>
          <cell r="B2028" t="str">
            <v>30</v>
          </cell>
          <cell r="C2028" t="str">
            <v>记-0133</v>
          </cell>
          <cell r="D2028" t="str">
            <v>151</v>
          </cell>
          <cell r="E2028" t="str">
            <v>野生甲草</v>
          </cell>
          <cell r="F2028" t="str">
            <v>调整成本</v>
          </cell>
          <cell r="G2028">
            <v>30.09</v>
          </cell>
          <cell r="H2028">
            <v>0</v>
          </cell>
          <cell r="I2028">
            <v>0</v>
          </cell>
          <cell r="J2028">
            <v>-89</v>
          </cell>
          <cell r="K2028">
            <v>-2678.01</v>
          </cell>
          <cell r="L2028" t="str">
            <v>贷</v>
          </cell>
          <cell r="M2028">
            <v>-306.2</v>
          </cell>
          <cell r="N2028">
            <v>0</v>
          </cell>
          <cell r="O2028">
            <v>10264.92</v>
          </cell>
        </row>
        <row r="2029">
          <cell r="A2029" t="str">
            <v>11</v>
          </cell>
          <cell r="B2029" t="str">
            <v>30</v>
          </cell>
          <cell r="C2029" t="str">
            <v>记-0152</v>
          </cell>
          <cell r="D2029" t="str">
            <v>151</v>
          </cell>
          <cell r="E2029" t="str">
            <v>野生甲草</v>
          </cell>
          <cell r="F2029" t="str">
            <v>调整库存</v>
          </cell>
          <cell r="G2029">
            <v>302.75733000000002</v>
          </cell>
          <cell r="H2029">
            <v>-53.2</v>
          </cell>
          <cell r="I2029">
            <v>16106.69</v>
          </cell>
          <cell r="J2029">
            <v>0</v>
          </cell>
          <cell r="K2029">
            <v>0</v>
          </cell>
          <cell r="L2029" t="str">
            <v>借</v>
          </cell>
          <cell r="M2029">
            <v>253</v>
          </cell>
          <cell r="N2029">
            <v>0</v>
          </cell>
          <cell r="O2029">
            <v>5841.77</v>
          </cell>
        </row>
        <row r="2030">
          <cell r="A2030" t="str">
            <v>11</v>
          </cell>
          <cell r="F2030" t="str">
            <v>本月合计</v>
          </cell>
          <cell r="G2030">
            <v>0</v>
          </cell>
          <cell r="H2030">
            <v>6927</v>
          </cell>
          <cell r="I2030">
            <v>190776.95</v>
          </cell>
          <cell r="J2030">
            <v>2470.4</v>
          </cell>
          <cell r="K2030">
            <v>73996.87</v>
          </cell>
          <cell r="L2030" t="str">
            <v>借</v>
          </cell>
          <cell r="M2030">
            <v>253</v>
          </cell>
          <cell r="N2030">
            <v>23.09</v>
          </cell>
          <cell r="O2030">
            <v>5841.77</v>
          </cell>
        </row>
        <row r="2031">
          <cell r="A2031" t="str">
            <v>11</v>
          </cell>
          <cell r="F2031" t="str">
            <v>累    计</v>
          </cell>
          <cell r="G2031">
            <v>0</v>
          </cell>
          <cell r="H2031">
            <v>273922</v>
          </cell>
          <cell r="I2031">
            <v>4619476.58</v>
          </cell>
          <cell r="J2031">
            <v>273669</v>
          </cell>
          <cell r="K2031">
            <v>4613634.8099999996</v>
          </cell>
          <cell r="L2031" t="str">
            <v>借</v>
          </cell>
          <cell r="M2031">
            <v>253</v>
          </cell>
          <cell r="N2031">
            <v>23.09</v>
          </cell>
          <cell r="O2031">
            <v>5841.77</v>
          </cell>
        </row>
        <row r="2032">
          <cell r="A2032" t="str">
            <v>12</v>
          </cell>
          <cell r="B2032" t="str">
            <v>11</v>
          </cell>
          <cell r="C2032" t="str">
            <v>记-0006</v>
          </cell>
          <cell r="D2032" t="str">
            <v>151</v>
          </cell>
          <cell r="E2032" t="str">
            <v>野生甲草</v>
          </cell>
          <cell r="F2032" t="str">
            <v>调整11月104号</v>
          </cell>
          <cell r="G2032">
            <v>0</v>
          </cell>
          <cell r="H2032">
            <v>0</v>
          </cell>
          <cell r="I2032">
            <v>-90735.4</v>
          </cell>
          <cell r="J2032">
            <v>0</v>
          </cell>
          <cell r="K2032">
            <v>0</v>
          </cell>
          <cell r="L2032" t="str">
            <v>贷</v>
          </cell>
          <cell r="M2032">
            <v>-253</v>
          </cell>
          <cell r="N2032">
            <v>0</v>
          </cell>
          <cell r="O2032">
            <v>84893.63</v>
          </cell>
        </row>
        <row r="2033">
          <cell r="A2033" t="str">
            <v>12</v>
          </cell>
          <cell r="B2033" t="str">
            <v>11</v>
          </cell>
          <cell r="C2033" t="str">
            <v>记-0006</v>
          </cell>
          <cell r="D2033" t="str">
            <v>151</v>
          </cell>
          <cell r="E2033" t="str">
            <v>野生甲草</v>
          </cell>
          <cell r="F2033" t="str">
            <v>更正</v>
          </cell>
          <cell r="G2033">
            <v>0</v>
          </cell>
          <cell r="H2033">
            <v>0</v>
          </cell>
          <cell r="I2033">
            <v>90735.4</v>
          </cell>
          <cell r="J2033">
            <v>0</v>
          </cell>
          <cell r="K2033">
            <v>0</v>
          </cell>
          <cell r="L2033" t="str">
            <v>借</v>
          </cell>
          <cell r="M2033">
            <v>253</v>
          </cell>
          <cell r="N2033">
            <v>0</v>
          </cell>
          <cell r="O2033">
            <v>5841.77</v>
          </cell>
        </row>
        <row r="2034">
          <cell r="A2034" t="str">
            <v>12</v>
          </cell>
          <cell r="B2034" t="str">
            <v>11</v>
          </cell>
          <cell r="C2034" t="str">
            <v>记-0011</v>
          </cell>
          <cell r="D2034" t="str">
            <v>151</v>
          </cell>
          <cell r="E2034" t="str">
            <v>野生甲草</v>
          </cell>
          <cell r="F2034" t="str">
            <v>调整11月97号</v>
          </cell>
          <cell r="G2034">
            <v>0</v>
          </cell>
          <cell r="H2034">
            <v>0</v>
          </cell>
          <cell r="I2034">
            <v>-13678.13</v>
          </cell>
          <cell r="J2034">
            <v>0</v>
          </cell>
          <cell r="K2034">
            <v>0</v>
          </cell>
          <cell r="L2034" t="str">
            <v>贷</v>
          </cell>
          <cell r="M2034">
            <v>-253</v>
          </cell>
          <cell r="N2034">
            <v>0</v>
          </cell>
          <cell r="O2034">
            <v>7836.36</v>
          </cell>
        </row>
        <row r="2035">
          <cell r="A2035" t="str">
            <v>12</v>
          </cell>
          <cell r="B2035" t="str">
            <v>11</v>
          </cell>
          <cell r="C2035" t="str">
            <v>记-0011</v>
          </cell>
          <cell r="D2035" t="str">
            <v>151</v>
          </cell>
          <cell r="E2035" t="str">
            <v>野生甲草</v>
          </cell>
          <cell r="F2035" t="str">
            <v>更正</v>
          </cell>
          <cell r="G2035">
            <v>0</v>
          </cell>
          <cell r="H2035">
            <v>0</v>
          </cell>
          <cell r="I2035">
            <v>13678.13</v>
          </cell>
          <cell r="J2035">
            <v>0</v>
          </cell>
          <cell r="K2035">
            <v>0</v>
          </cell>
          <cell r="L2035" t="str">
            <v>借</v>
          </cell>
          <cell r="M2035">
            <v>253</v>
          </cell>
          <cell r="N2035">
            <v>0</v>
          </cell>
          <cell r="O2035">
            <v>5841.77</v>
          </cell>
        </row>
        <row r="2036">
          <cell r="A2036" t="str">
            <v>12</v>
          </cell>
          <cell r="F2036" t="str">
            <v>本月合计</v>
          </cell>
          <cell r="G2036">
            <v>0</v>
          </cell>
          <cell r="H2036">
            <v>0</v>
          </cell>
          <cell r="I2036">
            <v>0</v>
          </cell>
          <cell r="J2036">
            <v>0</v>
          </cell>
          <cell r="K2036">
            <v>0</v>
          </cell>
          <cell r="L2036" t="str">
            <v>借</v>
          </cell>
          <cell r="M2036">
            <v>253</v>
          </cell>
          <cell r="N2036">
            <v>23.09</v>
          </cell>
          <cell r="O2036">
            <v>5841.77</v>
          </cell>
        </row>
        <row r="2037">
          <cell r="A2037" t="str">
            <v>12</v>
          </cell>
          <cell r="E2037" t="str">
            <v>野生甲草</v>
          </cell>
          <cell r="F2037" t="str">
            <v>本年累计</v>
          </cell>
          <cell r="G2037">
            <v>0</v>
          </cell>
          <cell r="H2037">
            <v>273922</v>
          </cell>
          <cell r="I2037">
            <v>4619476.58</v>
          </cell>
          <cell r="J2037">
            <v>273669</v>
          </cell>
          <cell r="K2037">
            <v>4613634.8099999996</v>
          </cell>
          <cell r="L2037" t="str">
            <v>借</v>
          </cell>
          <cell r="M2037">
            <v>253</v>
          </cell>
          <cell r="N2037">
            <v>23.09</v>
          </cell>
          <cell r="O2037">
            <v>5841.77</v>
          </cell>
        </row>
        <row r="2038">
          <cell r="A2038" t="str">
            <v>05</v>
          </cell>
          <cell r="B2038" t="str">
            <v>31</v>
          </cell>
          <cell r="C2038" t="str">
            <v>记-0031</v>
          </cell>
          <cell r="D2038" t="str">
            <v>152</v>
          </cell>
          <cell r="E2038" t="str">
            <v>珍珠川贝二等</v>
          </cell>
          <cell r="F2038" t="str">
            <v>转成本</v>
          </cell>
          <cell r="G2038">
            <v>718.97333000000003</v>
          </cell>
          <cell r="H2038">
            <v>0</v>
          </cell>
          <cell r="I2038">
            <v>0</v>
          </cell>
          <cell r="J2038">
            <v>6</v>
          </cell>
          <cell r="K2038">
            <v>4313.84</v>
          </cell>
          <cell r="L2038" t="str">
            <v>贷</v>
          </cell>
          <cell r="M2038">
            <v>6</v>
          </cell>
          <cell r="N2038">
            <v>0</v>
          </cell>
          <cell r="O2038">
            <v>4313.84</v>
          </cell>
        </row>
        <row r="2039">
          <cell r="A2039" t="str">
            <v>05</v>
          </cell>
          <cell r="B2039" t="str">
            <v>31</v>
          </cell>
          <cell r="C2039" t="str">
            <v>记-0088</v>
          </cell>
          <cell r="D2039" t="str">
            <v>152</v>
          </cell>
          <cell r="E2039" t="str">
            <v>珍珠川贝二等</v>
          </cell>
          <cell r="F2039" t="str">
            <v>收购产品</v>
          </cell>
          <cell r="G2039">
            <v>718.97333000000003</v>
          </cell>
          <cell r="H2039">
            <v>6</v>
          </cell>
          <cell r="I2039">
            <v>4313.84</v>
          </cell>
          <cell r="J2039">
            <v>0</v>
          </cell>
          <cell r="K2039">
            <v>0</v>
          </cell>
          <cell r="L2039" t="str">
            <v>平</v>
          </cell>
          <cell r="M2039">
            <v>0</v>
          </cell>
          <cell r="N2039">
            <v>0</v>
          </cell>
          <cell r="O2039">
            <v>0</v>
          </cell>
        </row>
        <row r="2040">
          <cell r="A2040" t="str">
            <v>05</v>
          </cell>
          <cell r="F2040" t="str">
            <v>本月合计</v>
          </cell>
          <cell r="G2040">
            <v>0</v>
          </cell>
          <cell r="H2040">
            <v>6</v>
          </cell>
          <cell r="I2040">
            <v>4313.84</v>
          </cell>
          <cell r="J2040">
            <v>6</v>
          </cell>
          <cell r="K2040">
            <v>4313.84</v>
          </cell>
          <cell r="L2040" t="str">
            <v>平</v>
          </cell>
          <cell r="M2040">
            <v>0</v>
          </cell>
          <cell r="N2040">
            <v>0</v>
          </cell>
          <cell r="O2040">
            <v>0</v>
          </cell>
        </row>
        <row r="2041">
          <cell r="A2041" t="str">
            <v>05</v>
          </cell>
          <cell r="E2041" t="str">
            <v>珍珠川贝二等</v>
          </cell>
          <cell r="F2041" t="str">
            <v>本年累计</v>
          </cell>
          <cell r="G2041">
            <v>0</v>
          </cell>
          <cell r="H2041">
            <v>6</v>
          </cell>
          <cell r="I2041">
            <v>4313.84</v>
          </cell>
          <cell r="J2041">
            <v>6</v>
          </cell>
          <cell r="K2041">
            <v>4313.84</v>
          </cell>
          <cell r="L2041" t="str">
            <v>平</v>
          </cell>
          <cell r="M2041">
            <v>0</v>
          </cell>
          <cell r="N2041">
            <v>0</v>
          </cell>
          <cell r="O2041">
            <v>0</v>
          </cell>
        </row>
        <row r="2042">
          <cell r="A2042" t="str">
            <v>05</v>
          </cell>
          <cell r="B2042" t="str">
            <v>31</v>
          </cell>
          <cell r="C2042" t="str">
            <v>记-0031</v>
          </cell>
          <cell r="D2042" t="str">
            <v>153</v>
          </cell>
          <cell r="E2042" t="str">
            <v>霸王花</v>
          </cell>
          <cell r="F2042" t="str">
            <v>转成本</v>
          </cell>
          <cell r="G2042">
            <v>19.095970000000001</v>
          </cell>
          <cell r="H2042">
            <v>0</v>
          </cell>
          <cell r="I2042">
            <v>0</v>
          </cell>
          <cell r="J2042">
            <v>72</v>
          </cell>
          <cell r="K2042">
            <v>1374.91</v>
          </cell>
          <cell r="L2042" t="str">
            <v>贷</v>
          </cell>
          <cell r="M2042">
            <v>72</v>
          </cell>
          <cell r="N2042">
            <v>0</v>
          </cell>
          <cell r="O2042">
            <v>1374.91</v>
          </cell>
        </row>
        <row r="2043">
          <cell r="A2043" t="str">
            <v>05</v>
          </cell>
          <cell r="B2043" t="str">
            <v>31</v>
          </cell>
          <cell r="C2043" t="str">
            <v>记-0088</v>
          </cell>
          <cell r="D2043" t="str">
            <v>153</v>
          </cell>
          <cell r="E2043" t="str">
            <v>霸王花</v>
          </cell>
          <cell r="F2043" t="str">
            <v>收购产品</v>
          </cell>
          <cell r="G2043">
            <v>19.095970000000001</v>
          </cell>
          <cell r="H2043">
            <v>72</v>
          </cell>
          <cell r="I2043">
            <v>1374.91</v>
          </cell>
          <cell r="J2043">
            <v>0</v>
          </cell>
          <cell r="K2043">
            <v>0</v>
          </cell>
          <cell r="L2043" t="str">
            <v>平</v>
          </cell>
          <cell r="M2043">
            <v>0</v>
          </cell>
          <cell r="N2043">
            <v>0</v>
          </cell>
          <cell r="O2043">
            <v>0</v>
          </cell>
        </row>
        <row r="2044">
          <cell r="A2044" t="str">
            <v>05</v>
          </cell>
          <cell r="F2044" t="str">
            <v>本月合计</v>
          </cell>
          <cell r="G2044">
            <v>0</v>
          </cell>
          <cell r="H2044">
            <v>72</v>
          </cell>
          <cell r="I2044">
            <v>1374.91</v>
          </cell>
          <cell r="J2044">
            <v>72</v>
          </cell>
          <cell r="K2044">
            <v>1374.91</v>
          </cell>
          <cell r="L2044" t="str">
            <v>平</v>
          </cell>
          <cell r="M2044">
            <v>0</v>
          </cell>
          <cell r="N2044">
            <v>0</v>
          </cell>
          <cell r="O2044">
            <v>0</v>
          </cell>
        </row>
        <row r="2045">
          <cell r="A2045" t="str">
            <v>05</v>
          </cell>
          <cell r="E2045" t="str">
            <v>霸王花</v>
          </cell>
          <cell r="F2045" t="str">
            <v>本年累计</v>
          </cell>
          <cell r="G2045">
            <v>0</v>
          </cell>
          <cell r="H2045">
            <v>72</v>
          </cell>
          <cell r="I2045">
            <v>1374.91</v>
          </cell>
          <cell r="J2045">
            <v>72</v>
          </cell>
          <cell r="K2045">
            <v>1374.91</v>
          </cell>
          <cell r="L2045" t="str">
            <v>平</v>
          </cell>
          <cell r="M2045">
            <v>0</v>
          </cell>
          <cell r="N2045">
            <v>0</v>
          </cell>
          <cell r="O2045">
            <v>0</v>
          </cell>
        </row>
        <row r="2046">
          <cell r="A2046" t="str">
            <v>05</v>
          </cell>
          <cell r="B2046" t="str">
            <v>31</v>
          </cell>
          <cell r="C2046" t="str">
            <v>记-0031</v>
          </cell>
          <cell r="D2046" t="str">
            <v>154</v>
          </cell>
          <cell r="E2046" t="str">
            <v>扁豆</v>
          </cell>
          <cell r="F2046" t="str">
            <v>转成本</v>
          </cell>
          <cell r="G2046">
            <v>4.5627599999999999</v>
          </cell>
          <cell r="H2046">
            <v>0</v>
          </cell>
          <cell r="I2046">
            <v>0</v>
          </cell>
          <cell r="J2046">
            <v>210</v>
          </cell>
          <cell r="K2046">
            <v>958.18</v>
          </cell>
          <cell r="L2046" t="str">
            <v>贷</v>
          </cell>
          <cell r="M2046">
            <v>210</v>
          </cell>
          <cell r="N2046">
            <v>0</v>
          </cell>
          <cell r="O2046">
            <v>958.18</v>
          </cell>
        </row>
        <row r="2047">
          <cell r="A2047" t="str">
            <v>05</v>
          </cell>
          <cell r="B2047" t="str">
            <v>31</v>
          </cell>
          <cell r="C2047" t="str">
            <v>记-0088</v>
          </cell>
          <cell r="D2047" t="str">
            <v>154</v>
          </cell>
          <cell r="E2047" t="str">
            <v>扁豆</v>
          </cell>
          <cell r="F2047" t="str">
            <v>收购产品</v>
          </cell>
          <cell r="G2047">
            <v>4.5627599999999999</v>
          </cell>
          <cell r="H2047">
            <v>210</v>
          </cell>
          <cell r="I2047">
            <v>958.18</v>
          </cell>
          <cell r="J2047">
            <v>0</v>
          </cell>
          <cell r="K2047">
            <v>0</v>
          </cell>
          <cell r="L2047" t="str">
            <v>平</v>
          </cell>
          <cell r="M2047">
            <v>0</v>
          </cell>
          <cell r="N2047">
            <v>0</v>
          </cell>
          <cell r="O2047">
            <v>0</v>
          </cell>
        </row>
        <row r="2048">
          <cell r="A2048" t="str">
            <v>05</v>
          </cell>
          <cell r="F2048" t="str">
            <v>本月合计</v>
          </cell>
          <cell r="G2048">
            <v>0</v>
          </cell>
          <cell r="H2048">
            <v>210</v>
          </cell>
          <cell r="I2048">
            <v>958.18</v>
          </cell>
          <cell r="J2048">
            <v>210</v>
          </cell>
          <cell r="K2048">
            <v>958.18</v>
          </cell>
          <cell r="L2048" t="str">
            <v>平</v>
          </cell>
          <cell r="M2048">
            <v>0</v>
          </cell>
          <cell r="N2048">
            <v>0</v>
          </cell>
          <cell r="O2048">
            <v>0</v>
          </cell>
        </row>
        <row r="2049">
          <cell r="A2049" t="str">
            <v>05</v>
          </cell>
          <cell r="E2049" t="str">
            <v>扁豆</v>
          </cell>
          <cell r="F2049" t="str">
            <v>本年累计</v>
          </cell>
          <cell r="G2049">
            <v>0</v>
          </cell>
          <cell r="H2049">
            <v>210</v>
          </cell>
          <cell r="I2049">
            <v>958.18</v>
          </cell>
          <cell r="J2049">
            <v>210</v>
          </cell>
          <cell r="K2049">
            <v>958.18</v>
          </cell>
          <cell r="L2049" t="str">
            <v>平</v>
          </cell>
          <cell r="M2049">
            <v>0</v>
          </cell>
          <cell r="N2049">
            <v>0</v>
          </cell>
          <cell r="O2049">
            <v>0</v>
          </cell>
        </row>
        <row r="2050">
          <cell r="A2050" t="str">
            <v>05</v>
          </cell>
          <cell r="B2050" t="str">
            <v>31</v>
          </cell>
          <cell r="C2050" t="str">
            <v>记-0031</v>
          </cell>
          <cell r="D2050" t="str">
            <v>155</v>
          </cell>
          <cell r="E2050" t="str">
            <v>南杏</v>
          </cell>
          <cell r="F2050" t="str">
            <v>转成本</v>
          </cell>
          <cell r="G2050">
            <v>17.99757</v>
          </cell>
          <cell r="H2050">
            <v>0</v>
          </cell>
          <cell r="I2050">
            <v>0</v>
          </cell>
          <cell r="J2050">
            <v>70</v>
          </cell>
          <cell r="K2050">
            <v>1259.83</v>
          </cell>
          <cell r="L2050" t="str">
            <v>贷</v>
          </cell>
          <cell r="M2050">
            <v>70</v>
          </cell>
          <cell r="N2050">
            <v>0</v>
          </cell>
          <cell r="O2050">
            <v>1259.83</v>
          </cell>
        </row>
        <row r="2051">
          <cell r="A2051" t="str">
            <v>05</v>
          </cell>
          <cell r="B2051" t="str">
            <v>31</v>
          </cell>
          <cell r="C2051" t="str">
            <v>记-0088</v>
          </cell>
          <cell r="D2051" t="str">
            <v>155</v>
          </cell>
          <cell r="E2051" t="str">
            <v>南杏</v>
          </cell>
          <cell r="F2051" t="str">
            <v>收购产品</v>
          </cell>
          <cell r="G2051">
            <v>17.99757</v>
          </cell>
          <cell r="H2051">
            <v>70</v>
          </cell>
          <cell r="I2051">
            <v>1259.83</v>
          </cell>
          <cell r="J2051">
            <v>0</v>
          </cell>
          <cell r="K2051">
            <v>0</v>
          </cell>
          <cell r="L2051" t="str">
            <v>平</v>
          </cell>
          <cell r="M2051">
            <v>0</v>
          </cell>
          <cell r="N2051">
            <v>0</v>
          </cell>
          <cell r="O2051">
            <v>0</v>
          </cell>
        </row>
        <row r="2052">
          <cell r="A2052" t="str">
            <v>05</v>
          </cell>
          <cell r="F2052" t="str">
            <v>本月合计</v>
          </cell>
          <cell r="G2052">
            <v>0</v>
          </cell>
          <cell r="H2052">
            <v>70</v>
          </cell>
          <cell r="I2052">
            <v>1259.83</v>
          </cell>
          <cell r="J2052">
            <v>70</v>
          </cell>
          <cell r="K2052">
            <v>1259.83</v>
          </cell>
          <cell r="L2052" t="str">
            <v>平</v>
          </cell>
          <cell r="M2052">
            <v>0</v>
          </cell>
          <cell r="N2052">
            <v>0</v>
          </cell>
          <cell r="O2052">
            <v>0</v>
          </cell>
        </row>
        <row r="2053">
          <cell r="A2053" t="str">
            <v>05</v>
          </cell>
          <cell r="E2053" t="str">
            <v>南杏</v>
          </cell>
          <cell r="F2053" t="str">
            <v>本年累计</v>
          </cell>
          <cell r="G2053">
            <v>0</v>
          </cell>
          <cell r="H2053">
            <v>70</v>
          </cell>
          <cell r="I2053">
            <v>1259.83</v>
          </cell>
          <cell r="J2053">
            <v>70</v>
          </cell>
          <cell r="K2053">
            <v>1259.83</v>
          </cell>
          <cell r="L2053" t="str">
            <v>平</v>
          </cell>
          <cell r="M2053">
            <v>0</v>
          </cell>
          <cell r="N2053">
            <v>0</v>
          </cell>
          <cell r="O2053">
            <v>0</v>
          </cell>
        </row>
        <row r="2054">
          <cell r="A2054" t="str">
            <v>05</v>
          </cell>
          <cell r="B2054" t="str">
            <v>31</v>
          </cell>
          <cell r="C2054" t="str">
            <v>记-0031</v>
          </cell>
          <cell r="D2054" t="str">
            <v>156</v>
          </cell>
          <cell r="E2054" t="str">
            <v>霸王花靓</v>
          </cell>
          <cell r="F2054" t="str">
            <v>转成本</v>
          </cell>
          <cell r="G2054">
            <v>21.4618</v>
          </cell>
          <cell r="H2054">
            <v>0</v>
          </cell>
          <cell r="I2054">
            <v>0</v>
          </cell>
          <cell r="J2054">
            <v>50</v>
          </cell>
          <cell r="K2054">
            <v>1073.0899999999999</v>
          </cell>
          <cell r="L2054" t="str">
            <v>贷</v>
          </cell>
          <cell r="M2054">
            <v>50</v>
          </cell>
          <cell r="N2054">
            <v>0</v>
          </cell>
          <cell r="O2054">
            <v>1073.0899999999999</v>
          </cell>
        </row>
        <row r="2055">
          <cell r="A2055" t="str">
            <v>05</v>
          </cell>
          <cell r="B2055" t="str">
            <v>31</v>
          </cell>
          <cell r="C2055" t="str">
            <v>记-0088</v>
          </cell>
          <cell r="D2055" t="str">
            <v>156</v>
          </cell>
          <cell r="E2055" t="str">
            <v>霸王花靓</v>
          </cell>
          <cell r="F2055" t="str">
            <v>收购产品</v>
          </cell>
          <cell r="G2055">
            <v>21.4618</v>
          </cell>
          <cell r="H2055">
            <v>50</v>
          </cell>
          <cell r="I2055">
            <v>1073.0899999999999</v>
          </cell>
          <cell r="J2055">
            <v>0</v>
          </cell>
          <cell r="K2055">
            <v>0</v>
          </cell>
          <cell r="L2055" t="str">
            <v>平</v>
          </cell>
          <cell r="M2055">
            <v>0</v>
          </cell>
          <cell r="N2055">
            <v>0</v>
          </cell>
          <cell r="O2055">
            <v>0</v>
          </cell>
        </row>
        <row r="2056">
          <cell r="A2056" t="str">
            <v>05</v>
          </cell>
          <cell r="F2056" t="str">
            <v>本月合计</v>
          </cell>
          <cell r="G2056">
            <v>0</v>
          </cell>
          <cell r="H2056">
            <v>50</v>
          </cell>
          <cell r="I2056">
            <v>1073.0899999999999</v>
          </cell>
          <cell r="J2056">
            <v>50</v>
          </cell>
          <cell r="K2056">
            <v>1073.0899999999999</v>
          </cell>
          <cell r="L2056" t="str">
            <v>平</v>
          </cell>
          <cell r="M2056">
            <v>0</v>
          </cell>
          <cell r="N2056">
            <v>0</v>
          </cell>
          <cell r="O2056">
            <v>0</v>
          </cell>
        </row>
        <row r="2057">
          <cell r="A2057" t="str">
            <v>05</v>
          </cell>
          <cell r="E2057" t="str">
            <v>霸王花靓</v>
          </cell>
          <cell r="F2057" t="str">
            <v>本年累计</v>
          </cell>
          <cell r="G2057">
            <v>0</v>
          </cell>
          <cell r="H2057">
            <v>50</v>
          </cell>
          <cell r="I2057">
            <v>1073.0899999999999</v>
          </cell>
          <cell r="J2057">
            <v>50</v>
          </cell>
          <cell r="K2057">
            <v>1073.0899999999999</v>
          </cell>
          <cell r="L2057" t="str">
            <v>平</v>
          </cell>
          <cell r="M2057">
            <v>0</v>
          </cell>
          <cell r="N2057">
            <v>0</v>
          </cell>
          <cell r="O2057">
            <v>0</v>
          </cell>
        </row>
        <row r="2058">
          <cell r="A2058" t="str">
            <v>05</v>
          </cell>
          <cell r="B2058" t="str">
            <v>31</v>
          </cell>
          <cell r="C2058" t="str">
            <v>记-0031</v>
          </cell>
          <cell r="D2058" t="str">
            <v>157</v>
          </cell>
          <cell r="E2058" t="str">
            <v>北芪</v>
          </cell>
          <cell r="F2058" t="str">
            <v>转成本</v>
          </cell>
          <cell r="G2058">
            <v>31.457699999999999</v>
          </cell>
          <cell r="H2058">
            <v>0</v>
          </cell>
          <cell r="I2058">
            <v>0</v>
          </cell>
          <cell r="J2058">
            <v>43.5</v>
          </cell>
          <cell r="K2058">
            <v>1368.41</v>
          </cell>
          <cell r="L2058" t="str">
            <v>贷</v>
          </cell>
          <cell r="M2058">
            <v>43.5</v>
          </cell>
          <cell r="N2058">
            <v>0</v>
          </cell>
          <cell r="O2058">
            <v>1368.41</v>
          </cell>
        </row>
        <row r="2059">
          <cell r="A2059" t="str">
            <v>05</v>
          </cell>
          <cell r="B2059" t="str">
            <v>31</v>
          </cell>
          <cell r="C2059" t="str">
            <v>记-0088</v>
          </cell>
          <cell r="D2059" t="str">
            <v>157</v>
          </cell>
          <cell r="E2059" t="str">
            <v>北芪</v>
          </cell>
          <cell r="F2059" t="str">
            <v>收购产品</v>
          </cell>
          <cell r="G2059">
            <v>31.457699999999999</v>
          </cell>
          <cell r="H2059">
            <v>43.5</v>
          </cell>
          <cell r="I2059">
            <v>1368.41</v>
          </cell>
          <cell r="J2059">
            <v>0</v>
          </cell>
          <cell r="K2059">
            <v>0</v>
          </cell>
          <cell r="L2059" t="str">
            <v>平</v>
          </cell>
          <cell r="M2059">
            <v>0</v>
          </cell>
          <cell r="N2059">
            <v>0</v>
          </cell>
          <cell r="O2059">
            <v>0</v>
          </cell>
        </row>
        <row r="2060">
          <cell r="A2060" t="str">
            <v>05</v>
          </cell>
          <cell r="F2060" t="str">
            <v>本月合计</v>
          </cell>
          <cell r="G2060">
            <v>0</v>
          </cell>
          <cell r="H2060">
            <v>43.5</v>
          </cell>
          <cell r="I2060">
            <v>1368.41</v>
          </cell>
          <cell r="J2060">
            <v>43.5</v>
          </cell>
          <cell r="K2060">
            <v>1368.41</v>
          </cell>
          <cell r="L2060" t="str">
            <v>平</v>
          </cell>
          <cell r="M2060">
            <v>0</v>
          </cell>
          <cell r="N2060">
            <v>0</v>
          </cell>
          <cell r="O2060">
            <v>0</v>
          </cell>
        </row>
        <row r="2061">
          <cell r="A2061" t="str">
            <v>05</v>
          </cell>
          <cell r="E2061" t="str">
            <v>北芪</v>
          </cell>
          <cell r="F2061" t="str">
            <v>本年累计</v>
          </cell>
          <cell r="G2061">
            <v>0</v>
          </cell>
          <cell r="H2061">
            <v>43.5</v>
          </cell>
          <cell r="I2061">
            <v>1368.41</v>
          </cell>
          <cell r="J2061">
            <v>43.5</v>
          </cell>
          <cell r="K2061">
            <v>1368.41</v>
          </cell>
          <cell r="L2061" t="str">
            <v>平</v>
          </cell>
          <cell r="M2061">
            <v>0</v>
          </cell>
          <cell r="N2061">
            <v>0</v>
          </cell>
          <cell r="O2061">
            <v>0</v>
          </cell>
        </row>
        <row r="2062">
          <cell r="A2062" t="str">
            <v>03</v>
          </cell>
          <cell r="B2062" t="str">
            <v>31</v>
          </cell>
          <cell r="C2062" t="str">
            <v>记-0045</v>
          </cell>
          <cell r="D2062" t="str">
            <v>158</v>
          </cell>
          <cell r="E2062" t="str">
            <v>虫草</v>
          </cell>
          <cell r="F2062" t="str">
            <v>转成本</v>
          </cell>
          <cell r="G2062">
            <v>17100.737099999998</v>
          </cell>
          <cell r="H2062">
            <v>0</v>
          </cell>
          <cell r="I2062">
            <v>0</v>
          </cell>
          <cell r="J2062">
            <v>244.2</v>
          </cell>
          <cell r="K2062">
            <v>4176000</v>
          </cell>
          <cell r="L2062" t="str">
            <v>贷</v>
          </cell>
          <cell r="M2062">
            <v>244.2</v>
          </cell>
          <cell r="N2062">
            <v>0</v>
          </cell>
          <cell r="O2062">
            <v>4176000</v>
          </cell>
        </row>
        <row r="2063">
          <cell r="A2063" t="str">
            <v>03</v>
          </cell>
          <cell r="B2063" t="str">
            <v>31</v>
          </cell>
          <cell r="C2063" t="str">
            <v>记-0048</v>
          </cell>
          <cell r="D2063" t="str">
            <v>158</v>
          </cell>
          <cell r="E2063" t="str">
            <v>虫草</v>
          </cell>
          <cell r="F2063" t="str">
            <v>补记成本</v>
          </cell>
          <cell r="G2063">
            <v>0</v>
          </cell>
          <cell r="H2063">
            <v>0</v>
          </cell>
          <cell r="I2063">
            <v>0</v>
          </cell>
          <cell r="J2063">
            <v>0</v>
          </cell>
          <cell r="K2063">
            <v>45000</v>
          </cell>
          <cell r="L2063" t="str">
            <v>贷</v>
          </cell>
          <cell r="M2063">
            <v>244.2</v>
          </cell>
          <cell r="N2063">
            <v>0</v>
          </cell>
          <cell r="O2063">
            <v>4221000</v>
          </cell>
        </row>
        <row r="2064">
          <cell r="A2064" t="str">
            <v>03</v>
          </cell>
          <cell r="B2064" t="str">
            <v>31</v>
          </cell>
          <cell r="C2064" t="str">
            <v>记-0058</v>
          </cell>
          <cell r="D2064" t="str">
            <v>158</v>
          </cell>
          <cell r="E2064" t="str">
            <v>虫草</v>
          </cell>
          <cell r="F2064" t="str">
            <v>收购产品</v>
          </cell>
          <cell r="G2064">
            <v>16647.744360000001</v>
          </cell>
          <cell r="H2064">
            <v>13.3</v>
          </cell>
          <cell r="I2064">
            <v>221415</v>
          </cell>
          <cell r="J2064">
            <v>0</v>
          </cell>
          <cell r="K2064">
            <v>0</v>
          </cell>
          <cell r="L2064" t="str">
            <v>贷</v>
          </cell>
          <cell r="M2064">
            <v>230.9</v>
          </cell>
          <cell r="N2064">
            <v>0</v>
          </cell>
          <cell r="O2064">
            <v>3999585</v>
          </cell>
        </row>
        <row r="2065">
          <cell r="A2065" t="str">
            <v>03</v>
          </cell>
          <cell r="B2065" t="str">
            <v>31</v>
          </cell>
          <cell r="C2065" t="str">
            <v>记-0059</v>
          </cell>
          <cell r="D2065" t="str">
            <v>158</v>
          </cell>
          <cell r="E2065" t="str">
            <v>虫草</v>
          </cell>
          <cell r="F2065" t="str">
            <v>收购产品</v>
          </cell>
          <cell r="G2065">
            <v>16995.348839999999</v>
          </cell>
          <cell r="H2065">
            <v>21.5</v>
          </cell>
          <cell r="I2065">
            <v>365400</v>
          </cell>
          <cell r="J2065">
            <v>0</v>
          </cell>
          <cell r="K2065">
            <v>0</v>
          </cell>
          <cell r="L2065" t="str">
            <v>贷</v>
          </cell>
          <cell r="M2065">
            <v>209.4</v>
          </cell>
          <cell r="N2065">
            <v>0</v>
          </cell>
          <cell r="O2065">
            <v>3634185</v>
          </cell>
        </row>
        <row r="2066">
          <cell r="A2066" t="str">
            <v>03</v>
          </cell>
          <cell r="B2066" t="str">
            <v>31</v>
          </cell>
          <cell r="C2066" t="str">
            <v>记-0060</v>
          </cell>
          <cell r="D2066" t="str">
            <v>158</v>
          </cell>
          <cell r="E2066" t="str">
            <v>虫草</v>
          </cell>
          <cell r="F2066" t="str">
            <v>收购产品</v>
          </cell>
          <cell r="G2066">
            <v>17400</v>
          </cell>
          <cell r="H2066">
            <v>7.5</v>
          </cell>
          <cell r="I2066">
            <v>130500</v>
          </cell>
          <cell r="J2066">
            <v>0</v>
          </cell>
          <cell r="K2066">
            <v>0</v>
          </cell>
          <cell r="L2066" t="str">
            <v>贷</v>
          </cell>
          <cell r="M2066">
            <v>201.9</v>
          </cell>
          <cell r="N2066">
            <v>0</v>
          </cell>
          <cell r="O2066">
            <v>3503685</v>
          </cell>
        </row>
        <row r="2067">
          <cell r="A2067" t="str">
            <v>03</v>
          </cell>
          <cell r="B2067" t="str">
            <v>31</v>
          </cell>
          <cell r="C2067" t="str">
            <v>记-0061</v>
          </cell>
          <cell r="D2067" t="str">
            <v>158</v>
          </cell>
          <cell r="E2067" t="str">
            <v>虫草</v>
          </cell>
          <cell r="F2067" t="str">
            <v>收购产品</v>
          </cell>
          <cell r="G2067">
            <v>16927.60181</v>
          </cell>
          <cell r="H2067">
            <v>22.1</v>
          </cell>
          <cell r="I2067">
            <v>374100</v>
          </cell>
          <cell r="J2067">
            <v>0</v>
          </cell>
          <cell r="K2067">
            <v>0</v>
          </cell>
          <cell r="L2067" t="str">
            <v>贷</v>
          </cell>
          <cell r="M2067">
            <v>179.8</v>
          </cell>
          <cell r="N2067">
            <v>0</v>
          </cell>
          <cell r="O2067">
            <v>3129585</v>
          </cell>
        </row>
        <row r="2068">
          <cell r="A2068" t="str">
            <v>03</v>
          </cell>
          <cell r="B2068" t="str">
            <v>31</v>
          </cell>
          <cell r="C2068" t="str">
            <v>记-0062</v>
          </cell>
          <cell r="D2068" t="str">
            <v>158</v>
          </cell>
          <cell r="E2068" t="str">
            <v>虫草</v>
          </cell>
          <cell r="F2068" t="str">
            <v>收购产品</v>
          </cell>
          <cell r="G2068">
            <v>17213.903740000002</v>
          </cell>
          <cell r="H2068">
            <v>18.7</v>
          </cell>
          <cell r="I2068">
            <v>321900</v>
          </cell>
          <cell r="J2068">
            <v>0</v>
          </cell>
          <cell r="K2068">
            <v>0</v>
          </cell>
          <cell r="L2068" t="str">
            <v>贷</v>
          </cell>
          <cell r="M2068">
            <v>161.1</v>
          </cell>
          <cell r="N2068">
            <v>0</v>
          </cell>
          <cell r="O2068">
            <v>2807685</v>
          </cell>
        </row>
        <row r="2069">
          <cell r="A2069" t="str">
            <v>03</v>
          </cell>
          <cell r="B2069" t="str">
            <v>31</v>
          </cell>
          <cell r="C2069" t="str">
            <v>记-0063</v>
          </cell>
          <cell r="D2069" t="str">
            <v>158</v>
          </cell>
          <cell r="E2069" t="str">
            <v>虫草</v>
          </cell>
          <cell r="F2069" t="str">
            <v>收购产品</v>
          </cell>
          <cell r="G2069">
            <v>16747.5</v>
          </cell>
          <cell r="H2069">
            <v>20</v>
          </cell>
          <cell r="I2069">
            <v>334950</v>
          </cell>
          <cell r="J2069">
            <v>0</v>
          </cell>
          <cell r="K2069">
            <v>0</v>
          </cell>
          <cell r="L2069" t="str">
            <v>贷</v>
          </cell>
          <cell r="M2069">
            <v>141.1</v>
          </cell>
          <cell r="N2069">
            <v>0</v>
          </cell>
          <cell r="O2069">
            <v>2472735</v>
          </cell>
        </row>
        <row r="2070">
          <cell r="A2070" t="str">
            <v>03</v>
          </cell>
          <cell r="B2070" t="str">
            <v>31</v>
          </cell>
          <cell r="C2070" t="str">
            <v>记-0064</v>
          </cell>
          <cell r="D2070" t="str">
            <v>158</v>
          </cell>
          <cell r="E2070" t="str">
            <v>虫草</v>
          </cell>
          <cell r="F2070" t="str">
            <v>收购产品</v>
          </cell>
          <cell r="G2070">
            <v>17171.052629999998</v>
          </cell>
          <cell r="H2070">
            <v>19</v>
          </cell>
          <cell r="I2070">
            <v>326250</v>
          </cell>
          <cell r="J2070">
            <v>0</v>
          </cell>
          <cell r="K2070">
            <v>0</v>
          </cell>
          <cell r="L2070" t="str">
            <v>贷</v>
          </cell>
          <cell r="M2070">
            <v>122.1</v>
          </cell>
          <cell r="N2070">
            <v>0</v>
          </cell>
          <cell r="O2070">
            <v>2146485</v>
          </cell>
        </row>
        <row r="2071">
          <cell r="A2071" t="str">
            <v>03</v>
          </cell>
          <cell r="B2071" t="str">
            <v>31</v>
          </cell>
          <cell r="C2071" t="str">
            <v>记-0065</v>
          </cell>
          <cell r="D2071" t="str">
            <v>158</v>
          </cell>
          <cell r="E2071" t="str">
            <v>虫草</v>
          </cell>
          <cell r="F2071" t="str">
            <v>收购产品</v>
          </cell>
          <cell r="G2071">
            <v>15935.64356</v>
          </cell>
          <cell r="H2071">
            <v>20.2</v>
          </cell>
          <cell r="I2071">
            <v>321900</v>
          </cell>
          <cell r="J2071">
            <v>0</v>
          </cell>
          <cell r="K2071">
            <v>0</v>
          </cell>
          <cell r="L2071" t="str">
            <v>贷</v>
          </cell>
          <cell r="M2071">
            <v>101.9</v>
          </cell>
          <cell r="N2071">
            <v>0</v>
          </cell>
          <cell r="O2071">
            <v>1824585</v>
          </cell>
        </row>
        <row r="2072">
          <cell r="A2072" t="str">
            <v>03</v>
          </cell>
          <cell r="B2072" t="str">
            <v>31</v>
          </cell>
          <cell r="C2072" t="str">
            <v>记-0066</v>
          </cell>
          <cell r="D2072" t="str">
            <v>158</v>
          </cell>
          <cell r="E2072" t="str">
            <v>虫草</v>
          </cell>
          <cell r="F2072" t="str">
            <v>收购产品</v>
          </cell>
          <cell r="G2072">
            <v>17400</v>
          </cell>
          <cell r="H2072">
            <v>17.5</v>
          </cell>
          <cell r="I2072">
            <v>304500</v>
          </cell>
          <cell r="J2072">
            <v>0</v>
          </cell>
          <cell r="K2072">
            <v>0</v>
          </cell>
          <cell r="L2072" t="str">
            <v>贷</v>
          </cell>
          <cell r="M2072">
            <v>84.4</v>
          </cell>
          <cell r="N2072">
            <v>0</v>
          </cell>
          <cell r="O2072">
            <v>1520085</v>
          </cell>
        </row>
        <row r="2073">
          <cell r="A2073" t="str">
            <v>03</v>
          </cell>
          <cell r="B2073" t="str">
            <v>31</v>
          </cell>
          <cell r="C2073" t="str">
            <v>记-0067</v>
          </cell>
          <cell r="D2073" t="str">
            <v>158</v>
          </cell>
          <cell r="E2073" t="str">
            <v>虫草</v>
          </cell>
          <cell r="F2073" t="str">
            <v>收购产品</v>
          </cell>
          <cell r="G2073">
            <v>17400</v>
          </cell>
          <cell r="H2073">
            <v>20</v>
          </cell>
          <cell r="I2073">
            <v>348000</v>
          </cell>
          <cell r="J2073">
            <v>0</v>
          </cell>
          <cell r="K2073">
            <v>0</v>
          </cell>
          <cell r="L2073" t="str">
            <v>贷</v>
          </cell>
          <cell r="M2073">
            <v>64.400000000000006</v>
          </cell>
          <cell r="N2073">
            <v>0</v>
          </cell>
          <cell r="O2073">
            <v>1172085</v>
          </cell>
        </row>
        <row r="2074">
          <cell r="A2074" t="str">
            <v>03</v>
          </cell>
          <cell r="B2074" t="str">
            <v>31</v>
          </cell>
          <cell r="C2074" t="str">
            <v>记-0068</v>
          </cell>
          <cell r="D2074" t="str">
            <v>158</v>
          </cell>
          <cell r="E2074" t="str">
            <v>虫草</v>
          </cell>
          <cell r="F2074" t="str">
            <v>收购产品</v>
          </cell>
          <cell r="G2074">
            <v>17400</v>
          </cell>
          <cell r="H2074">
            <v>22.5</v>
          </cell>
          <cell r="I2074">
            <v>391500</v>
          </cell>
          <cell r="J2074">
            <v>0</v>
          </cell>
          <cell r="K2074">
            <v>0</v>
          </cell>
          <cell r="L2074" t="str">
            <v>贷</v>
          </cell>
          <cell r="M2074">
            <v>41.9</v>
          </cell>
          <cell r="N2074">
            <v>0</v>
          </cell>
          <cell r="O2074">
            <v>780585</v>
          </cell>
        </row>
        <row r="2075">
          <cell r="A2075" t="str">
            <v>03</v>
          </cell>
          <cell r="B2075" t="str">
            <v>31</v>
          </cell>
          <cell r="C2075" t="str">
            <v>记-0069</v>
          </cell>
          <cell r="D2075" t="str">
            <v>158</v>
          </cell>
          <cell r="E2075" t="str">
            <v>虫草</v>
          </cell>
          <cell r="F2075" t="str">
            <v>收购产品</v>
          </cell>
          <cell r="G2075">
            <v>21606.198349999999</v>
          </cell>
          <cell r="H2075">
            <v>12.1</v>
          </cell>
          <cell r="I2075">
            <v>261435</v>
          </cell>
          <cell r="J2075">
            <v>0</v>
          </cell>
          <cell r="K2075">
            <v>0</v>
          </cell>
          <cell r="L2075" t="str">
            <v>贷</v>
          </cell>
          <cell r="M2075">
            <v>29.8</v>
          </cell>
          <cell r="N2075">
            <v>0</v>
          </cell>
          <cell r="O2075">
            <v>519150</v>
          </cell>
        </row>
        <row r="2076">
          <cell r="A2076" t="str">
            <v>03</v>
          </cell>
          <cell r="B2076" t="str">
            <v>31</v>
          </cell>
          <cell r="C2076" t="str">
            <v>记-0070</v>
          </cell>
          <cell r="D2076" t="str">
            <v>158</v>
          </cell>
          <cell r="E2076" t="str">
            <v>虫草</v>
          </cell>
          <cell r="F2076" t="str">
            <v>收购产品</v>
          </cell>
          <cell r="G2076">
            <v>17339.16084</v>
          </cell>
          <cell r="H2076">
            <v>14.3</v>
          </cell>
          <cell r="I2076">
            <v>247950</v>
          </cell>
          <cell r="J2076">
            <v>0</v>
          </cell>
          <cell r="K2076">
            <v>0</v>
          </cell>
          <cell r="L2076" t="str">
            <v>贷</v>
          </cell>
          <cell r="M2076">
            <v>15.5</v>
          </cell>
          <cell r="N2076">
            <v>0</v>
          </cell>
          <cell r="O2076">
            <v>271200</v>
          </cell>
        </row>
        <row r="2077">
          <cell r="A2077" t="str">
            <v>03</v>
          </cell>
          <cell r="B2077" t="str">
            <v>31</v>
          </cell>
          <cell r="C2077" t="str">
            <v>记-0078</v>
          </cell>
          <cell r="D2077" t="str">
            <v>158</v>
          </cell>
          <cell r="E2077" t="str">
            <v>虫草</v>
          </cell>
          <cell r="F2077" t="str">
            <v>付货款</v>
          </cell>
          <cell r="G2077">
            <v>18694.21488</v>
          </cell>
          <cell r="H2077">
            <v>12.1</v>
          </cell>
          <cell r="I2077">
            <v>226200</v>
          </cell>
          <cell r="J2077">
            <v>0</v>
          </cell>
          <cell r="K2077">
            <v>0</v>
          </cell>
          <cell r="L2077" t="str">
            <v>贷</v>
          </cell>
          <cell r="M2077">
            <v>3.4</v>
          </cell>
          <cell r="N2077">
            <v>0</v>
          </cell>
          <cell r="O2077">
            <v>45000</v>
          </cell>
        </row>
        <row r="2078">
          <cell r="A2078" t="str">
            <v>03</v>
          </cell>
          <cell r="F2078" t="str">
            <v>本月合计</v>
          </cell>
          <cell r="G2078">
            <v>0</v>
          </cell>
          <cell r="H2078">
            <v>240.8</v>
          </cell>
          <cell r="I2078">
            <v>4176000</v>
          </cell>
          <cell r="J2078">
            <v>244.2</v>
          </cell>
          <cell r="K2078">
            <v>4221000</v>
          </cell>
          <cell r="L2078" t="str">
            <v>贷</v>
          </cell>
          <cell r="M2078">
            <v>3.4</v>
          </cell>
          <cell r="N2078">
            <v>13235.29412</v>
          </cell>
          <cell r="O2078">
            <v>45000</v>
          </cell>
        </row>
        <row r="2079">
          <cell r="A2079" t="str">
            <v>03</v>
          </cell>
          <cell r="F2079" t="str">
            <v>累    计</v>
          </cell>
          <cell r="G2079">
            <v>0</v>
          </cell>
          <cell r="H2079">
            <v>240.8</v>
          </cell>
          <cell r="I2079">
            <v>4176000</v>
          </cell>
          <cell r="J2079">
            <v>244.2</v>
          </cell>
          <cell r="K2079">
            <v>4221000</v>
          </cell>
          <cell r="L2079" t="str">
            <v>贷</v>
          </cell>
          <cell r="M2079">
            <v>3.4</v>
          </cell>
          <cell r="N2079">
            <v>13235.29412</v>
          </cell>
          <cell r="O2079">
            <v>45000</v>
          </cell>
        </row>
        <row r="2080">
          <cell r="A2080" t="str">
            <v>04</v>
          </cell>
          <cell r="B2080" t="str">
            <v>30</v>
          </cell>
          <cell r="C2080" t="str">
            <v>记-0031</v>
          </cell>
          <cell r="D2080" t="str">
            <v>158</v>
          </cell>
          <cell r="E2080" t="str">
            <v>虫草</v>
          </cell>
          <cell r="F2080" t="str">
            <v>收购产品</v>
          </cell>
          <cell r="G2080">
            <v>22620</v>
          </cell>
          <cell r="H2080">
            <v>3</v>
          </cell>
          <cell r="I2080">
            <v>67860</v>
          </cell>
          <cell r="J2080">
            <v>0</v>
          </cell>
          <cell r="K2080">
            <v>0</v>
          </cell>
          <cell r="L2080" t="str">
            <v>借</v>
          </cell>
          <cell r="M2080">
            <v>-0.4</v>
          </cell>
          <cell r="N2080">
            <v>0</v>
          </cell>
          <cell r="O2080">
            <v>22860</v>
          </cell>
        </row>
        <row r="2081">
          <cell r="A2081" t="str">
            <v>04</v>
          </cell>
          <cell r="B2081" t="str">
            <v>30</v>
          </cell>
          <cell r="C2081" t="str">
            <v>记-0033</v>
          </cell>
          <cell r="D2081" t="str">
            <v>158</v>
          </cell>
          <cell r="E2081" t="str">
            <v>虫草</v>
          </cell>
          <cell r="F2081" t="str">
            <v>收购产品</v>
          </cell>
          <cell r="G2081">
            <v>17400</v>
          </cell>
          <cell r="H2081">
            <v>18</v>
          </cell>
          <cell r="I2081">
            <v>313200</v>
          </cell>
          <cell r="J2081">
            <v>0</v>
          </cell>
          <cell r="K2081">
            <v>0</v>
          </cell>
          <cell r="L2081" t="str">
            <v>借</v>
          </cell>
          <cell r="M2081">
            <v>17.600000000000001</v>
          </cell>
          <cell r="N2081">
            <v>0</v>
          </cell>
          <cell r="O2081">
            <v>336060</v>
          </cell>
        </row>
        <row r="2082">
          <cell r="A2082" t="str">
            <v>04</v>
          </cell>
          <cell r="B2082" t="str">
            <v>30</v>
          </cell>
          <cell r="C2082" t="str">
            <v>记-0034</v>
          </cell>
          <cell r="D2082" t="str">
            <v>158</v>
          </cell>
          <cell r="E2082" t="str">
            <v>虫草</v>
          </cell>
          <cell r="F2082" t="str">
            <v>收购产品</v>
          </cell>
          <cell r="G2082">
            <v>17400</v>
          </cell>
          <cell r="H2082">
            <v>15</v>
          </cell>
          <cell r="I2082">
            <v>261000</v>
          </cell>
          <cell r="J2082">
            <v>0</v>
          </cell>
          <cell r="K2082">
            <v>0</v>
          </cell>
          <cell r="L2082" t="str">
            <v>借</v>
          </cell>
          <cell r="M2082">
            <v>32.6</v>
          </cell>
          <cell r="N2082">
            <v>0</v>
          </cell>
          <cell r="O2082">
            <v>597060</v>
          </cell>
        </row>
        <row r="2083">
          <cell r="A2083" t="str">
            <v>04</v>
          </cell>
          <cell r="B2083" t="str">
            <v>30</v>
          </cell>
          <cell r="C2083" t="str">
            <v>记-0035</v>
          </cell>
          <cell r="D2083" t="str">
            <v>158</v>
          </cell>
          <cell r="E2083" t="str">
            <v>虫草</v>
          </cell>
          <cell r="F2083" t="str">
            <v>收购产品</v>
          </cell>
          <cell r="G2083">
            <v>17400</v>
          </cell>
          <cell r="H2083">
            <v>17.5</v>
          </cell>
          <cell r="I2083">
            <v>304500</v>
          </cell>
          <cell r="J2083">
            <v>0</v>
          </cell>
          <cell r="K2083">
            <v>0</v>
          </cell>
          <cell r="L2083" t="str">
            <v>借</v>
          </cell>
          <cell r="M2083">
            <v>50.1</v>
          </cell>
          <cell r="N2083">
            <v>0</v>
          </cell>
          <cell r="O2083">
            <v>901560</v>
          </cell>
        </row>
        <row r="2084">
          <cell r="A2084" t="str">
            <v>04</v>
          </cell>
          <cell r="B2084" t="str">
            <v>30</v>
          </cell>
          <cell r="C2084" t="str">
            <v>记-0036</v>
          </cell>
          <cell r="D2084" t="str">
            <v>158</v>
          </cell>
          <cell r="E2084" t="str">
            <v>虫草</v>
          </cell>
          <cell r="F2084" t="str">
            <v>收购产品</v>
          </cell>
          <cell r="G2084">
            <v>15914.63415</v>
          </cell>
          <cell r="H2084">
            <v>8.1999999999999993</v>
          </cell>
          <cell r="I2084">
            <v>130500</v>
          </cell>
          <cell r="J2084">
            <v>0</v>
          </cell>
          <cell r="K2084">
            <v>0</v>
          </cell>
          <cell r="L2084" t="str">
            <v>借</v>
          </cell>
          <cell r="M2084">
            <v>58.3</v>
          </cell>
          <cell r="N2084">
            <v>0</v>
          </cell>
          <cell r="O2084">
            <v>1032060</v>
          </cell>
        </row>
        <row r="2085">
          <cell r="A2085" t="str">
            <v>04</v>
          </cell>
          <cell r="B2085" t="str">
            <v>30</v>
          </cell>
          <cell r="C2085" t="str">
            <v>记-0037</v>
          </cell>
          <cell r="D2085" t="str">
            <v>158</v>
          </cell>
          <cell r="E2085" t="str">
            <v>虫草</v>
          </cell>
          <cell r="F2085" t="str">
            <v>收购产品</v>
          </cell>
          <cell r="G2085">
            <v>14790</v>
          </cell>
          <cell r="H2085">
            <v>20</v>
          </cell>
          <cell r="I2085">
            <v>295800</v>
          </cell>
          <cell r="J2085">
            <v>0</v>
          </cell>
          <cell r="K2085">
            <v>0</v>
          </cell>
          <cell r="L2085" t="str">
            <v>借</v>
          </cell>
          <cell r="M2085">
            <v>78.3</v>
          </cell>
          <cell r="N2085">
            <v>0</v>
          </cell>
          <cell r="O2085">
            <v>1327860</v>
          </cell>
        </row>
        <row r="2086">
          <cell r="A2086" t="str">
            <v>04</v>
          </cell>
          <cell r="B2086" t="str">
            <v>30</v>
          </cell>
          <cell r="C2086" t="str">
            <v>记-0038</v>
          </cell>
          <cell r="D2086" t="str">
            <v>158</v>
          </cell>
          <cell r="E2086" t="str">
            <v>虫草</v>
          </cell>
          <cell r="F2086" t="str">
            <v>收购产品</v>
          </cell>
          <cell r="G2086">
            <v>18119.448700000001</v>
          </cell>
          <cell r="H2086">
            <v>16.324999999999999</v>
          </cell>
          <cell r="I2086">
            <v>295800</v>
          </cell>
          <cell r="J2086">
            <v>0</v>
          </cell>
          <cell r="K2086">
            <v>0</v>
          </cell>
          <cell r="L2086" t="str">
            <v>借</v>
          </cell>
          <cell r="M2086">
            <v>94.625</v>
          </cell>
          <cell r="N2086">
            <v>0</v>
          </cell>
          <cell r="O2086">
            <v>1623660</v>
          </cell>
        </row>
        <row r="2087">
          <cell r="A2087" t="str">
            <v>04</v>
          </cell>
          <cell r="B2087" t="str">
            <v>30</v>
          </cell>
          <cell r="C2087" t="str">
            <v>记-0039</v>
          </cell>
          <cell r="D2087" t="str">
            <v>158</v>
          </cell>
          <cell r="E2087" t="str">
            <v>虫草</v>
          </cell>
          <cell r="F2087" t="str">
            <v>收购产品</v>
          </cell>
          <cell r="G2087">
            <v>16571.42857</v>
          </cell>
          <cell r="H2087">
            <v>21</v>
          </cell>
          <cell r="I2087">
            <v>348000</v>
          </cell>
          <cell r="J2087">
            <v>0</v>
          </cell>
          <cell r="K2087">
            <v>0</v>
          </cell>
          <cell r="L2087" t="str">
            <v>借</v>
          </cell>
          <cell r="M2087">
            <v>115.625</v>
          </cell>
          <cell r="N2087">
            <v>0</v>
          </cell>
          <cell r="O2087">
            <v>1971660</v>
          </cell>
        </row>
        <row r="2088">
          <cell r="A2088" t="str">
            <v>04</v>
          </cell>
          <cell r="B2088" t="str">
            <v>30</v>
          </cell>
          <cell r="C2088" t="str">
            <v>记-0040</v>
          </cell>
          <cell r="D2088" t="str">
            <v>158</v>
          </cell>
          <cell r="E2088" t="str">
            <v>虫草</v>
          </cell>
          <cell r="F2088" t="str">
            <v>收购产品</v>
          </cell>
          <cell r="G2088">
            <v>14739.66942</v>
          </cell>
          <cell r="H2088">
            <v>24.2</v>
          </cell>
          <cell r="I2088">
            <v>356700</v>
          </cell>
          <cell r="J2088">
            <v>0</v>
          </cell>
          <cell r="K2088">
            <v>0</v>
          </cell>
          <cell r="L2088" t="str">
            <v>借</v>
          </cell>
          <cell r="M2088">
            <v>139.82499999999999</v>
          </cell>
          <cell r="N2088">
            <v>0</v>
          </cell>
          <cell r="O2088">
            <v>2328360</v>
          </cell>
        </row>
        <row r="2089">
          <cell r="A2089" t="str">
            <v>04</v>
          </cell>
          <cell r="B2089" t="str">
            <v>30</v>
          </cell>
          <cell r="C2089" t="str">
            <v>记-0048</v>
          </cell>
          <cell r="D2089" t="str">
            <v>158</v>
          </cell>
          <cell r="E2089" t="str">
            <v>虫草</v>
          </cell>
          <cell r="F2089" t="str">
            <v>转成本</v>
          </cell>
          <cell r="G2089">
            <v>16441.433410000001</v>
          </cell>
          <cell r="H2089">
            <v>0</v>
          </cell>
          <cell r="I2089">
            <v>0</v>
          </cell>
          <cell r="J2089">
            <v>140.22499999999999</v>
          </cell>
          <cell r="K2089">
            <v>2305500</v>
          </cell>
          <cell r="L2089" t="str">
            <v>借</v>
          </cell>
          <cell r="M2089">
            <v>-0.4</v>
          </cell>
          <cell r="N2089">
            <v>0</v>
          </cell>
          <cell r="O2089">
            <v>22860</v>
          </cell>
        </row>
        <row r="2090">
          <cell r="A2090" t="str">
            <v>04</v>
          </cell>
          <cell r="F2090" t="str">
            <v>本月合计</v>
          </cell>
          <cell r="G2090">
            <v>0</v>
          </cell>
          <cell r="H2090">
            <v>143.22499999999999</v>
          </cell>
          <cell r="I2090">
            <v>2373360</v>
          </cell>
          <cell r="J2090">
            <v>140.22499999999999</v>
          </cell>
          <cell r="K2090">
            <v>2305500</v>
          </cell>
          <cell r="L2090" t="str">
            <v>借</v>
          </cell>
          <cell r="M2090">
            <v>-0.4</v>
          </cell>
          <cell r="N2090">
            <v>57150</v>
          </cell>
          <cell r="O2090">
            <v>22860</v>
          </cell>
        </row>
        <row r="2091">
          <cell r="A2091" t="str">
            <v>04</v>
          </cell>
          <cell r="F2091" t="str">
            <v>累    计</v>
          </cell>
          <cell r="G2091">
            <v>0</v>
          </cell>
          <cell r="H2091">
            <v>384.02499999999998</v>
          </cell>
          <cell r="I2091">
            <v>6549360</v>
          </cell>
          <cell r="J2091">
            <v>384.42500000000001</v>
          </cell>
          <cell r="K2091">
            <v>6526500</v>
          </cell>
          <cell r="L2091" t="str">
            <v>借</v>
          </cell>
          <cell r="M2091">
            <v>-0.4</v>
          </cell>
          <cell r="N2091">
            <v>57150</v>
          </cell>
          <cell r="O2091">
            <v>22860</v>
          </cell>
        </row>
        <row r="2092">
          <cell r="A2092" t="str">
            <v>05</v>
          </cell>
          <cell r="B2092" t="str">
            <v>31</v>
          </cell>
          <cell r="C2092" t="str">
            <v>记-0046</v>
          </cell>
          <cell r="D2092" t="str">
            <v>158</v>
          </cell>
          <cell r="E2092" t="str">
            <v>虫草</v>
          </cell>
          <cell r="F2092" t="str">
            <v>收购产品</v>
          </cell>
          <cell r="G2092">
            <v>17139</v>
          </cell>
          <cell r="H2092">
            <v>5</v>
          </cell>
          <cell r="I2092">
            <v>85695</v>
          </cell>
          <cell r="J2092">
            <v>0</v>
          </cell>
          <cell r="K2092">
            <v>0</v>
          </cell>
          <cell r="L2092" t="str">
            <v>借</v>
          </cell>
          <cell r="M2092">
            <v>4.5999999999999996</v>
          </cell>
          <cell r="N2092">
            <v>0</v>
          </cell>
          <cell r="O2092">
            <v>108555</v>
          </cell>
        </row>
        <row r="2093">
          <cell r="A2093" t="str">
            <v>05</v>
          </cell>
          <cell r="B2093" t="str">
            <v>31</v>
          </cell>
          <cell r="C2093" t="str">
            <v>记-0046</v>
          </cell>
          <cell r="D2093" t="str">
            <v>158</v>
          </cell>
          <cell r="E2093" t="str">
            <v>虫草</v>
          </cell>
          <cell r="F2093" t="str">
            <v>收购产品</v>
          </cell>
          <cell r="G2093">
            <v>15573</v>
          </cell>
          <cell r="H2093">
            <v>5</v>
          </cell>
          <cell r="I2093">
            <v>77865</v>
          </cell>
          <cell r="J2093">
            <v>0</v>
          </cell>
          <cell r="K2093">
            <v>0</v>
          </cell>
          <cell r="L2093" t="str">
            <v>借</v>
          </cell>
          <cell r="M2093">
            <v>9.6</v>
          </cell>
          <cell r="N2093">
            <v>0</v>
          </cell>
          <cell r="O2093">
            <v>186420</v>
          </cell>
        </row>
        <row r="2094">
          <cell r="A2094" t="str">
            <v>05</v>
          </cell>
          <cell r="B2094" t="str">
            <v>31</v>
          </cell>
          <cell r="C2094" t="str">
            <v>记-0046</v>
          </cell>
          <cell r="D2094" t="str">
            <v>158</v>
          </cell>
          <cell r="E2094" t="str">
            <v>虫草</v>
          </cell>
          <cell r="F2094" t="str">
            <v>收购产品</v>
          </cell>
          <cell r="G2094">
            <v>17400</v>
          </cell>
          <cell r="H2094">
            <v>4.5999999999999996</v>
          </cell>
          <cell r="I2094">
            <v>80040</v>
          </cell>
          <cell r="J2094">
            <v>0</v>
          </cell>
          <cell r="K2094">
            <v>0</v>
          </cell>
          <cell r="L2094" t="str">
            <v>借</v>
          </cell>
          <cell r="M2094">
            <v>14.2</v>
          </cell>
          <cell r="N2094">
            <v>0</v>
          </cell>
          <cell r="O2094">
            <v>266460</v>
          </cell>
        </row>
        <row r="2095">
          <cell r="A2095" t="str">
            <v>05</v>
          </cell>
          <cell r="B2095" t="str">
            <v>31</v>
          </cell>
          <cell r="C2095" t="str">
            <v>记-0047</v>
          </cell>
          <cell r="D2095" t="str">
            <v>158</v>
          </cell>
          <cell r="E2095" t="str">
            <v>虫草</v>
          </cell>
          <cell r="F2095" t="str">
            <v>收购产品</v>
          </cell>
          <cell r="G2095">
            <v>17400</v>
          </cell>
          <cell r="H2095">
            <v>16</v>
          </cell>
          <cell r="I2095">
            <v>278400</v>
          </cell>
          <cell r="J2095">
            <v>0</v>
          </cell>
          <cell r="K2095">
            <v>0</v>
          </cell>
          <cell r="L2095" t="str">
            <v>借</v>
          </cell>
          <cell r="M2095">
            <v>30.2</v>
          </cell>
          <cell r="N2095">
            <v>0</v>
          </cell>
          <cell r="O2095">
            <v>544860</v>
          </cell>
        </row>
        <row r="2096">
          <cell r="A2096" t="str">
            <v>05</v>
          </cell>
          <cell r="B2096" t="str">
            <v>31</v>
          </cell>
          <cell r="C2096" t="str">
            <v>记-0048</v>
          </cell>
          <cell r="D2096" t="str">
            <v>158</v>
          </cell>
          <cell r="E2096" t="str">
            <v>虫草</v>
          </cell>
          <cell r="F2096" t="str">
            <v>收购产品</v>
          </cell>
          <cell r="G2096">
            <v>16530</v>
          </cell>
          <cell r="H2096">
            <v>20</v>
          </cell>
          <cell r="I2096">
            <v>330600</v>
          </cell>
          <cell r="J2096">
            <v>0</v>
          </cell>
          <cell r="K2096">
            <v>0</v>
          </cell>
          <cell r="L2096" t="str">
            <v>借</v>
          </cell>
          <cell r="M2096">
            <v>50.2</v>
          </cell>
          <cell r="N2096">
            <v>0</v>
          </cell>
          <cell r="O2096">
            <v>875460</v>
          </cell>
        </row>
        <row r="2097">
          <cell r="A2097" t="str">
            <v>05</v>
          </cell>
          <cell r="B2097" t="str">
            <v>31</v>
          </cell>
          <cell r="C2097" t="str">
            <v>记-0049</v>
          </cell>
          <cell r="D2097" t="str">
            <v>158</v>
          </cell>
          <cell r="E2097" t="str">
            <v>虫草</v>
          </cell>
          <cell r="F2097" t="str">
            <v>收购产品</v>
          </cell>
          <cell r="G2097">
            <v>16838.70968</v>
          </cell>
          <cell r="H2097">
            <v>15.5</v>
          </cell>
          <cell r="I2097">
            <v>261000</v>
          </cell>
          <cell r="J2097">
            <v>0</v>
          </cell>
          <cell r="K2097">
            <v>0</v>
          </cell>
          <cell r="L2097" t="str">
            <v>借</v>
          </cell>
          <cell r="M2097">
            <v>65.7</v>
          </cell>
          <cell r="N2097">
            <v>0</v>
          </cell>
          <cell r="O2097">
            <v>1136460</v>
          </cell>
        </row>
        <row r="2098">
          <cell r="A2098" t="str">
            <v>05</v>
          </cell>
          <cell r="B2098" t="str">
            <v>31</v>
          </cell>
          <cell r="C2098" t="str">
            <v>记-0050</v>
          </cell>
          <cell r="D2098" t="str">
            <v>158</v>
          </cell>
          <cell r="E2098" t="str">
            <v>虫草</v>
          </cell>
          <cell r="F2098" t="str">
            <v>收购产品</v>
          </cell>
          <cell r="G2098">
            <v>17400</v>
          </cell>
          <cell r="H2098">
            <v>11</v>
          </cell>
          <cell r="I2098">
            <v>191400</v>
          </cell>
          <cell r="J2098">
            <v>0</v>
          </cell>
          <cell r="K2098">
            <v>0</v>
          </cell>
          <cell r="L2098" t="str">
            <v>借</v>
          </cell>
          <cell r="M2098">
            <v>76.7</v>
          </cell>
          <cell r="N2098">
            <v>0</v>
          </cell>
          <cell r="O2098">
            <v>1327860</v>
          </cell>
        </row>
        <row r="2099">
          <cell r="A2099" t="str">
            <v>05</v>
          </cell>
          <cell r="B2099" t="str">
            <v>31</v>
          </cell>
          <cell r="C2099" t="str">
            <v>记-0053</v>
          </cell>
          <cell r="D2099" t="str">
            <v>158</v>
          </cell>
          <cell r="E2099" t="str">
            <v>虫草</v>
          </cell>
          <cell r="F2099" t="str">
            <v>收购产品</v>
          </cell>
          <cell r="G2099">
            <v>17400</v>
          </cell>
          <cell r="H2099">
            <v>25</v>
          </cell>
          <cell r="I2099">
            <v>435000</v>
          </cell>
          <cell r="J2099">
            <v>0</v>
          </cell>
          <cell r="K2099">
            <v>0</v>
          </cell>
          <cell r="L2099" t="str">
            <v>借</v>
          </cell>
          <cell r="M2099">
            <v>101.7</v>
          </cell>
          <cell r="N2099">
            <v>0</v>
          </cell>
          <cell r="O2099">
            <v>1762860</v>
          </cell>
        </row>
        <row r="2100">
          <cell r="A2100" t="str">
            <v>05</v>
          </cell>
          <cell r="B2100" t="str">
            <v>31</v>
          </cell>
          <cell r="C2100" t="str">
            <v>记-0054</v>
          </cell>
          <cell r="D2100" t="str">
            <v>158</v>
          </cell>
          <cell r="E2100" t="str">
            <v>虫草</v>
          </cell>
          <cell r="F2100" t="str">
            <v>收购产品</v>
          </cell>
          <cell r="G2100">
            <v>17400</v>
          </cell>
          <cell r="H2100">
            <v>25</v>
          </cell>
          <cell r="I2100">
            <v>435000</v>
          </cell>
          <cell r="J2100">
            <v>0</v>
          </cell>
          <cell r="K2100">
            <v>0</v>
          </cell>
          <cell r="L2100" t="str">
            <v>借</v>
          </cell>
          <cell r="M2100">
            <v>126.7</v>
          </cell>
          <cell r="N2100">
            <v>0</v>
          </cell>
          <cell r="O2100">
            <v>2197860</v>
          </cell>
        </row>
        <row r="2101">
          <cell r="A2101" t="str">
            <v>05</v>
          </cell>
          <cell r="B2101" t="str">
            <v>31</v>
          </cell>
          <cell r="C2101" t="str">
            <v>记-0056</v>
          </cell>
          <cell r="D2101" t="str">
            <v>158</v>
          </cell>
          <cell r="E2101" t="str">
            <v>虫草</v>
          </cell>
          <cell r="F2101" t="str">
            <v>收购产品</v>
          </cell>
          <cell r="G2101">
            <v>19526.165059999999</v>
          </cell>
          <cell r="H2101">
            <v>22.277799999999999</v>
          </cell>
          <cell r="I2101">
            <v>435000</v>
          </cell>
          <cell r="J2101">
            <v>0</v>
          </cell>
          <cell r="K2101">
            <v>0</v>
          </cell>
          <cell r="L2101" t="str">
            <v>借</v>
          </cell>
          <cell r="M2101">
            <v>148.9778</v>
          </cell>
          <cell r="N2101">
            <v>0</v>
          </cell>
          <cell r="O2101">
            <v>2632860</v>
          </cell>
        </row>
        <row r="2102">
          <cell r="A2102" t="str">
            <v>05</v>
          </cell>
          <cell r="B2102" t="str">
            <v>31</v>
          </cell>
          <cell r="C2102" t="str">
            <v>记-0057</v>
          </cell>
          <cell r="D2102" t="str">
            <v>158</v>
          </cell>
          <cell r="E2102" t="str">
            <v>虫草</v>
          </cell>
          <cell r="F2102" t="str">
            <v>收购产品</v>
          </cell>
          <cell r="G2102">
            <v>17400</v>
          </cell>
          <cell r="H2102">
            <v>20</v>
          </cell>
          <cell r="I2102">
            <v>348000</v>
          </cell>
          <cell r="J2102">
            <v>0</v>
          </cell>
          <cell r="K2102">
            <v>0</v>
          </cell>
          <cell r="L2102" t="str">
            <v>借</v>
          </cell>
          <cell r="M2102">
            <v>168.9778</v>
          </cell>
          <cell r="N2102">
            <v>0</v>
          </cell>
          <cell r="O2102">
            <v>2980860</v>
          </cell>
        </row>
        <row r="2103">
          <cell r="A2103" t="str">
            <v>05</v>
          </cell>
          <cell r="B2103" t="str">
            <v>31</v>
          </cell>
          <cell r="C2103" t="str">
            <v>记-0058</v>
          </cell>
          <cell r="D2103" t="str">
            <v>158</v>
          </cell>
          <cell r="E2103" t="str">
            <v>虫草</v>
          </cell>
          <cell r="F2103" t="str">
            <v>收购产品</v>
          </cell>
          <cell r="G2103">
            <v>17400</v>
          </cell>
          <cell r="H2103">
            <v>20</v>
          </cell>
          <cell r="I2103">
            <v>348000</v>
          </cell>
          <cell r="J2103">
            <v>0</v>
          </cell>
          <cell r="K2103">
            <v>0</v>
          </cell>
          <cell r="L2103" t="str">
            <v>借</v>
          </cell>
          <cell r="M2103">
            <v>188.9778</v>
          </cell>
          <cell r="N2103">
            <v>0</v>
          </cell>
          <cell r="O2103">
            <v>3328860</v>
          </cell>
        </row>
        <row r="2104">
          <cell r="A2104" t="str">
            <v>05</v>
          </cell>
          <cell r="B2104" t="str">
            <v>31</v>
          </cell>
          <cell r="C2104" t="str">
            <v>记-0059</v>
          </cell>
          <cell r="D2104" t="str">
            <v>158</v>
          </cell>
          <cell r="E2104" t="str">
            <v>虫草</v>
          </cell>
          <cell r="F2104" t="str">
            <v>收购产品</v>
          </cell>
          <cell r="G2104">
            <v>15660.008239999999</v>
          </cell>
          <cell r="H2104">
            <v>21.1111</v>
          </cell>
          <cell r="I2104">
            <v>330600</v>
          </cell>
          <cell r="J2104">
            <v>0</v>
          </cell>
          <cell r="K2104">
            <v>0</v>
          </cell>
          <cell r="L2104" t="str">
            <v>借</v>
          </cell>
          <cell r="M2104">
            <v>210.0889</v>
          </cell>
          <cell r="N2104">
            <v>0</v>
          </cell>
          <cell r="O2104">
            <v>3659460</v>
          </cell>
        </row>
        <row r="2105">
          <cell r="A2105" t="str">
            <v>05</v>
          </cell>
          <cell r="B2105" t="str">
            <v>31</v>
          </cell>
          <cell r="C2105" t="str">
            <v>记-0060</v>
          </cell>
          <cell r="D2105" t="str">
            <v>158</v>
          </cell>
          <cell r="E2105" t="str">
            <v>虫草</v>
          </cell>
          <cell r="F2105" t="str">
            <v>收购产品</v>
          </cell>
          <cell r="G2105">
            <v>14616</v>
          </cell>
          <cell r="H2105">
            <v>25</v>
          </cell>
          <cell r="I2105">
            <v>365400</v>
          </cell>
          <cell r="J2105">
            <v>0</v>
          </cell>
          <cell r="K2105">
            <v>0</v>
          </cell>
          <cell r="L2105" t="str">
            <v>借</v>
          </cell>
          <cell r="M2105">
            <v>235.0889</v>
          </cell>
          <cell r="N2105">
            <v>0</v>
          </cell>
          <cell r="O2105">
            <v>4024860</v>
          </cell>
        </row>
        <row r="2106">
          <cell r="A2106" t="str">
            <v>05</v>
          </cell>
          <cell r="B2106" t="str">
            <v>31</v>
          </cell>
          <cell r="C2106" t="str">
            <v>记-0061</v>
          </cell>
          <cell r="D2106" t="str">
            <v>158</v>
          </cell>
          <cell r="E2106" t="str">
            <v>虫草</v>
          </cell>
          <cell r="F2106" t="str">
            <v>收购产品</v>
          </cell>
          <cell r="G2106">
            <v>13671.42857</v>
          </cell>
          <cell r="H2106">
            <v>14</v>
          </cell>
          <cell r="I2106">
            <v>191400</v>
          </cell>
          <cell r="J2106">
            <v>0</v>
          </cell>
          <cell r="K2106">
            <v>0</v>
          </cell>
          <cell r="L2106" t="str">
            <v>借</v>
          </cell>
          <cell r="M2106">
            <v>249.0889</v>
          </cell>
          <cell r="N2106">
            <v>0</v>
          </cell>
          <cell r="O2106">
            <v>4216260</v>
          </cell>
        </row>
        <row r="2107">
          <cell r="A2107" t="str">
            <v>05</v>
          </cell>
          <cell r="B2107" t="str">
            <v>31</v>
          </cell>
          <cell r="C2107" t="str">
            <v>记-0062</v>
          </cell>
          <cell r="D2107" t="str">
            <v>158</v>
          </cell>
          <cell r="E2107" t="str">
            <v>虫草</v>
          </cell>
          <cell r="F2107" t="str">
            <v>收购产品</v>
          </cell>
          <cell r="G2107">
            <v>13050</v>
          </cell>
          <cell r="H2107">
            <v>20</v>
          </cell>
          <cell r="I2107">
            <v>261000</v>
          </cell>
          <cell r="J2107">
            <v>0</v>
          </cell>
          <cell r="K2107">
            <v>0</v>
          </cell>
          <cell r="L2107" t="str">
            <v>借</v>
          </cell>
          <cell r="M2107">
            <v>269.08890000000002</v>
          </cell>
          <cell r="N2107">
            <v>0</v>
          </cell>
          <cell r="O2107">
            <v>4477260</v>
          </cell>
        </row>
        <row r="2108">
          <cell r="A2108" t="str">
            <v>05</v>
          </cell>
          <cell r="B2108" t="str">
            <v>31</v>
          </cell>
          <cell r="C2108" t="str">
            <v>记-0063</v>
          </cell>
          <cell r="D2108" t="str">
            <v>158</v>
          </cell>
          <cell r="E2108" t="str">
            <v>虫草</v>
          </cell>
          <cell r="F2108" t="str">
            <v>收购产品</v>
          </cell>
          <cell r="G2108">
            <v>14355.00189</v>
          </cell>
          <cell r="H2108">
            <v>23.0303</v>
          </cell>
          <cell r="I2108">
            <v>330600</v>
          </cell>
          <cell r="J2108">
            <v>0</v>
          </cell>
          <cell r="K2108">
            <v>0</v>
          </cell>
          <cell r="L2108" t="str">
            <v>借</v>
          </cell>
          <cell r="M2108">
            <v>292.11919999999998</v>
          </cell>
          <cell r="N2108">
            <v>0</v>
          </cell>
          <cell r="O2108">
            <v>4807860</v>
          </cell>
        </row>
        <row r="2109">
          <cell r="A2109" t="str">
            <v>05</v>
          </cell>
          <cell r="B2109" t="str">
            <v>31</v>
          </cell>
          <cell r="C2109" t="str">
            <v>记-0064</v>
          </cell>
          <cell r="D2109" t="str">
            <v>158</v>
          </cell>
          <cell r="E2109" t="str">
            <v>虫草</v>
          </cell>
          <cell r="F2109" t="str">
            <v>收购产品</v>
          </cell>
          <cell r="G2109">
            <v>12957.446809999999</v>
          </cell>
          <cell r="H2109">
            <v>23.5</v>
          </cell>
          <cell r="I2109">
            <v>304500</v>
          </cell>
          <cell r="J2109">
            <v>0</v>
          </cell>
          <cell r="K2109">
            <v>0</v>
          </cell>
          <cell r="L2109" t="str">
            <v>借</v>
          </cell>
          <cell r="M2109">
            <v>315.61919999999998</v>
          </cell>
          <cell r="N2109">
            <v>0</v>
          </cell>
          <cell r="O2109">
            <v>5112360</v>
          </cell>
        </row>
        <row r="2110">
          <cell r="A2110" t="str">
            <v>05</v>
          </cell>
          <cell r="B2110" t="str">
            <v>31</v>
          </cell>
          <cell r="C2110" t="str">
            <v>记-0065</v>
          </cell>
          <cell r="D2110" t="str">
            <v>158</v>
          </cell>
          <cell r="E2110" t="str">
            <v>虫草</v>
          </cell>
          <cell r="F2110" t="str">
            <v>收购产品</v>
          </cell>
          <cell r="G2110">
            <v>15660</v>
          </cell>
          <cell r="H2110">
            <v>25</v>
          </cell>
          <cell r="I2110">
            <v>391500</v>
          </cell>
          <cell r="J2110">
            <v>0</v>
          </cell>
          <cell r="K2110">
            <v>0</v>
          </cell>
          <cell r="L2110" t="str">
            <v>借</v>
          </cell>
          <cell r="M2110">
            <v>340.61919999999998</v>
          </cell>
          <cell r="N2110">
            <v>0</v>
          </cell>
          <cell r="O2110">
            <v>5503860</v>
          </cell>
        </row>
        <row r="2111">
          <cell r="A2111" t="str">
            <v>05</v>
          </cell>
          <cell r="B2111" t="str">
            <v>31</v>
          </cell>
          <cell r="C2111" t="str">
            <v>记-0066</v>
          </cell>
          <cell r="D2111" t="str">
            <v>158</v>
          </cell>
          <cell r="E2111" t="str">
            <v>虫草</v>
          </cell>
          <cell r="F2111" t="str">
            <v>收购产品</v>
          </cell>
          <cell r="G2111">
            <v>13920</v>
          </cell>
          <cell r="H2111">
            <v>31.25</v>
          </cell>
          <cell r="I2111">
            <v>435000</v>
          </cell>
          <cell r="J2111">
            <v>0</v>
          </cell>
          <cell r="K2111">
            <v>0</v>
          </cell>
          <cell r="L2111" t="str">
            <v>借</v>
          </cell>
          <cell r="M2111">
            <v>371.86919999999998</v>
          </cell>
          <cell r="N2111">
            <v>0</v>
          </cell>
          <cell r="O2111">
            <v>5938860</v>
          </cell>
        </row>
        <row r="2112">
          <cell r="A2112" t="str">
            <v>05</v>
          </cell>
          <cell r="B2112" t="str">
            <v>31</v>
          </cell>
          <cell r="C2112" t="str">
            <v>记-0067</v>
          </cell>
          <cell r="D2112" t="str">
            <v>158</v>
          </cell>
          <cell r="E2112" t="str">
            <v>虫草</v>
          </cell>
          <cell r="F2112" t="str">
            <v>收购产品</v>
          </cell>
          <cell r="G2112">
            <v>13050</v>
          </cell>
          <cell r="H2112">
            <v>20</v>
          </cell>
          <cell r="I2112">
            <v>261000</v>
          </cell>
          <cell r="J2112">
            <v>0</v>
          </cell>
          <cell r="K2112">
            <v>0</v>
          </cell>
          <cell r="L2112" t="str">
            <v>借</v>
          </cell>
          <cell r="M2112">
            <v>391.86919999999998</v>
          </cell>
          <cell r="N2112">
            <v>0</v>
          </cell>
          <cell r="O2112">
            <v>6199860</v>
          </cell>
        </row>
        <row r="2113">
          <cell r="A2113" t="str">
            <v>05</v>
          </cell>
          <cell r="B2113" t="str">
            <v>31</v>
          </cell>
          <cell r="C2113" t="str">
            <v>记-0068</v>
          </cell>
          <cell r="D2113" t="str">
            <v>158</v>
          </cell>
          <cell r="E2113" t="str">
            <v>虫草</v>
          </cell>
          <cell r="F2113" t="str">
            <v>收购产品</v>
          </cell>
          <cell r="G2113">
            <v>17400</v>
          </cell>
          <cell r="H2113">
            <v>20</v>
          </cell>
          <cell r="I2113">
            <v>348000</v>
          </cell>
          <cell r="J2113">
            <v>0</v>
          </cell>
          <cell r="K2113">
            <v>0</v>
          </cell>
          <cell r="L2113" t="str">
            <v>借</v>
          </cell>
          <cell r="M2113">
            <v>411.86919999999998</v>
          </cell>
          <cell r="N2113">
            <v>0</v>
          </cell>
          <cell r="O2113">
            <v>6547860</v>
          </cell>
        </row>
        <row r="2114">
          <cell r="A2114" t="str">
            <v>05</v>
          </cell>
          <cell r="B2114" t="str">
            <v>31</v>
          </cell>
          <cell r="C2114" t="str">
            <v>记-0077</v>
          </cell>
          <cell r="D2114" t="str">
            <v>158</v>
          </cell>
          <cell r="E2114" t="str">
            <v>虫草</v>
          </cell>
          <cell r="F2114" t="str">
            <v>转成本</v>
          </cell>
          <cell r="G2114">
            <v>17139</v>
          </cell>
          <cell r="H2114">
            <v>0</v>
          </cell>
          <cell r="I2114">
            <v>0</v>
          </cell>
          <cell r="J2114">
            <v>5</v>
          </cell>
          <cell r="K2114">
            <v>85695</v>
          </cell>
          <cell r="L2114" t="str">
            <v>借</v>
          </cell>
          <cell r="M2114">
            <v>406.86919999999998</v>
          </cell>
          <cell r="N2114">
            <v>0</v>
          </cell>
          <cell r="O2114">
            <v>6462165</v>
          </cell>
        </row>
        <row r="2115">
          <cell r="A2115" t="str">
            <v>05</v>
          </cell>
          <cell r="B2115" t="str">
            <v>31</v>
          </cell>
          <cell r="C2115" t="str">
            <v>记-0077</v>
          </cell>
          <cell r="D2115" t="str">
            <v>158</v>
          </cell>
          <cell r="E2115" t="str">
            <v>虫草</v>
          </cell>
          <cell r="F2115" t="str">
            <v>转成本</v>
          </cell>
          <cell r="G2115">
            <v>15573</v>
          </cell>
          <cell r="H2115">
            <v>0</v>
          </cell>
          <cell r="I2115">
            <v>0</v>
          </cell>
          <cell r="J2115">
            <v>5</v>
          </cell>
          <cell r="K2115">
            <v>77865</v>
          </cell>
          <cell r="L2115" t="str">
            <v>借</v>
          </cell>
          <cell r="M2115">
            <v>401.86919999999998</v>
          </cell>
          <cell r="N2115">
            <v>0</v>
          </cell>
          <cell r="O2115">
            <v>6384300</v>
          </cell>
        </row>
        <row r="2116">
          <cell r="A2116" t="str">
            <v>05</v>
          </cell>
          <cell r="B2116" t="str">
            <v>31</v>
          </cell>
          <cell r="C2116" t="str">
            <v>记-0077</v>
          </cell>
          <cell r="D2116" t="str">
            <v>158</v>
          </cell>
          <cell r="E2116" t="str">
            <v>虫草</v>
          </cell>
          <cell r="F2116" t="str">
            <v>转成本</v>
          </cell>
          <cell r="G2116">
            <v>17400</v>
          </cell>
          <cell r="H2116">
            <v>0</v>
          </cell>
          <cell r="I2116">
            <v>0</v>
          </cell>
          <cell r="J2116">
            <v>4.5999999999999996</v>
          </cell>
          <cell r="K2116">
            <v>80040</v>
          </cell>
          <cell r="L2116" t="str">
            <v>借</v>
          </cell>
          <cell r="M2116">
            <v>397.26920000000001</v>
          </cell>
          <cell r="N2116">
            <v>0</v>
          </cell>
          <cell r="O2116">
            <v>6304260</v>
          </cell>
        </row>
        <row r="2117">
          <cell r="A2117" t="str">
            <v>05</v>
          </cell>
          <cell r="B2117" t="str">
            <v>31</v>
          </cell>
          <cell r="C2117" t="str">
            <v>记-0077</v>
          </cell>
          <cell r="D2117" t="str">
            <v>158</v>
          </cell>
          <cell r="E2117" t="str">
            <v>虫草</v>
          </cell>
          <cell r="F2117" t="str">
            <v>转成本</v>
          </cell>
          <cell r="G2117">
            <v>17400</v>
          </cell>
          <cell r="H2117">
            <v>0</v>
          </cell>
          <cell r="I2117">
            <v>0</v>
          </cell>
          <cell r="J2117">
            <v>16</v>
          </cell>
          <cell r="K2117">
            <v>278400</v>
          </cell>
          <cell r="L2117" t="str">
            <v>借</v>
          </cell>
          <cell r="M2117">
            <v>381.26920000000001</v>
          </cell>
          <cell r="N2117">
            <v>0</v>
          </cell>
          <cell r="O2117">
            <v>6025860</v>
          </cell>
        </row>
        <row r="2118">
          <cell r="A2118" t="str">
            <v>05</v>
          </cell>
          <cell r="B2118" t="str">
            <v>31</v>
          </cell>
          <cell r="C2118" t="str">
            <v>记-0077</v>
          </cell>
          <cell r="D2118" t="str">
            <v>158</v>
          </cell>
          <cell r="E2118" t="str">
            <v>虫草</v>
          </cell>
          <cell r="F2118" t="str">
            <v>转成本</v>
          </cell>
          <cell r="G2118">
            <v>16530</v>
          </cell>
          <cell r="H2118">
            <v>0</v>
          </cell>
          <cell r="I2118">
            <v>0</v>
          </cell>
          <cell r="J2118">
            <v>20</v>
          </cell>
          <cell r="K2118">
            <v>330600</v>
          </cell>
          <cell r="L2118" t="str">
            <v>借</v>
          </cell>
          <cell r="M2118">
            <v>361.26920000000001</v>
          </cell>
          <cell r="N2118">
            <v>0</v>
          </cell>
          <cell r="O2118">
            <v>5695260</v>
          </cell>
        </row>
        <row r="2119">
          <cell r="A2119" t="str">
            <v>05</v>
          </cell>
          <cell r="B2119" t="str">
            <v>31</v>
          </cell>
          <cell r="C2119" t="str">
            <v>记-0077</v>
          </cell>
          <cell r="D2119" t="str">
            <v>158</v>
          </cell>
          <cell r="E2119" t="str">
            <v>虫草</v>
          </cell>
          <cell r="F2119" t="str">
            <v>转成本</v>
          </cell>
          <cell r="G2119">
            <v>16838.70968</v>
          </cell>
          <cell r="H2119">
            <v>0</v>
          </cell>
          <cell r="I2119">
            <v>0</v>
          </cell>
          <cell r="J2119">
            <v>15.5</v>
          </cell>
          <cell r="K2119">
            <v>261000</v>
          </cell>
          <cell r="L2119" t="str">
            <v>借</v>
          </cell>
          <cell r="M2119">
            <v>345.76920000000001</v>
          </cell>
          <cell r="N2119">
            <v>0</v>
          </cell>
          <cell r="O2119">
            <v>5434260</v>
          </cell>
        </row>
        <row r="2120">
          <cell r="A2120" t="str">
            <v>05</v>
          </cell>
          <cell r="B2120" t="str">
            <v>31</v>
          </cell>
          <cell r="C2120" t="str">
            <v>记-0077</v>
          </cell>
          <cell r="D2120" t="str">
            <v>158</v>
          </cell>
          <cell r="E2120" t="str">
            <v>虫草</v>
          </cell>
          <cell r="F2120" t="str">
            <v>转成本</v>
          </cell>
          <cell r="G2120">
            <v>17400</v>
          </cell>
          <cell r="H2120">
            <v>0</v>
          </cell>
          <cell r="I2120">
            <v>0</v>
          </cell>
          <cell r="J2120">
            <v>11</v>
          </cell>
          <cell r="K2120">
            <v>191400</v>
          </cell>
          <cell r="L2120" t="str">
            <v>借</v>
          </cell>
          <cell r="M2120">
            <v>334.76920000000001</v>
          </cell>
          <cell r="N2120">
            <v>0</v>
          </cell>
          <cell r="O2120">
            <v>5242860</v>
          </cell>
        </row>
        <row r="2121">
          <cell r="A2121" t="str">
            <v>05</v>
          </cell>
          <cell r="B2121" t="str">
            <v>31</v>
          </cell>
          <cell r="C2121" t="str">
            <v>记-0077</v>
          </cell>
          <cell r="D2121" t="str">
            <v>158</v>
          </cell>
          <cell r="E2121" t="str">
            <v>虫草</v>
          </cell>
          <cell r="F2121" t="str">
            <v>转成本</v>
          </cell>
          <cell r="G2121">
            <v>17400</v>
          </cell>
          <cell r="H2121">
            <v>0</v>
          </cell>
          <cell r="I2121">
            <v>0</v>
          </cell>
          <cell r="J2121">
            <v>25</v>
          </cell>
          <cell r="K2121">
            <v>435000</v>
          </cell>
          <cell r="L2121" t="str">
            <v>借</v>
          </cell>
          <cell r="M2121">
            <v>309.76920000000001</v>
          </cell>
          <cell r="N2121">
            <v>0</v>
          </cell>
          <cell r="O2121">
            <v>4807860</v>
          </cell>
        </row>
        <row r="2122">
          <cell r="A2122" t="str">
            <v>05</v>
          </cell>
          <cell r="B2122" t="str">
            <v>31</v>
          </cell>
          <cell r="C2122" t="str">
            <v>记-0077</v>
          </cell>
          <cell r="D2122" t="str">
            <v>158</v>
          </cell>
          <cell r="E2122" t="str">
            <v>虫草</v>
          </cell>
          <cell r="F2122" t="str">
            <v>转成本</v>
          </cell>
          <cell r="G2122">
            <v>17400</v>
          </cell>
          <cell r="H2122">
            <v>0</v>
          </cell>
          <cell r="I2122">
            <v>0</v>
          </cell>
          <cell r="J2122">
            <v>25</v>
          </cell>
          <cell r="K2122">
            <v>435000</v>
          </cell>
          <cell r="L2122" t="str">
            <v>借</v>
          </cell>
          <cell r="M2122">
            <v>284.76920000000001</v>
          </cell>
          <cell r="N2122">
            <v>0</v>
          </cell>
          <cell r="O2122">
            <v>4372860</v>
          </cell>
        </row>
        <row r="2123">
          <cell r="A2123" t="str">
            <v>05</v>
          </cell>
          <cell r="B2123" t="str">
            <v>31</v>
          </cell>
          <cell r="C2123" t="str">
            <v>记-0077</v>
          </cell>
          <cell r="D2123" t="str">
            <v>158</v>
          </cell>
          <cell r="E2123" t="str">
            <v>虫草</v>
          </cell>
          <cell r="F2123" t="str">
            <v>转成本</v>
          </cell>
          <cell r="G2123">
            <v>19526.165059999999</v>
          </cell>
          <cell r="H2123">
            <v>0</v>
          </cell>
          <cell r="I2123">
            <v>0</v>
          </cell>
          <cell r="J2123">
            <v>22.277799999999999</v>
          </cell>
          <cell r="K2123">
            <v>435000</v>
          </cell>
          <cell r="L2123" t="str">
            <v>借</v>
          </cell>
          <cell r="M2123">
            <v>262.4914</v>
          </cell>
          <cell r="N2123">
            <v>0</v>
          </cell>
          <cell r="O2123">
            <v>3937860</v>
          </cell>
        </row>
        <row r="2124">
          <cell r="A2124" t="str">
            <v>05</v>
          </cell>
          <cell r="B2124" t="str">
            <v>31</v>
          </cell>
          <cell r="C2124" t="str">
            <v>记-0077</v>
          </cell>
          <cell r="D2124" t="str">
            <v>158</v>
          </cell>
          <cell r="E2124" t="str">
            <v>虫草</v>
          </cell>
          <cell r="F2124" t="str">
            <v>转成本</v>
          </cell>
          <cell r="G2124">
            <v>17400</v>
          </cell>
          <cell r="H2124">
            <v>0</v>
          </cell>
          <cell r="I2124">
            <v>0</v>
          </cell>
          <cell r="J2124">
            <v>20</v>
          </cell>
          <cell r="K2124">
            <v>348000</v>
          </cell>
          <cell r="L2124" t="str">
            <v>借</v>
          </cell>
          <cell r="M2124">
            <v>242.4914</v>
          </cell>
          <cell r="N2124">
            <v>0</v>
          </cell>
          <cell r="O2124">
            <v>3589860</v>
          </cell>
        </row>
        <row r="2125">
          <cell r="A2125" t="str">
            <v>05</v>
          </cell>
          <cell r="B2125" t="str">
            <v>31</v>
          </cell>
          <cell r="C2125" t="str">
            <v>记-0077</v>
          </cell>
          <cell r="D2125" t="str">
            <v>158</v>
          </cell>
          <cell r="E2125" t="str">
            <v>虫草</v>
          </cell>
          <cell r="F2125" t="str">
            <v>转成本</v>
          </cell>
          <cell r="G2125">
            <v>17400</v>
          </cell>
          <cell r="H2125">
            <v>0</v>
          </cell>
          <cell r="I2125">
            <v>0</v>
          </cell>
          <cell r="J2125">
            <v>20</v>
          </cell>
          <cell r="K2125">
            <v>348000</v>
          </cell>
          <cell r="L2125" t="str">
            <v>借</v>
          </cell>
          <cell r="M2125">
            <v>222.4914</v>
          </cell>
          <cell r="N2125">
            <v>0</v>
          </cell>
          <cell r="O2125">
            <v>3241860</v>
          </cell>
        </row>
        <row r="2126">
          <cell r="A2126" t="str">
            <v>05</v>
          </cell>
          <cell r="B2126" t="str">
            <v>31</v>
          </cell>
          <cell r="C2126" t="str">
            <v>记-0077</v>
          </cell>
          <cell r="D2126" t="str">
            <v>158</v>
          </cell>
          <cell r="E2126" t="str">
            <v>虫草</v>
          </cell>
          <cell r="F2126" t="str">
            <v>转成本</v>
          </cell>
          <cell r="G2126">
            <v>15660.008239999999</v>
          </cell>
          <cell r="H2126">
            <v>0</v>
          </cell>
          <cell r="I2126">
            <v>0</v>
          </cell>
          <cell r="J2126">
            <v>21.1111</v>
          </cell>
          <cell r="K2126">
            <v>330600</v>
          </cell>
          <cell r="L2126" t="str">
            <v>借</v>
          </cell>
          <cell r="M2126">
            <v>201.38030000000001</v>
          </cell>
          <cell r="N2126">
            <v>0</v>
          </cell>
          <cell r="O2126">
            <v>2911260</v>
          </cell>
        </row>
        <row r="2127">
          <cell r="A2127" t="str">
            <v>05</v>
          </cell>
          <cell r="B2127" t="str">
            <v>31</v>
          </cell>
          <cell r="C2127" t="str">
            <v>记-0077</v>
          </cell>
          <cell r="D2127" t="str">
            <v>158</v>
          </cell>
          <cell r="E2127" t="str">
            <v>虫草</v>
          </cell>
          <cell r="F2127" t="str">
            <v>转成本</v>
          </cell>
          <cell r="G2127">
            <v>13224</v>
          </cell>
          <cell r="H2127">
            <v>0</v>
          </cell>
          <cell r="I2127">
            <v>0</v>
          </cell>
          <cell r="J2127">
            <v>25</v>
          </cell>
          <cell r="K2127">
            <v>330600</v>
          </cell>
          <cell r="L2127" t="str">
            <v>借</v>
          </cell>
          <cell r="M2127">
            <v>176.38030000000001</v>
          </cell>
          <cell r="N2127">
            <v>0</v>
          </cell>
          <cell r="O2127">
            <v>2580660</v>
          </cell>
        </row>
        <row r="2128">
          <cell r="A2128" t="str">
            <v>05</v>
          </cell>
          <cell r="B2128" t="str">
            <v>31</v>
          </cell>
          <cell r="C2128" t="str">
            <v>记-0077</v>
          </cell>
          <cell r="D2128" t="str">
            <v>158</v>
          </cell>
          <cell r="E2128" t="str">
            <v>虫草</v>
          </cell>
          <cell r="F2128" t="str">
            <v>转成本</v>
          </cell>
          <cell r="G2128">
            <v>14616</v>
          </cell>
          <cell r="H2128">
            <v>0</v>
          </cell>
          <cell r="I2128">
            <v>0</v>
          </cell>
          <cell r="J2128">
            <v>25</v>
          </cell>
          <cell r="K2128">
            <v>365400</v>
          </cell>
          <cell r="L2128" t="str">
            <v>借</v>
          </cell>
          <cell r="M2128">
            <v>151.38030000000001</v>
          </cell>
          <cell r="N2128">
            <v>0</v>
          </cell>
          <cell r="O2128">
            <v>2215260</v>
          </cell>
        </row>
        <row r="2129">
          <cell r="A2129" t="str">
            <v>05</v>
          </cell>
          <cell r="B2129" t="str">
            <v>31</v>
          </cell>
          <cell r="C2129" t="str">
            <v>记-0077</v>
          </cell>
          <cell r="D2129" t="str">
            <v>158</v>
          </cell>
          <cell r="E2129" t="str">
            <v>虫草</v>
          </cell>
          <cell r="F2129" t="str">
            <v>转成本</v>
          </cell>
          <cell r="G2129">
            <v>13671.42857</v>
          </cell>
          <cell r="H2129">
            <v>0</v>
          </cell>
          <cell r="I2129">
            <v>0</v>
          </cell>
          <cell r="J2129">
            <v>14</v>
          </cell>
          <cell r="K2129">
            <v>191400</v>
          </cell>
          <cell r="L2129" t="str">
            <v>借</v>
          </cell>
          <cell r="M2129">
            <v>137.38030000000001</v>
          </cell>
          <cell r="N2129">
            <v>0</v>
          </cell>
          <cell r="O2129">
            <v>2023860</v>
          </cell>
        </row>
        <row r="2130">
          <cell r="A2130" t="str">
            <v>05</v>
          </cell>
          <cell r="B2130" t="str">
            <v>31</v>
          </cell>
          <cell r="C2130" t="str">
            <v>记-0077</v>
          </cell>
          <cell r="D2130" t="str">
            <v>158</v>
          </cell>
          <cell r="E2130" t="str">
            <v>虫草</v>
          </cell>
          <cell r="F2130" t="str">
            <v>转成本</v>
          </cell>
          <cell r="G2130">
            <v>13050</v>
          </cell>
          <cell r="H2130">
            <v>0</v>
          </cell>
          <cell r="I2130">
            <v>0</v>
          </cell>
          <cell r="J2130">
            <v>20</v>
          </cell>
          <cell r="K2130">
            <v>261000</v>
          </cell>
          <cell r="L2130" t="str">
            <v>借</v>
          </cell>
          <cell r="M2130">
            <v>117.38030000000001</v>
          </cell>
          <cell r="N2130">
            <v>0</v>
          </cell>
          <cell r="O2130">
            <v>1762860</v>
          </cell>
        </row>
        <row r="2131">
          <cell r="A2131" t="str">
            <v>05</v>
          </cell>
          <cell r="B2131" t="str">
            <v>31</v>
          </cell>
          <cell r="C2131" t="str">
            <v>记-0077</v>
          </cell>
          <cell r="D2131" t="str">
            <v>158</v>
          </cell>
          <cell r="E2131" t="str">
            <v>虫草</v>
          </cell>
          <cell r="F2131" t="str">
            <v>转成本</v>
          </cell>
          <cell r="G2131">
            <v>12957.446809999999</v>
          </cell>
          <cell r="H2131">
            <v>0</v>
          </cell>
          <cell r="I2131">
            <v>0</v>
          </cell>
          <cell r="J2131">
            <v>23.5</v>
          </cell>
          <cell r="K2131">
            <v>304500</v>
          </cell>
          <cell r="L2131" t="str">
            <v>借</v>
          </cell>
          <cell r="M2131">
            <v>93.880300000000005</v>
          </cell>
          <cell r="N2131">
            <v>0</v>
          </cell>
          <cell r="O2131">
            <v>1458360</v>
          </cell>
        </row>
        <row r="2132">
          <cell r="A2132" t="str">
            <v>05</v>
          </cell>
          <cell r="B2132" t="str">
            <v>31</v>
          </cell>
          <cell r="C2132" t="str">
            <v>记-0077</v>
          </cell>
          <cell r="D2132" t="str">
            <v>158</v>
          </cell>
          <cell r="E2132" t="str">
            <v>虫草</v>
          </cell>
          <cell r="F2132" t="str">
            <v>转成本</v>
          </cell>
          <cell r="G2132">
            <v>15660</v>
          </cell>
          <cell r="H2132">
            <v>0</v>
          </cell>
          <cell r="I2132">
            <v>0</v>
          </cell>
          <cell r="J2132">
            <v>25</v>
          </cell>
          <cell r="K2132">
            <v>391500</v>
          </cell>
          <cell r="L2132" t="str">
            <v>借</v>
          </cell>
          <cell r="M2132">
            <v>68.880300000000005</v>
          </cell>
          <cell r="N2132">
            <v>0</v>
          </cell>
          <cell r="O2132">
            <v>1066860</v>
          </cell>
        </row>
        <row r="2133">
          <cell r="A2133" t="str">
            <v>05</v>
          </cell>
          <cell r="B2133" t="str">
            <v>31</v>
          </cell>
          <cell r="C2133" t="str">
            <v>记-0077</v>
          </cell>
          <cell r="D2133" t="str">
            <v>158</v>
          </cell>
          <cell r="E2133" t="str">
            <v>虫草</v>
          </cell>
          <cell r="F2133" t="str">
            <v>转成本</v>
          </cell>
          <cell r="G2133">
            <v>13920</v>
          </cell>
          <cell r="H2133">
            <v>0</v>
          </cell>
          <cell r="I2133">
            <v>0</v>
          </cell>
          <cell r="J2133">
            <v>31.25</v>
          </cell>
          <cell r="K2133">
            <v>435000</v>
          </cell>
          <cell r="L2133" t="str">
            <v>借</v>
          </cell>
          <cell r="M2133">
            <v>37.630299999999998</v>
          </cell>
          <cell r="N2133">
            <v>0</v>
          </cell>
          <cell r="O2133">
            <v>631860</v>
          </cell>
        </row>
        <row r="2134">
          <cell r="A2134" t="str">
            <v>05</v>
          </cell>
          <cell r="B2134" t="str">
            <v>31</v>
          </cell>
          <cell r="C2134" t="str">
            <v>记-0077</v>
          </cell>
          <cell r="D2134" t="str">
            <v>158</v>
          </cell>
          <cell r="E2134" t="str">
            <v>虫草</v>
          </cell>
          <cell r="F2134" t="str">
            <v>转成本</v>
          </cell>
          <cell r="G2134">
            <v>13050</v>
          </cell>
          <cell r="H2134">
            <v>0</v>
          </cell>
          <cell r="I2134">
            <v>0</v>
          </cell>
          <cell r="J2134">
            <v>20</v>
          </cell>
          <cell r="K2134">
            <v>261000</v>
          </cell>
          <cell r="L2134" t="str">
            <v>借</v>
          </cell>
          <cell r="M2134">
            <v>17.630299999999998</v>
          </cell>
          <cell r="N2134">
            <v>0</v>
          </cell>
          <cell r="O2134">
            <v>370860</v>
          </cell>
        </row>
        <row r="2135">
          <cell r="A2135" t="str">
            <v>05</v>
          </cell>
          <cell r="B2135" t="str">
            <v>31</v>
          </cell>
          <cell r="C2135" t="str">
            <v>记-0077</v>
          </cell>
          <cell r="D2135" t="str">
            <v>158</v>
          </cell>
          <cell r="E2135" t="str">
            <v>虫草</v>
          </cell>
          <cell r="F2135" t="str">
            <v>转成本</v>
          </cell>
          <cell r="G2135">
            <v>17400</v>
          </cell>
          <cell r="H2135">
            <v>0</v>
          </cell>
          <cell r="I2135">
            <v>0</v>
          </cell>
          <cell r="J2135">
            <v>20</v>
          </cell>
          <cell r="K2135">
            <v>348000</v>
          </cell>
          <cell r="L2135" t="str">
            <v>借</v>
          </cell>
          <cell r="M2135">
            <v>-2.3696999999999999</v>
          </cell>
          <cell r="N2135">
            <v>0</v>
          </cell>
          <cell r="O2135">
            <v>22860</v>
          </cell>
        </row>
        <row r="2136">
          <cell r="A2136" t="str">
            <v>05</v>
          </cell>
          <cell r="B2136" t="str">
            <v>31</v>
          </cell>
          <cell r="C2136" t="str">
            <v>记-0079</v>
          </cell>
          <cell r="D2136" t="str">
            <v>158</v>
          </cell>
          <cell r="E2136" t="str">
            <v>虫草</v>
          </cell>
          <cell r="F2136" t="str">
            <v>转成本</v>
          </cell>
          <cell r="G2136">
            <v>19860.186000000002</v>
          </cell>
          <cell r="H2136">
            <v>0</v>
          </cell>
          <cell r="I2136">
            <v>0</v>
          </cell>
          <cell r="J2136">
            <v>20</v>
          </cell>
          <cell r="K2136">
            <v>397203.72</v>
          </cell>
          <cell r="L2136" t="str">
            <v>贷</v>
          </cell>
          <cell r="M2136">
            <v>22.369700000000002</v>
          </cell>
          <cell r="N2136">
            <v>0</v>
          </cell>
          <cell r="O2136">
            <v>374343.72</v>
          </cell>
        </row>
        <row r="2137">
          <cell r="A2137" t="str">
            <v>05</v>
          </cell>
          <cell r="B2137" t="str">
            <v>31</v>
          </cell>
          <cell r="C2137" t="str">
            <v>记-0081</v>
          </cell>
          <cell r="D2137" t="str">
            <v>158</v>
          </cell>
          <cell r="E2137" t="str">
            <v>虫草</v>
          </cell>
          <cell r="F2137" t="str">
            <v>收购产品</v>
          </cell>
          <cell r="G2137">
            <v>19860.186000000002</v>
          </cell>
          <cell r="H2137">
            <v>20</v>
          </cell>
          <cell r="I2137">
            <v>397203.72</v>
          </cell>
          <cell r="J2137">
            <v>0</v>
          </cell>
          <cell r="K2137">
            <v>0</v>
          </cell>
          <cell r="L2137" t="str">
            <v>借</v>
          </cell>
          <cell r="M2137">
            <v>-2.3696999999999999</v>
          </cell>
          <cell r="N2137">
            <v>0</v>
          </cell>
          <cell r="O2137">
            <v>22860</v>
          </cell>
        </row>
        <row r="2138">
          <cell r="A2138" t="str">
            <v>05</v>
          </cell>
          <cell r="F2138" t="str">
            <v>本月合计</v>
          </cell>
          <cell r="G2138">
            <v>0</v>
          </cell>
          <cell r="H2138">
            <v>432.26920000000001</v>
          </cell>
          <cell r="I2138">
            <v>6922203.7199999997</v>
          </cell>
          <cell r="J2138">
            <v>434.2389</v>
          </cell>
          <cell r="K2138">
            <v>6922203.7199999997</v>
          </cell>
          <cell r="L2138" t="str">
            <v>借</v>
          </cell>
          <cell r="M2138">
            <v>-2.3696999999999999</v>
          </cell>
          <cell r="N2138">
            <v>9646.7907300000006</v>
          </cell>
          <cell r="O2138">
            <v>22860</v>
          </cell>
        </row>
        <row r="2139">
          <cell r="A2139" t="str">
            <v>05</v>
          </cell>
          <cell r="F2139" t="str">
            <v>累    计</v>
          </cell>
          <cell r="G2139">
            <v>0</v>
          </cell>
          <cell r="H2139">
            <v>816.29420000000005</v>
          </cell>
          <cell r="I2139">
            <v>13471563.720000001</v>
          </cell>
          <cell r="J2139">
            <v>818.66390000000001</v>
          </cell>
          <cell r="K2139">
            <v>13448703.720000001</v>
          </cell>
          <cell r="L2139" t="str">
            <v>借</v>
          </cell>
          <cell r="M2139">
            <v>-2.3696999999999999</v>
          </cell>
          <cell r="N2139">
            <v>9646.7907300000006</v>
          </cell>
          <cell r="O2139">
            <v>22860</v>
          </cell>
        </row>
        <row r="2140">
          <cell r="A2140" t="str">
            <v>07</v>
          </cell>
          <cell r="B2140" t="str">
            <v>22</v>
          </cell>
          <cell r="C2140" t="str">
            <v>记-0069</v>
          </cell>
          <cell r="D2140" t="str">
            <v>158</v>
          </cell>
          <cell r="E2140" t="str">
            <v>虫草</v>
          </cell>
          <cell r="F2140" t="str">
            <v>收购产品</v>
          </cell>
          <cell r="G2140">
            <v>17400</v>
          </cell>
          <cell r="H2140">
            <v>40</v>
          </cell>
          <cell r="I2140">
            <v>696000</v>
          </cell>
          <cell r="J2140">
            <v>0</v>
          </cell>
          <cell r="K2140">
            <v>0</v>
          </cell>
          <cell r="L2140" t="str">
            <v>借</v>
          </cell>
          <cell r="M2140">
            <v>37.630299999999998</v>
          </cell>
          <cell r="N2140">
            <v>0</v>
          </cell>
          <cell r="O2140">
            <v>718860</v>
          </cell>
        </row>
        <row r="2141">
          <cell r="A2141" t="str">
            <v>07</v>
          </cell>
          <cell r="B2141" t="str">
            <v>22</v>
          </cell>
          <cell r="C2141" t="str">
            <v>记-0070</v>
          </cell>
          <cell r="D2141" t="str">
            <v>158</v>
          </cell>
          <cell r="E2141" t="str">
            <v>虫草</v>
          </cell>
          <cell r="F2141" t="str">
            <v>收购产品</v>
          </cell>
          <cell r="G2141">
            <v>21750</v>
          </cell>
          <cell r="H2141">
            <v>50</v>
          </cell>
          <cell r="I2141">
            <v>1087500</v>
          </cell>
          <cell r="J2141">
            <v>0</v>
          </cell>
          <cell r="K2141">
            <v>0</v>
          </cell>
          <cell r="L2141" t="str">
            <v>借</v>
          </cell>
          <cell r="M2141">
            <v>87.630300000000005</v>
          </cell>
          <cell r="N2141">
            <v>0</v>
          </cell>
          <cell r="O2141">
            <v>1806360</v>
          </cell>
        </row>
        <row r="2142">
          <cell r="A2142" t="str">
            <v>07</v>
          </cell>
          <cell r="B2142" t="str">
            <v>22</v>
          </cell>
          <cell r="C2142" t="str">
            <v>记-0071</v>
          </cell>
          <cell r="D2142" t="str">
            <v>158</v>
          </cell>
          <cell r="E2142" t="str">
            <v>虫草</v>
          </cell>
          <cell r="F2142" t="str">
            <v>收购产品</v>
          </cell>
          <cell r="G2142">
            <v>17400</v>
          </cell>
          <cell r="H2142">
            <v>50</v>
          </cell>
          <cell r="I2142">
            <v>870000</v>
          </cell>
          <cell r="J2142">
            <v>0</v>
          </cell>
          <cell r="K2142">
            <v>0</v>
          </cell>
          <cell r="L2142" t="str">
            <v>借</v>
          </cell>
          <cell r="M2142">
            <v>137.63030000000001</v>
          </cell>
          <cell r="N2142">
            <v>0</v>
          </cell>
          <cell r="O2142">
            <v>2676360</v>
          </cell>
        </row>
        <row r="2143">
          <cell r="A2143" t="str">
            <v>07</v>
          </cell>
          <cell r="B2143" t="str">
            <v>22</v>
          </cell>
          <cell r="C2143" t="str">
            <v>记-0072</v>
          </cell>
          <cell r="D2143" t="str">
            <v>158</v>
          </cell>
          <cell r="E2143" t="str">
            <v>虫草</v>
          </cell>
          <cell r="F2143" t="str">
            <v>收购产品</v>
          </cell>
          <cell r="G2143">
            <v>17400</v>
          </cell>
          <cell r="H2143">
            <v>50</v>
          </cell>
          <cell r="I2143">
            <v>870000</v>
          </cell>
          <cell r="J2143">
            <v>0</v>
          </cell>
          <cell r="K2143">
            <v>0</v>
          </cell>
          <cell r="L2143" t="str">
            <v>借</v>
          </cell>
          <cell r="M2143">
            <v>187.63030000000001</v>
          </cell>
          <cell r="N2143">
            <v>0</v>
          </cell>
          <cell r="O2143">
            <v>3546360</v>
          </cell>
        </row>
        <row r="2144">
          <cell r="A2144" t="str">
            <v>07</v>
          </cell>
          <cell r="B2144" t="str">
            <v>22</v>
          </cell>
          <cell r="C2144" t="str">
            <v>记-0073</v>
          </cell>
          <cell r="D2144" t="str">
            <v>158</v>
          </cell>
          <cell r="E2144" t="str">
            <v>虫草</v>
          </cell>
          <cell r="F2144" t="str">
            <v>收购产品</v>
          </cell>
          <cell r="G2144">
            <v>21750</v>
          </cell>
          <cell r="H2144">
            <v>48</v>
          </cell>
          <cell r="I2144">
            <v>1044000</v>
          </cell>
          <cell r="J2144">
            <v>0</v>
          </cell>
          <cell r="K2144">
            <v>0</v>
          </cell>
          <cell r="L2144" t="str">
            <v>借</v>
          </cell>
          <cell r="M2144">
            <v>235.63030000000001</v>
          </cell>
          <cell r="N2144">
            <v>0</v>
          </cell>
          <cell r="O2144">
            <v>4590360</v>
          </cell>
        </row>
        <row r="2145">
          <cell r="A2145" t="str">
            <v>07</v>
          </cell>
          <cell r="B2145" t="str">
            <v>22</v>
          </cell>
          <cell r="C2145" t="str">
            <v>记-0074</v>
          </cell>
          <cell r="D2145" t="str">
            <v>158</v>
          </cell>
          <cell r="E2145" t="str">
            <v>虫草</v>
          </cell>
          <cell r="F2145" t="str">
            <v>收购产品</v>
          </cell>
          <cell r="G2145">
            <v>17400</v>
          </cell>
          <cell r="H2145">
            <v>30</v>
          </cell>
          <cell r="I2145">
            <v>522000</v>
          </cell>
          <cell r="J2145">
            <v>0</v>
          </cell>
          <cell r="K2145">
            <v>0</v>
          </cell>
          <cell r="L2145" t="str">
            <v>借</v>
          </cell>
          <cell r="M2145">
            <v>265.63029999999998</v>
          </cell>
          <cell r="N2145">
            <v>0</v>
          </cell>
          <cell r="O2145">
            <v>5112360</v>
          </cell>
        </row>
        <row r="2146">
          <cell r="A2146" t="str">
            <v>07</v>
          </cell>
          <cell r="B2146" t="str">
            <v>22</v>
          </cell>
          <cell r="C2146" t="str">
            <v>记-0075</v>
          </cell>
          <cell r="D2146" t="str">
            <v>158</v>
          </cell>
          <cell r="E2146" t="str">
            <v>虫草</v>
          </cell>
          <cell r="F2146" t="str">
            <v>收购产品</v>
          </cell>
          <cell r="G2146">
            <v>21750</v>
          </cell>
          <cell r="H2146">
            <v>66</v>
          </cell>
          <cell r="I2146">
            <v>1435500</v>
          </cell>
          <cell r="J2146">
            <v>0</v>
          </cell>
          <cell r="K2146">
            <v>0</v>
          </cell>
          <cell r="L2146" t="str">
            <v>借</v>
          </cell>
          <cell r="M2146">
            <v>331.63029999999998</v>
          </cell>
          <cell r="N2146">
            <v>0</v>
          </cell>
          <cell r="O2146">
            <v>6547860</v>
          </cell>
        </row>
        <row r="2147">
          <cell r="A2147" t="str">
            <v>07</v>
          </cell>
          <cell r="B2147" t="str">
            <v>22</v>
          </cell>
          <cell r="C2147" t="str">
            <v>记-0080</v>
          </cell>
          <cell r="D2147" t="str">
            <v>158</v>
          </cell>
          <cell r="E2147" t="str">
            <v>虫草</v>
          </cell>
          <cell r="F2147" t="str">
            <v>结转成本</v>
          </cell>
          <cell r="G2147">
            <v>19535.93</v>
          </cell>
          <cell r="H2147">
            <v>0</v>
          </cell>
          <cell r="I2147">
            <v>0</v>
          </cell>
          <cell r="J2147">
            <v>88</v>
          </cell>
          <cell r="K2147">
            <v>1719161.84</v>
          </cell>
          <cell r="L2147" t="str">
            <v>借</v>
          </cell>
          <cell r="M2147">
            <v>243.63030000000001</v>
          </cell>
          <cell r="N2147">
            <v>0</v>
          </cell>
          <cell r="O2147">
            <v>4828698.16</v>
          </cell>
        </row>
        <row r="2148">
          <cell r="A2148" t="str">
            <v>07</v>
          </cell>
          <cell r="B2148" t="str">
            <v>22</v>
          </cell>
          <cell r="C2148" t="str">
            <v>记-0081</v>
          </cell>
          <cell r="D2148" t="str">
            <v>158</v>
          </cell>
          <cell r="E2148" t="str">
            <v>虫草</v>
          </cell>
          <cell r="F2148" t="str">
            <v>结转成本</v>
          </cell>
          <cell r="G2148">
            <v>19535.93</v>
          </cell>
          <cell r="H2148">
            <v>0</v>
          </cell>
          <cell r="I2148">
            <v>0</v>
          </cell>
          <cell r="J2148">
            <v>50</v>
          </cell>
          <cell r="K2148">
            <v>976796.5</v>
          </cell>
          <cell r="L2148" t="str">
            <v>借</v>
          </cell>
          <cell r="M2148">
            <v>193.63030000000001</v>
          </cell>
          <cell r="N2148">
            <v>0</v>
          </cell>
          <cell r="O2148">
            <v>3851901.66</v>
          </cell>
        </row>
        <row r="2149">
          <cell r="A2149" t="str">
            <v>07</v>
          </cell>
          <cell r="B2149" t="str">
            <v>22</v>
          </cell>
          <cell r="C2149" t="str">
            <v>记-0082</v>
          </cell>
          <cell r="D2149" t="str">
            <v>158</v>
          </cell>
          <cell r="E2149" t="str">
            <v>虫草</v>
          </cell>
          <cell r="F2149" t="str">
            <v>结转成本</v>
          </cell>
          <cell r="G2149">
            <v>19535.93</v>
          </cell>
          <cell r="H2149">
            <v>0</v>
          </cell>
          <cell r="I2149">
            <v>0</v>
          </cell>
          <cell r="J2149">
            <v>100</v>
          </cell>
          <cell r="K2149">
            <v>1953593</v>
          </cell>
          <cell r="L2149" t="str">
            <v>借</v>
          </cell>
          <cell r="M2149">
            <v>93.630300000000005</v>
          </cell>
          <cell r="N2149">
            <v>0</v>
          </cell>
          <cell r="O2149">
            <v>1898308.66</v>
          </cell>
        </row>
        <row r="2150">
          <cell r="A2150" t="str">
            <v>07</v>
          </cell>
          <cell r="B2150" t="str">
            <v>22</v>
          </cell>
          <cell r="C2150" t="str">
            <v>记-0083</v>
          </cell>
          <cell r="D2150" t="str">
            <v>158</v>
          </cell>
          <cell r="E2150" t="str">
            <v>虫草</v>
          </cell>
          <cell r="F2150" t="str">
            <v>结转成本</v>
          </cell>
          <cell r="G2150">
            <v>19535.92354</v>
          </cell>
          <cell r="H2150">
            <v>0</v>
          </cell>
          <cell r="I2150">
            <v>0</v>
          </cell>
          <cell r="J2150">
            <v>96</v>
          </cell>
          <cell r="K2150">
            <v>1875448.66</v>
          </cell>
          <cell r="L2150" t="str">
            <v>借</v>
          </cell>
          <cell r="M2150">
            <v>-2.3696999999999999</v>
          </cell>
          <cell r="N2150">
            <v>0</v>
          </cell>
          <cell r="O2150">
            <v>22860</v>
          </cell>
        </row>
        <row r="2151">
          <cell r="A2151" t="str">
            <v>07</v>
          </cell>
          <cell r="F2151" t="str">
            <v>本月合计</v>
          </cell>
          <cell r="G2151">
            <v>0</v>
          </cell>
          <cell r="H2151">
            <v>334</v>
          </cell>
          <cell r="I2151">
            <v>6525000</v>
          </cell>
          <cell r="J2151">
            <v>334</v>
          </cell>
          <cell r="K2151">
            <v>6525000</v>
          </cell>
          <cell r="L2151" t="str">
            <v>借</v>
          </cell>
          <cell r="M2151">
            <v>-2.3696999999999999</v>
          </cell>
          <cell r="N2151">
            <v>9646.7907300000006</v>
          </cell>
          <cell r="O2151">
            <v>22860</v>
          </cell>
        </row>
        <row r="2152">
          <cell r="A2152" t="str">
            <v>07</v>
          </cell>
          <cell r="F2152" t="str">
            <v>累    计</v>
          </cell>
          <cell r="G2152">
            <v>0</v>
          </cell>
          <cell r="H2152">
            <v>1150.2942</v>
          </cell>
          <cell r="I2152">
            <v>19996563.719999999</v>
          </cell>
          <cell r="J2152">
            <v>1152.6639</v>
          </cell>
          <cell r="K2152">
            <v>19973703.719999999</v>
          </cell>
          <cell r="L2152" t="str">
            <v>借</v>
          </cell>
          <cell r="M2152">
            <v>-2.3696999999999999</v>
          </cell>
          <cell r="N2152">
            <v>9646.7907300000006</v>
          </cell>
          <cell r="O2152">
            <v>22860</v>
          </cell>
        </row>
        <row r="2153">
          <cell r="A2153" t="str">
            <v>08</v>
          </cell>
          <cell r="B2153" t="str">
            <v>25</v>
          </cell>
          <cell r="C2153" t="str">
            <v>记-0070</v>
          </cell>
          <cell r="D2153" t="str">
            <v>158</v>
          </cell>
          <cell r="E2153" t="str">
            <v>虫草</v>
          </cell>
          <cell r="F2153" t="str">
            <v>收购产品</v>
          </cell>
          <cell r="G2153">
            <v>21750</v>
          </cell>
          <cell r="H2153">
            <v>68</v>
          </cell>
          <cell r="I2153">
            <v>1479000</v>
          </cell>
          <cell r="J2153">
            <v>0</v>
          </cell>
          <cell r="K2153">
            <v>0</v>
          </cell>
          <cell r="L2153" t="str">
            <v>借</v>
          </cell>
          <cell r="M2153">
            <v>65.630300000000005</v>
          </cell>
          <cell r="N2153">
            <v>0</v>
          </cell>
          <cell r="O2153">
            <v>1501860</v>
          </cell>
        </row>
        <row r="2154">
          <cell r="A2154" t="str">
            <v>08</v>
          </cell>
          <cell r="B2154" t="str">
            <v>25</v>
          </cell>
          <cell r="C2154" t="str">
            <v>记-0074</v>
          </cell>
          <cell r="D2154" t="str">
            <v>158</v>
          </cell>
          <cell r="E2154" t="str">
            <v>虫草</v>
          </cell>
          <cell r="F2154" t="str">
            <v>收购产品</v>
          </cell>
          <cell r="G2154">
            <v>21750</v>
          </cell>
          <cell r="H2154">
            <v>160</v>
          </cell>
          <cell r="I2154">
            <v>3480000</v>
          </cell>
          <cell r="J2154">
            <v>0</v>
          </cell>
          <cell r="K2154">
            <v>0</v>
          </cell>
          <cell r="L2154" t="str">
            <v>借</v>
          </cell>
          <cell r="M2154">
            <v>225.63030000000001</v>
          </cell>
          <cell r="N2154">
            <v>0</v>
          </cell>
          <cell r="O2154">
            <v>4981860</v>
          </cell>
        </row>
        <row r="2155">
          <cell r="A2155" t="str">
            <v>08</v>
          </cell>
          <cell r="B2155" t="str">
            <v>25</v>
          </cell>
          <cell r="C2155" t="str">
            <v>记-0079</v>
          </cell>
          <cell r="D2155" t="str">
            <v>158</v>
          </cell>
          <cell r="E2155" t="str">
            <v>虫草</v>
          </cell>
          <cell r="F2155" t="str">
            <v>结转成本</v>
          </cell>
          <cell r="G2155">
            <v>23065.78947</v>
          </cell>
          <cell r="H2155">
            <v>0</v>
          </cell>
          <cell r="I2155">
            <v>0</v>
          </cell>
          <cell r="J2155">
            <v>228</v>
          </cell>
          <cell r="K2155">
            <v>5259000</v>
          </cell>
          <cell r="L2155" t="str">
            <v>贷</v>
          </cell>
          <cell r="M2155">
            <v>2.3696999999999999</v>
          </cell>
          <cell r="N2155">
            <v>0</v>
          </cell>
          <cell r="O2155">
            <v>277140</v>
          </cell>
        </row>
        <row r="2156">
          <cell r="A2156" t="str">
            <v>08</v>
          </cell>
          <cell r="F2156" t="str">
            <v>本月合计</v>
          </cell>
          <cell r="G2156">
            <v>0</v>
          </cell>
          <cell r="H2156">
            <v>228</v>
          </cell>
          <cell r="I2156">
            <v>4959000</v>
          </cell>
          <cell r="J2156">
            <v>228</v>
          </cell>
          <cell r="K2156">
            <v>5259000</v>
          </cell>
          <cell r="L2156" t="str">
            <v>贷</v>
          </cell>
          <cell r="M2156">
            <v>2.3696999999999999</v>
          </cell>
          <cell r="N2156">
            <v>116951.51285</v>
          </cell>
          <cell r="O2156">
            <v>277140</v>
          </cell>
        </row>
        <row r="2157">
          <cell r="A2157" t="str">
            <v>08</v>
          </cell>
          <cell r="F2157" t="str">
            <v>累    计</v>
          </cell>
          <cell r="G2157">
            <v>0</v>
          </cell>
          <cell r="H2157">
            <v>1378.2942</v>
          </cell>
          <cell r="I2157">
            <v>24955563.719999999</v>
          </cell>
          <cell r="J2157">
            <v>1380.6639</v>
          </cell>
          <cell r="K2157">
            <v>25232703.719999999</v>
          </cell>
          <cell r="L2157" t="str">
            <v>贷</v>
          </cell>
          <cell r="M2157">
            <v>2.3696999999999999</v>
          </cell>
          <cell r="N2157">
            <v>116951.51285</v>
          </cell>
          <cell r="O2157">
            <v>277140</v>
          </cell>
        </row>
        <row r="2158">
          <cell r="A2158" t="str">
            <v>09</v>
          </cell>
          <cell r="B2158" t="str">
            <v>22</v>
          </cell>
          <cell r="C2158" t="str">
            <v>记-0047</v>
          </cell>
          <cell r="D2158" t="str">
            <v>158</v>
          </cell>
          <cell r="E2158" t="str">
            <v>虫草</v>
          </cell>
          <cell r="F2158" t="str">
            <v>结转成本</v>
          </cell>
          <cell r="G2158">
            <v>18641.5635</v>
          </cell>
          <cell r="H2158">
            <v>0</v>
          </cell>
          <cell r="I2158">
            <v>0</v>
          </cell>
          <cell r="J2158">
            <v>168.25700000000001</v>
          </cell>
          <cell r="K2158">
            <v>3136573.55</v>
          </cell>
          <cell r="L2158" t="str">
            <v>贷</v>
          </cell>
          <cell r="M2158">
            <v>170.6267</v>
          </cell>
          <cell r="N2158">
            <v>0</v>
          </cell>
          <cell r="O2158">
            <v>3413713.55</v>
          </cell>
        </row>
        <row r="2159">
          <cell r="A2159" t="str">
            <v>09</v>
          </cell>
          <cell r="B2159" t="str">
            <v>22</v>
          </cell>
          <cell r="C2159" t="str">
            <v>记-0048</v>
          </cell>
          <cell r="D2159" t="str">
            <v>158</v>
          </cell>
          <cell r="E2159" t="str">
            <v>虫草</v>
          </cell>
          <cell r="F2159" t="str">
            <v>结转成本</v>
          </cell>
          <cell r="G2159">
            <v>17400</v>
          </cell>
          <cell r="H2159">
            <v>0</v>
          </cell>
          <cell r="I2159">
            <v>0</v>
          </cell>
          <cell r="J2159">
            <v>50</v>
          </cell>
          <cell r="K2159">
            <v>870000</v>
          </cell>
          <cell r="L2159" t="str">
            <v>贷</v>
          </cell>
          <cell r="M2159">
            <v>220.6267</v>
          </cell>
          <cell r="N2159">
            <v>0</v>
          </cell>
          <cell r="O2159">
            <v>4283713.55</v>
          </cell>
        </row>
        <row r="2160">
          <cell r="A2160" t="str">
            <v>09</v>
          </cell>
          <cell r="B2160" t="str">
            <v>22</v>
          </cell>
          <cell r="C2160" t="str">
            <v>记-0053</v>
          </cell>
          <cell r="D2160" t="str">
            <v>158</v>
          </cell>
          <cell r="E2160" t="str">
            <v>虫草</v>
          </cell>
          <cell r="F2160" t="str">
            <v>结转成本</v>
          </cell>
          <cell r="G2160">
            <v>17400</v>
          </cell>
          <cell r="H2160">
            <v>0</v>
          </cell>
          <cell r="I2160">
            <v>0</v>
          </cell>
          <cell r="J2160">
            <v>50</v>
          </cell>
          <cell r="K2160">
            <v>870000</v>
          </cell>
          <cell r="L2160" t="str">
            <v>贷</v>
          </cell>
          <cell r="M2160">
            <v>270.62670000000003</v>
          </cell>
          <cell r="N2160">
            <v>0</v>
          </cell>
          <cell r="O2160">
            <v>5153713.55</v>
          </cell>
        </row>
        <row r="2161">
          <cell r="A2161" t="str">
            <v>09</v>
          </cell>
          <cell r="B2161" t="str">
            <v>22</v>
          </cell>
          <cell r="C2161" t="str">
            <v>记-0054</v>
          </cell>
          <cell r="D2161" t="str">
            <v>158</v>
          </cell>
          <cell r="E2161" t="str">
            <v>虫草</v>
          </cell>
          <cell r="F2161" t="str">
            <v>结转成本</v>
          </cell>
          <cell r="G2161">
            <v>18639.750520000001</v>
          </cell>
          <cell r="H2161">
            <v>0</v>
          </cell>
          <cell r="I2161">
            <v>0</v>
          </cell>
          <cell r="J2161">
            <v>42.006999999999998</v>
          </cell>
          <cell r="K2161">
            <v>783000</v>
          </cell>
          <cell r="L2161" t="str">
            <v>贷</v>
          </cell>
          <cell r="M2161">
            <v>312.63369999999998</v>
          </cell>
          <cell r="N2161">
            <v>0</v>
          </cell>
          <cell r="O2161">
            <v>5936713.5499999998</v>
          </cell>
        </row>
        <row r="2162">
          <cell r="A2162" t="str">
            <v>09</v>
          </cell>
          <cell r="B2162" t="str">
            <v>22</v>
          </cell>
          <cell r="C2162" t="str">
            <v>记-0055</v>
          </cell>
          <cell r="D2162" t="str">
            <v>158</v>
          </cell>
          <cell r="E2162" t="str">
            <v>虫草</v>
          </cell>
          <cell r="F2162" t="str">
            <v>收购产品</v>
          </cell>
          <cell r="G2162">
            <v>18641.5635</v>
          </cell>
          <cell r="H2162">
            <v>168.25700000000001</v>
          </cell>
          <cell r="I2162">
            <v>3136573.55</v>
          </cell>
          <cell r="J2162">
            <v>0</v>
          </cell>
          <cell r="K2162">
            <v>0</v>
          </cell>
          <cell r="L2162" t="str">
            <v>贷</v>
          </cell>
          <cell r="M2162">
            <v>144.3767</v>
          </cell>
          <cell r="N2162">
            <v>0</v>
          </cell>
          <cell r="O2162">
            <v>2800140</v>
          </cell>
        </row>
        <row r="2163">
          <cell r="A2163" t="str">
            <v>09</v>
          </cell>
          <cell r="B2163" t="str">
            <v>22</v>
          </cell>
          <cell r="C2163" t="str">
            <v>记-0056</v>
          </cell>
          <cell r="D2163" t="str">
            <v>158</v>
          </cell>
          <cell r="E2163" t="str">
            <v>虫草</v>
          </cell>
          <cell r="F2163" t="str">
            <v>收购产品</v>
          </cell>
          <cell r="G2163">
            <v>17400</v>
          </cell>
          <cell r="H2163">
            <v>50</v>
          </cell>
          <cell r="I2163">
            <v>870000</v>
          </cell>
          <cell r="J2163">
            <v>0</v>
          </cell>
          <cell r="K2163">
            <v>0</v>
          </cell>
          <cell r="L2163" t="str">
            <v>贷</v>
          </cell>
          <cell r="M2163">
            <v>94.3767</v>
          </cell>
          <cell r="N2163">
            <v>0</v>
          </cell>
          <cell r="O2163">
            <v>1930140</v>
          </cell>
        </row>
        <row r="2164">
          <cell r="A2164" t="str">
            <v>09</v>
          </cell>
          <cell r="B2164" t="str">
            <v>22</v>
          </cell>
          <cell r="C2164" t="str">
            <v>记-0057</v>
          </cell>
          <cell r="D2164" t="str">
            <v>158</v>
          </cell>
          <cell r="E2164" t="str">
            <v>虫草</v>
          </cell>
          <cell r="F2164" t="str">
            <v>收购产品</v>
          </cell>
          <cell r="G2164">
            <v>17400</v>
          </cell>
          <cell r="H2164">
            <v>50</v>
          </cell>
          <cell r="I2164">
            <v>870000</v>
          </cell>
          <cell r="J2164">
            <v>0</v>
          </cell>
          <cell r="K2164">
            <v>0</v>
          </cell>
          <cell r="L2164" t="str">
            <v>贷</v>
          </cell>
          <cell r="M2164">
            <v>44.3767</v>
          </cell>
          <cell r="N2164">
            <v>0</v>
          </cell>
          <cell r="O2164">
            <v>1060140</v>
          </cell>
        </row>
        <row r="2165">
          <cell r="A2165" t="str">
            <v>09</v>
          </cell>
          <cell r="B2165" t="str">
            <v>22</v>
          </cell>
          <cell r="C2165" t="str">
            <v>记-0058</v>
          </cell>
          <cell r="D2165" t="str">
            <v>158</v>
          </cell>
          <cell r="E2165" t="str">
            <v>虫草</v>
          </cell>
          <cell r="F2165" t="str">
            <v>收购产品</v>
          </cell>
          <cell r="G2165">
            <v>18639.750520000001</v>
          </cell>
          <cell r="H2165">
            <v>42.006999999999998</v>
          </cell>
          <cell r="I2165">
            <v>783000</v>
          </cell>
          <cell r="J2165">
            <v>0</v>
          </cell>
          <cell r="K2165">
            <v>0</v>
          </cell>
          <cell r="L2165" t="str">
            <v>贷</v>
          </cell>
          <cell r="M2165">
            <v>2.3696999999999999</v>
          </cell>
          <cell r="N2165">
            <v>0</v>
          </cell>
          <cell r="O2165">
            <v>277140</v>
          </cell>
        </row>
        <row r="2166">
          <cell r="A2166" t="str">
            <v>09</v>
          </cell>
          <cell r="F2166" t="str">
            <v>本月合计</v>
          </cell>
          <cell r="G2166">
            <v>0</v>
          </cell>
          <cell r="H2166">
            <v>310.26400000000001</v>
          </cell>
          <cell r="I2166">
            <v>5659573.5499999998</v>
          </cell>
          <cell r="J2166">
            <v>310.26400000000001</v>
          </cell>
          <cell r="K2166">
            <v>5659573.5499999998</v>
          </cell>
          <cell r="L2166" t="str">
            <v>贷</v>
          </cell>
          <cell r="M2166">
            <v>2.3696999999999999</v>
          </cell>
          <cell r="N2166">
            <v>116951.51285</v>
          </cell>
          <cell r="O2166">
            <v>277140</v>
          </cell>
        </row>
        <row r="2167">
          <cell r="A2167" t="str">
            <v>09</v>
          </cell>
          <cell r="F2167" t="str">
            <v>累    计</v>
          </cell>
          <cell r="G2167">
            <v>0</v>
          </cell>
          <cell r="H2167">
            <v>1688.5581999999999</v>
          </cell>
          <cell r="I2167">
            <v>30615137.27</v>
          </cell>
          <cell r="J2167">
            <v>1690.9278999999999</v>
          </cell>
          <cell r="K2167">
            <v>30892277.27</v>
          </cell>
          <cell r="L2167" t="str">
            <v>贷</v>
          </cell>
          <cell r="M2167">
            <v>2.3696999999999999</v>
          </cell>
          <cell r="N2167">
            <v>116951.51285</v>
          </cell>
          <cell r="O2167">
            <v>277140</v>
          </cell>
        </row>
        <row r="2168">
          <cell r="A2168" t="str">
            <v>10</v>
          </cell>
          <cell r="B2168" t="str">
            <v>22</v>
          </cell>
          <cell r="C2168" t="str">
            <v>记-0064</v>
          </cell>
          <cell r="D2168" t="str">
            <v>158</v>
          </cell>
          <cell r="E2168" t="str">
            <v>虫草</v>
          </cell>
          <cell r="F2168" t="str">
            <v>收购产品</v>
          </cell>
          <cell r="G2168">
            <v>17400</v>
          </cell>
          <cell r="H2168">
            <v>30.96</v>
          </cell>
          <cell r="I2168">
            <v>538704</v>
          </cell>
          <cell r="J2168">
            <v>0</v>
          </cell>
          <cell r="K2168">
            <v>0</v>
          </cell>
          <cell r="L2168" t="str">
            <v>借</v>
          </cell>
          <cell r="M2168">
            <v>28.590299999999999</v>
          </cell>
          <cell r="N2168">
            <v>0</v>
          </cell>
          <cell r="O2168">
            <v>261564</v>
          </cell>
        </row>
        <row r="2169">
          <cell r="A2169" t="str">
            <v>10</v>
          </cell>
          <cell r="B2169" t="str">
            <v>22</v>
          </cell>
          <cell r="C2169" t="str">
            <v>记-0065</v>
          </cell>
          <cell r="D2169" t="str">
            <v>158</v>
          </cell>
          <cell r="E2169" t="str">
            <v>虫草</v>
          </cell>
          <cell r="F2169" t="str">
            <v>收购产品</v>
          </cell>
          <cell r="G2169">
            <v>19575</v>
          </cell>
          <cell r="H2169">
            <v>80</v>
          </cell>
          <cell r="I2169">
            <v>1566000</v>
          </cell>
          <cell r="J2169">
            <v>0</v>
          </cell>
          <cell r="K2169">
            <v>0</v>
          </cell>
          <cell r="L2169" t="str">
            <v>借</v>
          </cell>
          <cell r="M2169">
            <v>108.5903</v>
          </cell>
          <cell r="N2169">
            <v>0</v>
          </cell>
          <cell r="O2169">
            <v>1827564</v>
          </cell>
        </row>
        <row r="2170">
          <cell r="A2170" t="str">
            <v>10</v>
          </cell>
          <cell r="B2170" t="str">
            <v>22</v>
          </cell>
          <cell r="C2170" t="str">
            <v>记-0066</v>
          </cell>
          <cell r="D2170" t="str">
            <v>158</v>
          </cell>
          <cell r="E2170" t="str">
            <v>虫草</v>
          </cell>
          <cell r="F2170" t="str">
            <v>结转成本</v>
          </cell>
          <cell r="G2170">
            <v>19575</v>
          </cell>
          <cell r="H2170">
            <v>0</v>
          </cell>
          <cell r="I2170">
            <v>0</v>
          </cell>
          <cell r="J2170">
            <v>80</v>
          </cell>
          <cell r="K2170">
            <v>1566000</v>
          </cell>
          <cell r="L2170" t="str">
            <v>借</v>
          </cell>
          <cell r="M2170">
            <v>28.590299999999999</v>
          </cell>
          <cell r="N2170">
            <v>0</v>
          </cell>
          <cell r="O2170">
            <v>261564</v>
          </cell>
        </row>
        <row r="2171">
          <cell r="A2171" t="str">
            <v>10</v>
          </cell>
          <cell r="B2171" t="str">
            <v>22</v>
          </cell>
          <cell r="C2171" t="str">
            <v>记-0067</v>
          </cell>
          <cell r="D2171" t="str">
            <v>158</v>
          </cell>
          <cell r="E2171" t="str">
            <v>虫草</v>
          </cell>
          <cell r="F2171" t="str">
            <v>结转成本</v>
          </cell>
          <cell r="G2171">
            <v>17400</v>
          </cell>
          <cell r="H2171">
            <v>0</v>
          </cell>
          <cell r="I2171">
            <v>0</v>
          </cell>
          <cell r="J2171">
            <v>30.96</v>
          </cell>
          <cell r="K2171">
            <v>538704</v>
          </cell>
          <cell r="L2171" t="str">
            <v>贷</v>
          </cell>
          <cell r="M2171">
            <v>2.3696999999999999</v>
          </cell>
          <cell r="N2171">
            <v>0</v>
          </cell>
          <cell r="O2171">
            <v>277140</v>
          </cell>
        </row>
        <row r="2172">
          <cell r="A2172" t="str">
            <v>10</v>
          </cell>
          <cell r="F2172" t="str">
            <v>本月合计</v>
          </cell>
          <cell r="G2172">
            <v>0</v>
          </cell>
          <cell r="H2172">
            <v>110.96</v>
          </cell>
          <cell r="I2172">
            <v>2104704</v>
          </cell>
          <cell r="J2172">
            <v>110.96</v>
          </cell>
          <cell r="K2172">
            <v>2104704</v>
          </cell>
          <cell r="L2172" t="str">
            <v>贷</v>
          </cell>
          <cell r="M2172">
            <v>2.3696999999999999</v>
          </cell>
          <cell r="N2172">
            <v>116951.51285</v>
          </cell>
          <cell r="O2172">
            <v>277140</v>
          </cell>
        </row>
        <row r="2173">
          <cell r="A2173" t="str">
            <v>10</v>
          </cell>
          <cell r="F2173" t="str">
            <v>累    计</v>
          </cell>
          <cell r="G2173">
            <v>0</v>
          </cell>
          <cell r="H2173">
            <v>1799.5182</v>
          </cell>
          <cell r="I2173">
            <v>32719841.27</v>
          </cell>
          <cell r="J2173">
            <v>1801.8878999999999</v>
          </cell>
          <cell r="K2173">
            <v>32996981.27</v>
          </cell>
          <cell r="L2173" t="str">
            <v>贷</v>
          </cell>
          <cell r="M2173">
            <v>2.3696999999999999</v>
          </cell>
          <cell r="N2173">
            <v>116951.51285</v>
          </cell>
          <cell r="O2173">
            <v>277140</v>
          </cell>
        </row>
        <row r="2174">
          <cell r="A2174" t="str">
            <v>11</v>
          </cell>
          <cell r="B2174" t="str">
            <v>30</v>
          </cell>
          <cell r="C2174" t="str">
            <v>记-0130</v>
          </cell>
          <cell r="D2174" t="str">
            <v>158</v>
          </cell>
          <cell r="E2174" t="str">
            <v>虫草</v>
          </cell>
          <cell r="F2174" t="str">
            <v>收购产品</v>
          </cell>
          <cell r="G2174">
            <v>28275</v>
          </cell>
          <cell r="H2174">
            <v>3</v>
          </cell>
          <cell r="I2174">
            <v>84825</v>
          </cell>
          <cell r="J2174">
            <v>0</v>
          </cell>
          <cell r="K2174">
            <v>0</v>
          </cell>
          <cell r="L2174" t="str">
            <v>贷</v>
          </cell>
          <cell r="M2174">
            <v>-0.63029999999999997</v>
          </cell>
          <cell r="N2174">
            <v>0</v>
          </cell>
          <cell r="O2174">
            <v>192315</v>
          </cell>
        </row>
        <row r="2175">
          <cell r="A2175" t="str">
            <v>11</v>
          </cell>
          <cell r="B2175" t="str">
            <v>30</v>
          </cell>
          <cell r="C2175" t="str">
            <v>记-0136</v>
          </cell>
          <cell r="D2175" t="str">
            <v>158</v>
          </cell>
          <cell r="E2175" t="str">
            <v>虫草</v>
          </cell>
          <cell r="F2175" t="str">
            <v>结转成本</v>
          </cell>
          <cell r="G2175">
            <v>28275</v>
          </cell>
          <cell r="H2175">
            <v>0</v>
          </cell>
          <cell r="I2175">
            <v>0</v>
          </cell>
          <cell r="J2175">
            <v>3</v>
          </cell>
          <cell r="K2175">
            <v>84825</v>
          </cell>
          <cell r="L2175" t="str">
            <v>贷</v>
          </cell>
          <cell r="M2175">
            <v>2.3696999999999999</v>
          </cell>
          <cell r="N2175">
            <v>0</v>
          </cell>
          <cell r="O2175">
            <v>277140</v>
          </cell>
        </row>
        <row r="2176">
          <cell r="A2176" t="str">
            <v>11</v>
          </cell>
          <cell r="F2176" t="str">
            <v>本月合计</v>
          </cell>
          <cell r="G2176">
            <v>0</v>
          </cell>
          <cell r="H2176">
            <v>3</v>
          </cell>
          <cell r="I2176">
            <v>84825</v>
          </cell>
          <cell r="J2176">
            <v>3</v>
          </cell>
          <cell r="K2176">
            <v>84825</v>
          </cell>
          <cell r="L2176" t="str">
            <v>贷</v>
          </cell>
          <cell r="M2176">
            <v>2.3696999999999999</v>
          </cell>
          <cell r="N2176">
            <v>116951.51285</v>
          </cell>
          <cell r="O2176">
            <v>277140</v>
          </cell>
        </row>
        <row r="2177">
          <cell r="A2177" t="str">
            <v>11</v>
          </cell>
          <cell r="F2177" t="str">
            <v>累    计</v>
          </cell>
          <cell r="G2177">
            <v>0</v>
          </cell>
          <cell r="H2177">
            <v>1802.5182</v>
          </cell>
          <cell r="I2177">
            <v>32804666.27</v>
          </cell>
          <cell r="J2177">
            <v>1804.8878999999999</v>
          </cell>
          <cell r="K2177">
            <v>33081806.27</v>
          </cell>
          <cell r="L2177" t="str">
            <v>贷</v>
          </cell>
          <cell r="M2177">
            <v>2.3696999999999999</v>
          </cell>
          <cell r="N2177">
            <v>116951.51285</v>
          </cell>
          <cell r="O2177">
            <v>277140</v>
          </cell>
        </row>
        <row r="2178">
          <cell r="A2178" t="str">
            <v>12</v>
          </cell>
          <cell r="B2178" t="str">
            <v>11</v>
          </cell>
          <cell r="C2178" t="str">
            <v>记-0120</v>
          </cell>
          <cell r="D2178" t="str">
            <v>158</v>
          </cell>
          <cell r="E2178" t="str">
            <v>虫草</v>
          </cell>
          <cell r="F2178" t="str">
            <v>调整3月69号凭</v>
          </cell>
          <cell r="G2178">
            <v>21606.198349999999</v>
          </cell>
          <cell r="H2178">
            <v>-12.1</v>
          </cell>
          <cell r="I2178">
            <v>-261435</v>
          </cell>
          <cell r="J2178">
            <v>0</v>
          </cell>
          <cell r="K2178">
            <v>0</v>
          </cell>
          <cell r="L2178" t="str">
            <v>贷</v>
          </cell>
          <cell r="M2178">
            <v>14.4697</v>
          </cell>
          <cell r="N2178">
            <v>0</v>
          </cell>
          <cell r="O2178">
            <v>538575</v>
          </cell>
        </row>
        <row r="2179">
          <cell r="A2179" t="str">
            <v>12</v>
          </cell>
          <cell r="B2179" t="str">
            <v>11</v>
          </cell>
          <cell r="C2179" t="str">
            <v>记-0120</v>
          </cell>
          <cell r="D2179" t="str">
            <v>158</v>
          </cell>
          <cell r="E2179" t="str">
            <v>虫草</v>
          </cell>
          <cell r="F2179" t="str">
            <v>调整3月69号凭</v>
          </cell>
          <cell r="G2179">
            <v>16866.77419</v>
          </cell>
          <cell r="H2179">
            <v>15.5</v>
          </cell>
          <cell r="I2179">
            <v>261435</v>
          </cell>
          <cell r="J2179">
            <v>0</v>
          </cell>
          <cell r="K2179">
            <v>0</v>
          </cell>
          <cell r="L2179" t="str">
            <v>贷</v>
          </cell>
          <cell r="M2179">
            <v>-1.0303</v>
          </cell>
          <cell r="N2179">
            <v>0</v>
          </cell>
          <cell r="O2179">
            <v>277140</v>
          </cell>
        </row>
        <row r="2180">
          <cell r="A2180" t="str">
            <v>12</v>
          </cell>
          <cell r="B2180" t="str">
            <v>11</v>
          </cell>
          <cell r="C2180" t="str">
            <v>记-0120</v>
          </cell>
          <cell r="D2180" t="str">
            <v>158</v>
          </cell>
          <cell r="E2180" t="str">
            <v>虫草</v>
          </cell>
          <cell r="F2180" t="str">
            <v>调整5月77号凭</v>
          </cell>
          <cell r="G2180">
            <v>13224</v>
          </cell>
          <cell r="H2180">
            <v>0</v>
          </cell>
          <cell r="I2180">
            <v>0</v>
          </cell>
          <cell r="J2180">
            <v>-25</v>
          </cell>
          <cell r="K2180">
            <v>-330600</v>
          </cell>
          <cell r="L2180" t="str">
            <v>借</v>
          </cell>
          <cell r="M2180">
            <v>26.0303</v>
          </cell>
          <cell r="N2180">
            <v>0</v>
          </cell>
          <cell r="O2180">
            <v>53460</v>
          </cell>
        </row>
        <row r="2181">
          <cell r="A2181" t="str">
            <v>12</v>
          </cell>
          <cell r="B2181" t="str">
            <v>11</v>
          </cell>
          <cell r="C2181" t="str">
            <v>记-0120</v>
          </cell>
          <cell r="D2181" t="str">
            <v>158</v>
          </cell>
          <cell r="E2181" t="str">
            <v>虫草</v>
          </cell>
          <cell r="F2181" t="str">
            <v>调整5月77号凭</v>
          </cell>
          <cell r="G2181">
            <v>14355.00189</v>
          </cell>
          <cell r="H2181">
            <v>0</v>
          </cell>
          <cell r="I2181">
            <v>0</v>
          </cell>
          <cell r="J2181">
            <v>23.0303</v>
          </cell>
          <cell r="K2181">
            <v>330600</v>
          </cell>
          <cell r="L2181" t="str">
            <v>贷</v>
          </cell>
          <cell r="M2181">
            <v>-3</v>
          </cell>
          <cell r="N2181">
            <v>0</v>
          </cell>
          <cell r="O2181">
            <v>277140</v>
          </cell>
        </row>
        <row r="2182">
          <cell r="A2182" t="str">
            <v>12</v>
          </cell>
          <cell r="B2182" t="str">
            <v>11</v>
          </cell>
          <cell r="C2182" t="str">
            <v>记-0121</v>
          </cell>
          <cell r="D2182" t="str">
            <v>158</v>
          </cell>
          <cell r="E2182" t="str">
            <v>虫草</v>
          </cell>
          <cell r="F2182" t="str">
            <v>合并名称</v>
          </cell>
          <cell r="G2182">
            <v>0</v>
          </cell>
          <cell r="H2182">
            <v>0</v>
          </cell>
          <cell r="I2182">
            <v>345000.01</v>
          </cell>
          <cell r="J2182">
            <v>0</v>
          </cell>
          <cell r="K2182">
            <v>0</v>
          </cell>
          <cell r="L2182" t="str">
            <v>借</v>
          </cell>
          <cell r="M2182">
            <v>3</v>
          </cell>
          <cell r="N2182">
            <v>0</v>
          </cell>
          <cell r="O2182">
            <v>67860.009999999995</v>
          </cell>
        </row>
        <row r="2183">
          <cell r="A2183" t="str">
            <v>12</v>
          </cell>
          <cell r="B2183" t="str">
            <v>11</v>
          </cell>
          <cell r="C2183" t="str">
            <v>记-0122</v>
          </cell>
          <cell r="D2183" t="str">
            <v>158</v>
          </cell>
          <cell r="E2183" t="str">
            <v>虫草</v>
          </cell>
          <cell r="F2183" t="str">
            <v>结转成本</v>
          </cell>
          <cell r="G2183">
            <v>22620.00333</v>
          </cell>
          <cell r="H2183">
            <v>0</v>
          </cell>
          <cell r="I2183">
            <v>0</v>
          </cell>
          <cell r="J2183">
            <v>3</v>
          </cell>
          <cell r="K2183">
            <v>67860.009999999995</v>
          </cell>
          <cell r="L2183" t="str">
            <v>平</v>
          </cell>
          <cell r="M2183">
            <v>0</v>
          </cell>
          <cell r="N2183">
            <v>0</v>
          </cell>
          <cell r="O2183">
            <v>0</v>
          </cell>
        </row>
        <row r="2184">
          <cell r="A2184" t="str">
            <v>12</v>
          </cell>
          <cell r="B2184" t="str">
            <v>31</v>
          </cell>
          <cell r="C2184" t="str">
            <v>记-0160</v>
          </cell>
          <cell r="D2184" t="str">
            <v>158</v>
          </cell>
          <cell r="E2184" t="str">
            <v>虫草</v>
          </cell>
          <cell r="F2184" t="str">
            <v>收购产品</v>
          </cell>
          <cell r="G2184">
            <v>24360</v>
          </cell>
          <cell r="H2184">
            <v>25</v>
          </cell>
          <cell r="I2184">
            <v>609000</v>
          </cell>
          <cell r="J2184">
            <v>0</v>
          </cell>
          <cell r="K2184">
            <v>0</v>
          </cell>
          <cell r="L2184" t="str">
            <v>借</v>
          </cell>
          <cell r="M2184">
            <v>25</v>
          </cell>
          <cell r="N2184">
            <v>0</v>
          </cell>
          <cell r="O2184">
            <v>609000</v>
          </cell>
        </row>
        <row r="2185">
          <cell r="A2185" t="str">
            <v>12</v>
          </cell>
          <cell r="B2185" t="str">
            <v>31</v>
          </cell>
          <cell r="C2185" t="str">
            <v>记-0161</v>
          </cell>
          <cell r="D2185" t="str">
            <v>158</v>
          </cell>
          <cell r="E2185" t="str">
            <v>虫草</v>
          </cell>
          <cell r="F2185" t="str">
            <v>收购产品</v>
          </cell>
          <cell r="G2185">
            <v>21750</v>
          </cell>
          <cell r="H2185">
            <v>32</v>
          </cell>
          <cell r="I2185">
            <v>696000</v>
          </cell>
          <cell r="J2185">
            <v>0</v>
          </cell>
          <cell r="K2185">
            <v>0</v>
          </cell>
          <cell r="L2185" t="str">
            <v>借</v>
          </cell>
          <cell r="M2185">
            <v>57</v>
          </cell>
          <cell r="N2185">
            <v>0</v>
          </cell>
          <cell r="O2185">
            <v>1305000</v>
          </cell>
        </row>
        <row r="2186">
          <cell r="A2186" t="str">
            <v>12</v>
          </cell>
          <cell r="B2186" t="str">
            <v>31</v>
          </cell>
          <cell r="C2186" t="str">
            <v>记-0187</v>
          </cell>
          <cell r="D2186" t="str">
            <v>158</v>
          </cell>
          <cell r="E2186" t="str">
            <v>虫草</v>
          </cell>
          <cell r="F2186" t="str">
            <v>结转成本</v>
          </cell>
          <cell r="G2186">
            <v>22894.736840000001</v>
          </cell>
          <cell r="H2186">
            <v>0</v>
          </cell>
          <cell r="I2186">
            <v>0</v>
          </cell>
          <cell r="J2186">
            <v>57</v>
          </cell>
          <cell r="K2186">
            <v>1305000</v>
          </cell>
          <cell r="L2186" t="str">
            <v>平</v>
          </cell>
          <cell r="M2186">
            <v>0</v>
          </cell>
          <cell r="N2186">
            <v>0</v>
          </cell>
          <cell r="O2186">
            <v>0</v>
          </cell>
        </row>
        <row r="2187">
          <cell r="A2187" t="str">
            <v>12</v>
          </cell>
          <cell r="B2187" t="str">
            <v>31</v>
          </cell>
          <cell r="C2187" t="str">
            <v>记-0190</v>
          </cell>
          <cell r="D2187" t="str">
            <v>158</v>
          </cell>
          <cell r="E2187" t="str">
            <v>虫草</v>
          </cell>
          <cell r="F2187" t="str">
            <v>调整月74号凭</v>
          </cell>
          <cell r="G2187">
            <v>0</v>
          </cell>
          <cell r="H2187">
            <v>0</v>
          </cell>
          <cell r="I2187">
            <v>-3480000</v>
          </cell>
          <cell r="J2187">
            <v>0</v>
          </cell>
          <cell r="K2187">
            <v>0</v>
          </cell>
          <cell r="L2187" t="str">
            <v>贷</v>
          </cell>
          <cell r="M2187">
            <v>0</v>
          </cell>
          <cell r="N2187">
            <v>0</v>
          </cell>
          <cell r="O2187">
            <v>3480000</v>
          </cell>
        </row>
        <row r="2188">
          <cell r="A2188" t="str">
            <v>12</v>
          </cell>
          <cell r="B2188" t="str">
            <v>31</v>
          </cell>
          <cell r="C2188" t="str">
            <v>记-0191</v>
          </cell>
          <cell r="D2188" t="str">
            <v>158</v>
          </cell>
          <cell r="E2188" t="str">
            <v>虫草</v>
          </cell>
          <cell r="F2188" t="str">
            <v>收购产品</v>
          </cell>
          <cell r="G2188">
            <v>0</v>
          </cell>
          <cell r="H2188">
            <v>0</v>
          </cell>
          <cell r="I2188">
            <v>3480000</v>
          </cell>
          <cell r="J2188">
            <v>0</v>
          </cell>
          <cell r="K2188">
            <v>0</v>
          </cell>
          <cell r="L2188" t="str">
            <v>平</v>
          </cell>
          <cell r="M2188">
            <v>0</v>
          </cell>
          <cell r="N2188">
            <v>0</v>
          </cell>
          <cell r="O2188">
            <v>0</v>
          </cell>
        </row>
        <row r="2189">
          <cell r="A2189" t="str">
            <v>12</v>
          </cell>
          <cell r="F2189" t="str">
            <v>本月合计</v>
          </cell>
          <cell r="G2189">
            <v>0</v>
          </cell>
          <cell r="H2189">
            <v>60.4</v>
          </cell>
          <cell r="I2189">
            <v>1650000.01</v>
          </cell>
          <cell r="J2189">
            <v>58.030299999999997</v>
          </cell>
          <cell r="K2189">
            <v>1372860.01</v>
          </cell>
          <cell r="L2189" t="str">
            <v>平</v>
          </cell>
          <cell r="M2189">
            <v>0</v>
          </cell>
          <cell r="N2189">
            <v>0</v>
          </cell>
          <cell r="O2189">
            <v>0</v>
          </cell>
        </row>
        <row r="2190">
          <cell r="A2190" t="str">
            <v>12</v>
          </cell>
          <cell r="E2190" t="str">
            <v>虫草</v>
          </cell>
          <cell r="F2190" t="str">
            <v>本年累计</v>
          </cell>
          <cell r="G2190">
            <v>0</v>
          </cell>
          <cell r="H2190">
            <v>1862.9182000000001</v>
          </cell>
          <cell r="I2190">
            <v>34454666.280000001</v>
          </cell>
          <cell r="J2190">
            <v>1862.9182000000001</v>
          </cell>
          <cell r="K2190">
            <v>34454666.280000001</v>
          </cell>
          <cell r="L2190" t="str">
            <v>平</v>
          </cell>
          <cell r="M2190">
            <v>0</v>
          </cell>
          <cell r="N2190">
            <v>0</v>
          </cell>
          <cell r="O2190">
            <v>0</v>
          </cell>
        </row>
        <row r="2191">
          <cell r="A2191" t="str">
            <v>03</v>
          </cell>
          <cell r="B2191" t="str">
            <v>31</v>
          </cell>
          <cell r="C2191" t="str">
            <v>记-0042</v>
          </cell>
          <cell r="D2191" t="str">
            <v>165</v>
          </cell>
          <cell r="E2191" t="str">
            <v>野生小节子</v>
          </cell>
          <cell r="F2191" t="str">
            <v>转成本</v>
          </cell>
          <cell r="G2191">
            <v>4.8329899999999997</v>
          </cell>
          <cell r="H2191">
            <v>0</v>
          </cell>
          <cell r="I2191">
            <v>0</v>
          </cell>
          <cell r="J2191">
            <v>234</v>
          </cell>
          <cell r="K2191">
            <v>1130.92</v>
          </cell>
          <cell r="L2191" t="str">
            <v>贷</v>
          </cell>
          <cell r="M2191">
            <v>234</v>
          </cell>
          <cell r="N2191">
            <v>0</v>
          </cell>
          <cell r="O2191">
            <v>1130.92</v>
          </cell>
        </row>
        <row r="2192">
          <cell r="A2192" t="str">
            <v>03</v>
          </cell>
          <cell r="F2192" t="str">
            <v>本月合计</v>
          </cell>
          <cell r="G2192">
            <v>0</v>
          </cell>
          <cell r="H2192">
            <v>0</v>
          </cell>
          <cell r="I2192">
            <v>0</v>
          </cell>
          <cell r="J2192">
            <v>234</v>
          </cell>
          <cell r="K2192">
            <v>1130.92</v>
          </cell>
          <cell r="L2192" t="str">
            <v>贷</v>
          </cell>
          <cell r="M2192">
            <v>234</v>
          </cell>
          <cell r="N2192">
            <v>4.8329899999999997</v>
          </cell>
          <cell r="O2192">
            <v>1130.92</v>
          </cell>
        </row>
        <row r="2193">
          <cell r="A2193" t="str">
            <v>03</v>
          </cell>
          <cell r="F2193" t="str">
            <v>累    计</v>
          </cell>
          <cell r="G2193">
            <v>0</v>
          </cell>
          <cell r="H2193">
            <v>0</v>
          </cell>
          <cell r="I2193">
            <v>0</v>
          </cell>
          <cell r="J2193">
            <v>234</v>
          </cell>
          <cell r="K2193">
            <v>1130.92</v>
          </cell>
          <cell r="L2193" t="str">
            <v>贷</v>
          </cell>
          <cell r="M2193">
            <v>234</v>
          </cell>
          <cell r="N2193">
            <v>4.8329899999999997</v>
          </cell>
          <cell r="O2193">
            <v>1130.92</v>
          </cell>
        </row>
        <row r="2194">
          <cell r="A2194" t="str">
            <v>08</v>
          </cell>
          <cell r="B2194" t="str">
            <v>25</v>
          </cell>
          <cell r="C2194" t="str">
            <v>记-0071</v>
          </cell>
          <cell r="D2194" t="str">
            <v>165</v>
          </cell>
          <cell r="E2194" t="str">
            <v>野生小节子</v>
          </cell>
          <cell r="F2194" t="str">
            <v>收购产品</v>
          </cell>
          <cell r="G2194">
            <v>7.96462</v>
          </cell>
          <cell r="H2194">
            <v>78</v>
          </cell>
          <cell r="I2194">
            <v>621.24</v>
          </cell>
          <cell r="J2194">
            <v>0</v>
          </cell>
          <cell r="K2194">
            <v>0</v>
          </cell>
          <cell r="L2194" t="str">
            <v>贷</v>
          </cell>
          <cell r="M2194">
            <v>156</v>
          </cell>
          <cell r="N2194">
            <v>0</v>
          </cell>
          <cell r="O2194">
            <v>509.68</v>
          </cell>
        </row>
        <row r="2195">
          <cell r="A2195" t="str">
            <v>08</v>
          </cell>
          <cell r="B2195" t="str">
            <v>25</v>
          </cell>
          <cell r="C2195" t="str">
            <v>记-0072</v>
          </cell>
          <cell r="D2195" t="str">
            <v>165</v>
          </cell>
          <cell r="E2195" t="str">
            <v>野生小节子</v>
          </cell>
          <cell r="F2195" t="str">
            <v>收购产品</v>
          </cell>
          <cell r="G2195">
            <v>8.3041599999999995</v>
          </cell>
          <cell r="H2195">
            <v>17550</v>
          </cell>
          <cell r="I2195">
            <v>145738.04999999999</v>
          </cell>
          <cell r="J2195">
            <v>0</v>
          </cell>
          <cell r="K2195">
            <v>0</v>
          </cell>
          <cell r="L2195" t="str">
            <v>借</v>
          </cell>
          <cell r="M2195">
            <v>17394</v>
          </cell>
          <cell r="N2195">
            <v>0</v>
          </cell>
          <cell r="O2195">
            <v>145228.37</v>
          </cell>
        </row>
        <row r="2196">
          <cell r="A2196" t="str">
            <v>08</v>
          </cell>
          <cell r="B2196" t="str">
            <v>25</v>
          </cell>
          <cell r="C2196" t="str">
            <v>记-0073</v>
          </cell>
          <cell r="D2196" t="str">
            <v>165</v>
          </cell>
          <cell r="E2196" t="str">
            <v>野生小节子</v>
          </cell>
          <cell r="F2196" t="str">
            <v>收购产品</v>
          </cell>
          <cell r="G2196">
            <v>7.9645999999999999</v>
          </cell>
          <cell r="H2196">
            <v>4966</v>
          </cell>
          <cell r="I2196">
            <v>39552.21</v>
          </cell>
          <cell r="J2196">
            <v>0</v>
          </cell>
          <cell r="K2196">
            <v>0</v>
          </cell>
          <cell r="L2196" t="str">
            <v>借</v>
          </cell>
          <cell r="M2196">
            <v>22360</v>
          </cell>
          <cell r="N2196">
            <v>0</v>
          </cell>
          <cell r="O2196">
            <v>184780.58</v>
          </cell>
        </row>
        <row r="2197">
          <cell r="A2197" t="str">
            <v>08</v>
          </cell>
          <cell r="F2197" t="str">
            <v>本月合计</v>
          </cell>
          <cell r="G2197">
            <v>0</v>
          </cell>
          <cell r="H2197">
            <v>22594</v>
          </cell>
          <cell r="I2197">
            <v>185911.5</v>
          </cell>
          <cell r="J2197">
            <v>0</v>
          </cell>
          <cell r="K2197">
            <v>0</v>
          </cell>
          <cell r="L2197" t="str">
            <v>借</v>
          </cell>
          <cell r="M2197">
            <v>22360</v>
          </cell>
          <cell r="N2197">
            <v>8.26389</v>
          </cell>
          <cell r="O2197">
            <v>184780.58</v>
          </cell>
        </row>
        <row r="2198">
          <cell r="A2198" t="str">
            <v>08</v>
          </cell>
          <cell r="F2198" t="str">
            <v>累    计</v>
          </cell>
          <cell r="G2198">
            <v>0</v>
          </cell>
          <cell r="H2198">
            <v>22594</v>
          </cell>
          <cell r="I2198">
            <v>185911.5</v>
          </cell>
          <cell r="J2198">
            <v>234</v>
          </cell>
          <cell r="K2198">
            <v>1130.92</v>
          </cell>
          <cell r="L2198" t="str">
            <v>借</v>
          </cell>
          <cell r="M2198">
            <v>22360</v>
          </cell>
          <cell r="N2198">
            <v>8.26389</v>
          </cell>
          <cell r="O2198">
            <v>184780.58</v>
          </cell>
        </row>
        <row r="2199">
          <cell r="A2199" t="str">
            <v>11</v>
          </cell>
          <cell r="B2199" t="str">
            <v>30</v>
          </cell>
          <cell r="C2199" t="str">
            <v>记-0087</v>
          </cell>
          <cell r="D2199" t="str">
            <v>165</v>
          </cell>
          <cell r="E2199" t="str">
            <v>野生小节子</v>
          </cell>
          <cell r="F2199" t="str">
            <v>调整8月72号凭</v>
          </cell>
          <cell r="G2199">
            <v>11.05</v>
          </cell>
          <cell r="H2199">
            <v>490</v>
          </cell>
          <cell r="I2199">
            <v>5414.5</v>
          </cell>
          <cell r="J2199">
            <v>0</v>
          </cell>
          <cell r="K2199">
            <v>0</v>
          </cell>
          <cell r="L2199" t="str">
            <v>借</v>
          </cell>
          <cell r="M2199">
            <v>22850</v>
          </cell>
          <cell r="N2199">
            <v>0</v>
          </cell>
          <cell r="O2199">
            <v>190195.08</v>
          </cell>
        </row>
        <row r="2200">
          <cell r="A2200" t="str">
            <v>11</v>
          </cell>
          <cell r="B2200" t="str">
            <v>30</v>
          </cell>
          <cell r="C2200" t="str">
            <v>记-0088</v>
          </cell>
          <cell r="D2200" t="str">
            <v>165</v>
          </cell>
          <cell r="E2200" t="str">
            <v>野生小节子</v>
          </cell>
          <cell r="F2200" t="str">
            <v>调整重复入库</v>
          </cell>
          <cell r="G2200">
            <v>4.8672599999999999</v>
          </cell>
          <cell r="H2200">
            <v>-2325</v>
          </cell>
          <cell r="I2200">
            <v>-11316.37</v>
          </cell>
          <cell r="J2200">
            <v>0</v>
          </cell>
          <cell r="K2200">
            <v>0</v>
          </cell>
          <cell r="L2200" t="str">
            <v>借</v>
          </cell>
          <cell r="M2200">
            <v>20525</v>
          </cell>
          <cell r="N2200">
            <v>0</v>
          </cell>
          <cell r="O2200">
            <v>178878.71</v>
          </cell>
        </row>
        <row r="2201">
          <cell r="A2201" t="str">
            <v>11</v>
          </cell>
          <cell r="B2201" t="str">
            <v>30</v>
          </cell>
          <cell r="C2201" t="str">
            <v>记-0093</v>
          </cell>
          <cell r="D2201" t="str">
            <v>165</v>
          </cell>
          <cell r="E2201" t="str">
            <v>野生小节子</v>
          </cell>
          <cell r="F2201" t="str">
            <v>合并名称</v>
          </cell>
          <cell r="G2201">
            <v>7.7904299999999997</v>
          </cell>
          <cell r="H2201">
            <v>0</v>
          </cell>
          <cell r="I2201">
            <v>0</v>
          </cell>
          <cell r="J2201">
            <v>20536.5</v>
          </cell>
          <cell r="K2201">
            <v>159988.20000000001</v>
          </cell>
          <cell r="L2201" t="str">
            <v>借</v>
          </cell>
          <cell r="M2201">
            <v>-11.5</v>
          </cell>
          <cell r="N2201">
            <v>0</v>
          </cell>
          <cell r="O2201">
            <v>18890.509999999998</v>
          </cell>
        </row>
        <row r="2202">
          <cell r="A2202" t="str">
            <v>11</v>
          </cell>
          <cell r="B2202" t="str">
            <v>30</v>
          </cell>
          <cell r="C2202" t="str">
            <v>记-0093</v>
          </cell>
          <cell r="D2202" t="str">
            <v>165</v>
          </cell>
          <cell r="E2202" t="str">
            <v>野生小节子</v>
          </cell>
          <cell r="F2202" t="str">
            <v>合并名称</v>
          </cell>
          <cell r="G2202">
            <v>5.6719999999999997</v>
          </cell>
          <cell r="H2202">
            <v>20</v>
          </cell>
          <cell r="I2202">
            <v>113.44</v>
          </cell>
          <cell r="J2202">
            <v>0</v>
          </cell>
          <cell r="K2202">
            <v>0</v>
          </cell>
          <cell r="L2202" t="str">
            <v>借</v>
          </cell>
          <cell r="M2202">
            <v>8.5</v>
          </cell>
          <cell r="N2202">
            <v>0</v>
          </cell>
          <cell r="O2202">
            <v>19003.95</v>
          </cell>
        </row>
        <row r="2203">
          <cell r="A2203" t="str">
            <v>11</v>
          </cell>
          <cell r="B2203" t="str">
            <v>30</v>
          </cell>
          <cell r="C2203" t="str">
            <v>记-0147</v>
          </cell>
          <cell r="D2203" t="str">
            <v>165</v>
          </cell>
          <cell r="E2203" t="str">
            <v>野生小节子</v>
          </cell>
          <cell r="F2203" t="str">
            <v>调整库存</v>
          </cell>
          <cell r="G2203">
            <v>2235.75882</v>
          </cell>
          <cell r="H2203">
            <v>-8.5</v>
          </cell>
          <cell r="I2203">
            <v>-19003.95</v>
          </cell>
          <cell r="J2203">
            <v>0</v>
          </cell>
          <cell r="K2203">
            <v>0</v>
          </cell>
          <cell r="L2203" t="str">
            <v>平</v>
          </cell>
          <cell r="M2203">
            <v>0</v>
          </cell>
          <cell r="N2203">
            <v>0</v>
          </cell>
          <cell r="O2203">
            <v>0</v>
          </cell>
        </row>
        <row r="2204">
          <cell r="A2204" t="str">
            <v>11</v>
          </cell>
          <cell r="F2204" t="str">
            <v>本月合计</v>
          </cell>
          <cell r="G2204">
            <v>0</v>
          </cell>
          <cell r="H2204">
            <v>-1823.5</v>
          </cell>
          <cell r="I2204">
            <v>-24792.38</v>
          </cell>
          <cell r="J2204">
            <v>20536.5</v>
          </cell>
          <cell r="K2204">
            <v>159988.20000000001</v>
          </cell>
          <cell r="L2204" t="str">
            <v>平</v>
          </cell>
          <cell r="M2204">
            <v>0</v>
          </cell>
          <cell r="N2204">
            <v>0</v>
          </cell>
          <cell r="O2204">
            <v>0</v>
          </cell>
        </row>
        <row r="2205">
          <cell r="A2205" t="str">
            <v>11</v>
          </cell>
          <cell r="E2205" t="str">
            <v>野生小节子</v>
          </cell>
          <cell r="F2205" t="str">
            <v>本年累计</v>
          </cell>
          <cell r="G2205">
            <v>0</v>
          </cell>
          <cell r="H2205">
            <v>20770.5</v>
          </cell>
          <cell r="I2205">
            <v>161119.12</v>
          </cell>
          <cell r="J2205">
            <v>20770.5</v>
          </cell>
          <cell r="K2205">
            <v>161119.12</v>
          </cell>
          <cell r="L2205" t="str">
            <v>平</v>
          </cell>
          <cell r="M2205">
            <v>0</v>
          </cell>
          <cell r="N2205">
            <v>0</v>
          </cell>
          <cell r="O2205">
            <v>0</v>
          </cell>
        </row>
        <row r="2206">
          <cell r="A2206" t="str">
            <v>03</v>
          </cell>
          <cell r="B2206" t="str">
            <v>31</v>
          </cell>
          <cell r="C2206" t="str">
            <v>记-0042</v>
          </cell>
          <cell r="D2206" t="str">
            <v>166</v>
          </cell>
          <cell r="E2206" t="str">
            <v>商标乙草</v>
          </cell>
          <cell r="F2206" t="str">
            <v>转成本</v>
          </cell>
          <cell r="G2206">
            <v>21.955400000000001</v>
          </cell>
          <cell r="H2206">
            <v>0</v>
          </cell>
          <cell r="I2206">
            <v>0</v>
          </cell>
          <cell r="J2206">
            <v>5991.5</v>
          </cell>
          <cell r="K2206">
            <v>131545.78</v>
          </cell>
          <cell r="L2206" t="str">
            <v>贷</v>
          </cell>
          <cell r="M2206">
            <v>5991.5</v>
          </cell>
          <cell r="N2206">
            <v>0</v>
          </cell>
          <cell r="O2206">
            <v>131545.78</v>
          </cell>
        </row>
        <row r="2207">
          <cell r="A2207" t="str">
            <v>03</v>
          </cell>
          <cell r="F2207" t="str">
            <v>本月合计</v>
          </cell>
          <cell r="G2207">
            <v>0</v>
          </cell>
          <cell r="H2207">
            <v>0</v>
          </cell>
          <cell r="I2207">
            <v>0</v>
          </cell>
          <cell r="J2207">
            <v>5991.5</v>
          </cell>
          <cell r="K2207">
            <v>131545.78</v>
          </cell>
          <cell r="L2207" t="str">
            <v>贷</v>
          </cell>
          <cell r="M2207">
            <v>5991.5</v>
          </cell>
          <cell r="N2207">
            <v>21.955400000000001</v>
          </cell>
          <cell r="O2207">
            <v>131545.78</v>
          </cell>
        </row>
        <row r="2208">
          <cell r="A2208" t="str">
            <v>03</v>
          </cell>
          <cell r="F2208" t="str">
            <v>累    计</v>
          </cell>
          <cell r="G2208">
            <v>0</v>
          </cell>
          <cell r="H2208">
            <v>0</v>
          </cell>
          <cell r="I2208">
            <v>0</v>
          </cell>
          <cell r="J2208">
            <v>5991.5</v>
          </cell>
          <cell r="K2208">
            <v>131545.78</v>
          </cell>
          <cell r="L2208" t="str">
            <v>贷</v>
          </cell>
          <cell r="M2208">
            <v>5991.5</v>
          </cell>
          <cell r="N2208">
            <v>21.955400000000001</v>
          </cell>
          <cell r="O2208">
            <v>131545.78</v>
          </cell>
        </row>
        <row r="2209">
          <cell r="A2209" t="str">
            <v>04</v>
          </cell>
          <cell r="B2209" t="str">
            <v>30</v>
          </cell>
          <cell r="C2209" t="str">
            <v>记-0051</v>
          </cell>
          <cell r="D2209" t="str">
            <v>166</v>
          </cell>
          <cell r="E2209" t="str">
            <v>商标乙草</v>
          </cell>
          <cell r="F2209" t="str">
            <v>转成本</v>
          </cell>
          <cell r="G2209">
            <v>21.95551</v>
          </cell>
          <cell r="H2209">
            <v>0</v>
          </cell>
          <cell r="I2209">
            <v>0</v>
          </cell>
          <cell r="J2209">
            <v>98.9</v>
          </cell>
          <cell r="K2209">
            <v>2171.4</v>
          </cell>
          <cell r="L2209" t="str">
            <v>贷</v>
          </cell>
          <cell r="M2209">
            <v>6090.4</v>
          </cell>
          <cell r="N2209">
            <v>0</v>
          </cell>
          <cell r="O2209">
            <v>133717.18</v>
          </cell>
        </row>
        <row r="2210">
          <cell r="A2210" t="str">
            <v>04</v>
          </cell>
          <cell r="F2210" t="str">
            <v>本月合计</v>
          </cell>
          <cell r="G2210">
            <v>0</v>
          </cell>
          <cell r="H2210">
            <v>0</v>
          </cell>
          <cell r="I2210">
            <v>0</v>
          </cell>
          <cell r="J2210">
            <v>98.9</v>
          </cell>
          <cell r="K2210">
            <v>2171.4</v>
          </cell>
          <cell r="L2210" t="str">
            <v>贷</v>
          </cell>
          <cell r="M2210">
            <v>6090.4</v>
          </cell>
          <cell r="N2210">
            <v>21.955400000000001</v>
          </cell>
          <cell r="O2210">
            <v>133717.18</v>
          </cell>
        </row>
        <row r="2211">
          <cell r="A2211" t="str">
            <v>04</v>
          </cell>
          <cell r="F2211" t="str">
            <v>累    计</v>
          </cell>
          <cell r="G2211">
            <v>0</v>
          </cell>
          <cell r="H2211">
            <v>0</v>
          </cell>
          <cell r="I2211">
            <v>0</v>
          </cell>
          <cell r="J2211">
            <v>6090.4</v>
          </cell>
          <cell r="K2211">
            <v>133717.18</v>
          </cell>
          <cell r="L2211" t="str">
            <v>贷</v>
          </cell>
          <cell r="M2211">
            <v>6090.4</v>
          </cell>
          <cell r="N2211">
            <v>21.955400000000001</v>
          </cell>
          <cell r="O2211">
            <v>133717.18</v>
          </cell>
        </row>
        <row r="2212">
          <cell r="A2212" t="str">
            <v>11</v>
          </cell>
          <cell r="B2212" t="str">
            <v>30</v>
          </cell>
          <cell r="C2212" t="str">
            <v>记-0049</v>
          </cell>
          <cell r="D2212" t="str">
            <v>166</v>
          </cell>
          <cell r="E2212" t="str">
            <v>商标乙草</v>
          </cell>
          <cell r="F2212" t="str">
            <v>调整5月36号凭</v>
          </cell>
          <cell r="G2212">
            <v>20.35398</v>
          </cell>
          <cell r="H2212">
            <v>3437.4</v>
          </cell>
          <cell r="I2212">
            <v>69964.78</v>
          </cell>
          <cell r="J2212">
            <v>0</v>
          </cell>
          <cell r="K2212">
            <v>0</v>
          </cell>
          <cell r="L2212" t="str">
            <v>贷</v>
          </cell>
          <cell r="M2212">
            <v>2653</v>
          </cell>
          <cell r="N2212">
            <v>0</v>
          </cell>
          <cell r="O2212">
            <v>63752.4</v>
          </cell>
        </row>
        <row r="2213">
          <cell r="A2213" t="str">
            <v>11</v>
          </cell>
          <cell r="B2213" t="str">
            <v>30</v>
          </cell>
          <cell r="C2213" t="str">
            <v>记-0053</v>
          </cell>
          <cell r="D2213" t="str">
            <v>166</v>
          </cell>
          <cell r="E2213" t="str">
            <v>商标乙草</v>
          </cell>
          <cell r="F2213" t="str">
            <v>合并名称</v>
          </cell>
          <cell r="G2213">
            <v>21.955349999999999</v>
          </cell>
          <cell r="H2213">
            <v>-554.79999999999995</v>
          </cell>
          <cell r="I2213">
            <v>-12180.83</v>
          </cell>
          <cell r="J2213">
            <v>0</v>
          </cell>
          <cell r="K2213">
            <v>0</v>
          </cell>
          <cell r="L2213" t="str">
            <v>贷</v>
          </cell>
          <cell r="M2213">
            <v>3207.8</v>
          </cell>
          <cell r="N2213">
            <v>0</v>
          </cell>
          <cell r="O2213">
            <v>75933.23</v>
          </cell>
        </row>
        <row r="2214">
          <cell r="A2214" t="str">
            <v>11</v>
          </cell>
          <cell r="B2214" t="str">
            <v>30</v>
          </cell>
          <cell r="C2214" t="str">
            <v>记-0054</v>
          </cell>
          <cell r="D2214" t="str">
            <v>166</v>
          </cell>
          <cell r="E2214" t="str">
            <v>商标乙草</v>
          </cell>
          <cell r="F2214" t="str">
            <v>合并名称</v>
          </cell>
          <cell r="G2214">
            <v>16.488859999999999</v>
          </cell>
          <cell r="H2214">
            <v>1674.5</v>
          </cell>
          <cell r="I2214">
            <v>27610.6</v>
          </cell>
          <cell r="J2214">
            <v>0</v>
          </cell>
          <cell r="K2214">
            <v>0</v>
          </cell>
          <cell r="L2214" t="str">
            <v>贷</v>
          </cell>
          <cell r="M2214">
            <v>1533.3</v>
          </cell>
          <cell r="N2214">
            <v>0</v>
          </cell>
          <cell r="O2214">
            <v>48322.63</v>
          </cell>
        </row>
        <row r="2215">
          <cell r="A2215" t="str">
            <v>11</v>
          </cell>
          <cell r="B2215" t="str">
            <v>30</v>
          </cell>
          <cell r="C2215" t="str">
            <v>记-0055</v>
          </cell>
          <cell r="D2215" t="str">
            <v>166</v>
          </cell>
          <cell r="E2215" t="str">
            <v>商标乙草</v>
          </cell>
          <cell r="F2215" t="str">
            <v>合并名称</v>
          </cell>
          <cell r="G2215">
            <v>22.135629999999999</v>
          </cell>
          <cell r="H2215">
            <v>3996.2</v>
          </cell>
          <cell r="I2215">
            <v>88458.4</v>
          </cell>
          <cell r="J2215">
            <v>0</v>
          </cell>
          <cell r="K2215">
            <v>0</v>
          </cell>
          <cell r="L2215" t="str">
            <v>借</v>
          </cell>
          <cell r="M2215">
            <v>2462.9</v>
          </cell>
          <cell r="N2215">
            <v>0</v>
          </cell>
          <cell r="O2215">
            <v>40135.769999999997</v>
          </cell>
        </row>
        <row r="2216">
          <cell r="A2216" t="str">
            <v>11</v>
          </cell>
          <cell r="B2216" t="str">
            <v>30</v>
          </cell>
          <cell r="C2216" t="str">
            <v>记-0157</v>
          </cell>
          <cell r="D2216" t="str">
            <v>166</v>
          </cell>
          <cell r="E2216" t="str">
            <v>商标乙草</v>
          </cell>
          <cell r="F2216" t="str">
            <v>调整库存</v>
          </cell>
          <cell r="G2216">
            <v>0</v>
          </cell>
          <cell r="H2216">
            <v>0</v>
          </cell>
          <cell r="I2216">
            <v>11954.57</v>
          </cell>
          <cell r="J2216">
            <v>0</v>
          </cell>
          <cell r="K2216">
            <v>0</v>
          </cell>
          <cell r="L2216" t="str">
            <v>借</v>
          </cell>
          <cell r="M2216">
            <v>2462.9</v>
          </cell>
          <cell r="N2216">
            <v>0</v>
          </cell>
          <cell r="O2216">
            <v>52090.34</v>
          </cell>
        </row>
        <row r="2217">
          <cell r="A2217" t="str">
            <v>11</v>
          </cell>
          <cell r="F2217" t="str">
            <v>本月合计</v>
          </cell>
          <cell r="G2217">
            <v>0</v>
          </cell>
          <cell r="H2217">
            <v>8553.2999999999993</v>
          </cell>
          <cell r="I2217">
            <v>185807.52</v>
          </cell>
          <cell r="J2217">
            <v>0</v>
          </cell>
          <cell r="K2217">
            <v>0</v>
          </cell>
          <cell r="L2217" t="str">
            <v>借</v>
          </cell>
          <cell r="M2217">
            <v>2462.9</v>
          </cell>
          <cell r="N2217">
            <v>21.15</v>
          </cell>
          <cell r="O2217">
            <v>52090.34</v>
          </cell>
        </row>
        <row r="2218">
          <cell r="A2218" t="str">
            <v>11</v>
          </cell>
          <cell r="F2218" t="str">
            <v>累    计</v>
          </cell>
          <cell r="G2218">
            <v>0</v>
          </cell>
          <cell r="H2218">
            <v>8553.2999999999993</v>
          </cell>
          <cell r="I2218">
            <v>185807.52</v>
          </cell>
          <cell r="J2218">
            <v>6090.4</v>
          </cell>
          <cell r="K2218">
            <v>133717.18</v>
          </cell>
          <cell r="L2218" t="str">
            <v>借</v>
          </cell>
          <cell r="M2218">
            <v>2462.9</v>
          </cell>
          <cell r="N2218">
            <v>21.15</v>
          </cell>
          <cell r="O2218">
            <v>52090.34</v>
          </cell>
        </row>
        <row r="2219">
          <cell r="A2219" t="str">
            <v>12</v>
          </cell>
          <cell r="B2219" t="str">
            <v>31</v>
          </cell>
          <cell r="C2219" t="str">
            <v>记-0139</v>
          </cell>
          <cell r="D2219" t="str">
            <v>166</v>
          </cell>
          <cell r="E2219" t="str">
            <v>商标乙草</v>
          </cell>
          <cell r="F2219" t="str">
            <v>收购产品</v>
          </cell>
          <cell r="G2219">
            <v>26.106200000000001</v>
          </cell>
          <cell r="H2219">
            <v>2009.4</v>
          </cell>
          <cell r="I2219">
            <v>52457.79</v>
          </cell>
          <cell r="J2219">
            <v>0</v>
          </cell>
          <cell r="K2219">
            <v>0</v>
          </cell>
          <cell r="L2219" t="str">
            <v>借</v>
          </cell>
          <cell r="M2219">
            <v>4472.3</v>
          </cell>
          <cell r="N2219">
            <v>0</v>
          </cell>
          <cell r="O2219">
            <v>104548.13</v>
          </cell>
        </row>
        <row r="2220">
          <cell r="A2220" t="str">
            <v>12</v>
          </cell>
          <cell r="B2220" t="str">
            <v>31</v>
          </cell>
          <cell r="C2220" t="str">
            <v>记-0139</v>
          </cell>
          <cell r="D2220" t="str">
            <v>166</v>
          </cell>
          <cell r="E2220" t="str">
            <v>商标乙草</v>
          </cell>
          <cell r="F2220" t="str">
            <v>收购产品</v>
          </cell>
          <cell r="G2220">
            <v>25.221240000000002</v>
          </cell>
          <cell r="H2220">
            <v>6178</v>
          </cell>
          <cell r="I2220">
            <v>155816.81</v>
          </cell>
          <cell r="J2220">
            <v>0</v>
          </cell>
          <cell r="K2220">
            <v>0</v>
          </cell>
          <cell r="L2220" t="str">
            <v>借</v>
          </cell>
          <cell r="M2220">
            <v>10650.3</v>
          </cell>
          <cell r="N2220">
            <v>0</v>
          </cell>
          <cell r="O2220">
            <v>260364.94</v>
          </cell>
        </row>
        <row r="2221">
          <cell r="A2221" t="str">
            <v>12</v>
          </cell>
          <cell r="F2221" t="str">
            <v>本月合计</v>
          </cell>
          <cell r="G2221">
            <v>0</v>
          </cell>
          <cell r="H2221">
            <v>8187.4</v>
          </cell>
          <cell r="I2221">
            <v>208274.6</v>
          </cell>
          <cell r="J2221">
            <v>0</v>
          </cell>
          <cell r="K2221">
            <v>0</v>
          </cell>
          <cell r="L2221" t="str">
            <v>借</v>
          </cell>
          <cell r="M2221">
            <v>10650.3</v>
          </cell>
          <cell r="N2221">
            <v>24.446719999999999</v>
          </cell>
          <cell r="O2221">
            <v>260364.94</v>
          </cell>
        </row>
        <row r="2222">
          <cell r="A2222" t="str">
            <v>12</v>
          </cell>
          <cell r="E2222" t="str">
            <v>商标乙草</v>
          </cell>
          <cell r="F2222" t="str">
            <v>本年累计</v>
          </cell>
          <cell r="G2222">
            <v>0</v>
          </cell>
          <cell r="H2222">
            <v>16740.7</v>
          </cell>
          <cell r="I2222">
            <v>394082.12</v>
          </cell>
          <cell r="J2222">
            <v>6090.4</v>
          </cell>
          <cell r="K2222">
            <v>133717.18</v>
          </cell>
          <cell r="L2222" t="str">
            <v>借</v>
          </cell>
          <cell r="M2222">
            <v>10650.3</v>
          </cell>
          <cell r="N2222">
            <v>24.446719999999999</v>
          </cell>
          <cell r="O2222">
            <v>260364.94</v>
          </cell>
        </row>
        <row r="2223">
          <cell r="A2223" t="str">
            <v>03</v>
          </cell>
          <cell r="B2223" t="str">
            <v>31</v>
          </cell>
          <cell r="C2223" t="str">
            <v>记-0042</v>
          </cell>
          <cell r="D2223" t="str">
            <v>167</v>
          </cell>
          <cell r="E2223" t="str">
            <v>商标丙草</v>
          </cell>
          <cell r="F2223" t="str">
            <v>转成本</v>
          </cell>
          <cell r="G2223">
            <v>13.332100000000001</v>
          </cell>
          <cell r="H2223">
            <v>0</v>
          </cell>
          <cell r="I2223">
            <v>0</v>
          </cell>
          <cell r="J2223">
            <v>5965.7</v>
          </cell>
          <cell r="K2223">
            <v>79535.31</v>
          </cell>
          <cell r="L2223" t="str">
            <v>贷</v>
          </cell>
          <cell r="M2223">
            <v>5965.7</v>
          </cell>
          <cell r="N2223">
            <v>0</v>
          </cell>
          <cell r="O2223">
            <v>79535.31</v>
          </cell>
        </row>
        <row r="2224">
          <cell r="A2224" t="str">
            <v>03</v>
          </cell>
          <cell r="B2224" t="str">
            <v>31</v>
          </cell>
          <cell r="C2224" t="str">
            <v>记-0043</v>
          </cell>
          <cell r="D2224" t="str">
            <v>167</v>
          </cell>
          <cell r="E2224" t="str">
            <v>商标丙草</v>
          </cell>
          <cell r="F2224" t="str">
            <v>转成本</v>
          </cell>
          <cell r="G2224">
            <v>13.332100000000001</v>
          </cell>
          <cell r="H2224">
            <v>0</v>
          </cell>
          <cell r="I2224">
            <v>0</v>
          </cell>
          <cell r="J2224">
            <v>2958.7</v>
          </cell>
          <cell r="K2224">
            <v>39445.68</v>
          </cell>
          <cell r="L2224" t="str">
            <v>贷</v>
          </cell>
          <cell r="M2224">
            <v>8924.4</v>
          </cell>
          <cell r="N2224">
            <v>0</v>
          </cell>
          <cell r="O2224">
            <v>118980.99</v>
          </cell>
        </row>
        <row r="2225">
          <cell r="A2225" t="str">
            <v>03</v>
          </cell>
          <cell r="B2225" t="str">
            <v>31</v>
          </cell>
          <cell r="C2225" t="str">
            <v>记-0046</v>
          </cell>
          <cell r="D2225" t="str">
            <v>167</v>
          </cell>
          <cell r="E2225" t="str">
            <v>商标丙草</v>
          </cell>
          <cell r="F2225" t="str">
            <v>转成本</v>
          </cell>
          <cell r="G2225">
            <v>13.33206</v>
          </cell>
          <cell r="H2225">
            <v>0</v>
          </cell>
          <cell r="I2225">
            <v>0</v>
          </cell>
          <cell r="J2225">
            <v>99.5</v>
          </cell>
          <cell r="K2225">
            <v>1326.54</v>
          </cell>
          <cell r="L2225" t="str">
            <v>贷</v>
          </cell>
          <cell r="M2225">
            <v>9023.9</v>
          </cell>
          <cell r="N2225">
            <v>0</v>
          </cell>
          <cell r="O2225">
            <v>120307.53</v>
          </cell>
        </row>
        <row r="2226">
          <cell r="A2226" t="str">
            <v>03</v>
          </cell>
          <cell r="F2226" t="str">
            <v>本月合计</v>
          </cell>
          <cell r="G2226">
            <v>0</v>
          </cell>
          <cell r="H2226">
            <v>0</v>
          </cell>
          <cell r="I2226">
            <v>0</v>
          </cell>
          <cell r="J2226">
            <v>9023.9</v>
          </cell>
          <cell r="K2226">
            <v>120307.53</v>
          </cell>
          <cell r="L2226" t="str">
            <v>贷</v>
          </cell>
          <cell r="M2226">
            <v>9023.9</v>
          </cell>
          <cell r="N2226">
            <v>13.332100000000001</v>
          </cell>
          <cell r="O2226">
            <v>120307.53</v>
          </cell>
        </row>
        <row r="2227">
          <cell r="A2227" t="str">
            <v>03</v>
          </cell>
          <cell r="F2227" t="str">
            <v>累    计</v>
          </cell>
          <cell r="G2227">
            <v>0</v>
          </cell>
          <cell r="H2227">
            <v>0</v>
          </cell>
          <cell r="I2227">
            <v>0</v>
          </cell>
          <cell r="J2227">
            <v>9023.9</v>
          </cell>
          <cell r="K2227">
            <v>120307.53</v>
          </cell>
          <cell r="L2227" t="str">
            <v>贷</v>
          </cell>
          <cell r="M2227">
            <v>9023.9</v>
          </cell>
          <cell r="N2227">
            <v>13.332100000000001</v>
          </cell>
          <cell r="O2227">
            <v>120307.53</v>
          </cell>
        </row>
        <row r="2228">
          <cell r="A2228" t="str">
            <v>04</v>
          </cell>
          <cell r="B2228" t="str">
            <v>30</v>
          </cell>
          <cell r="C2228" t="str">
            <v>记-0051</v>
          </cell>
          <cell r="D2228" t="str">
            <v>167</v>
          </cell>
          <cell r="E2228" t="str">
            <v>商标丙草</v>
          </cell>
          <cell r="F2228" t="str">
            <v>转成本</v>
          </cell>
          <cell r="G2228">
            <v>12.90995</v>
          </cell>
          <cell r="H2228">
            <v>0</v>
          </cell>
          <cell r="I2228">
            <v>0</v>
          </cell>
          <cell r="J2228">
            <v>55.3</v>
          </cell>
          <cell r="K2228">
            <v>713.92</v>
          </cell>
          <cell r="L2228" t="str">
            <v>贷</v>
          </cell>
          <cell r="M2228">
            <v>9079.2000000000007</v>
          </cell>
          <cell r="N2228">
            <v>0</v>
          </cell>
          <cell r="O2228">
            <v>121021.45</v>
          </cell>
        </row>
        <row r="2229">
          <cell r="A2229" t="str">
            <v>04</v>
          </cell>
          <cell r="B2229" t="str">
            <v>30</v>
          </cell>
          <cell r="C2229" t="str">
            <v>记-0051</v>
          </cell>
          <cell r="D2229" t="str">
            <v>167</v>
          </cell>
          <cell r="E2229" t="str">
            <v>商标丙草</v>
          </cell>
          <cell r="F2229" t="str">
            <v>转成本</v>
          </cell>
          <cell r="G2229">
            <v>12.91</v>
          </cell>
          <cell r="H2229">
            <v>0</v>
          </cell>
          <cell r="I2229">
            <v>0</v>
          </cell>
          <cell r="J2229">
            <v>5637.9</v>
          </cell>
          <cell r="K2229">
            <v>72785.289999999994</v>
          </cell>
          <cell r="L2229" t="str">
            <v>贷</v>
          </cell>
          <cell r="M2229">
            <v>14717.1</v>
          </cell>
          <cell r="N2229">
            <v>0</v>
          </cell>
          <cell r="O2229">
            <v>193806.74</v>
          </cell>
        </row>
        <row r="2230">
          <cell r="A2230" t="str">
            <v>04</v>
          </cell>
          <cell r="B2230" t="str">
            <v>30</v>
          </cell>
          <cell r="C2230" t="str">
            <v>记-0051</v>
          </cell>
          <cell r="D2230" t="str">
            <v>167</v>
          </cell>
          <cell r="E2230" t="str">
            <v>商标丙草</v>
          </cell>
          <cell r="F2230" t="str">
            <v>转成本</v>
          </cell>
          <cell r="G2230">
            <v>12.91</v>
          </cell>
          <cell r="H2230">
            <v>0</v>
          </cell>
          <cell r="I2230">
            <v>0</v>
          </cell>
          <cell r="J2230">
            <v>1593.5</v>
          </cell>
          <cell r="K2230">
            <v>20572.09</v>
          </cell>
          <cell r="L2230" t="str">
            <v>贷</v>
          </cell>
          <cell r="M2230">
            <v>16310.6</v>
          </cell>
          <cell r="N2230">
            <v>0</v>
          </cell>
          <cell r="O2230">
            <v>214378.83</v>
          </cell>
        </row>
        <row r="2231">
          <cell r="A2231" t="str">
            <v>04</v>
          </cell>
          <cell r="F2231" t="str">
            <v>本月合计</v>
          </cell>
          <cell r="G2231">
            <v>0</v>
          </cell>
          <cell r="H2231">
            <v>0</v>
          </cell>
          <cell r="I2231">
            <v>0</v>
          </cell>
          <cell r="J2231">
            <v>7286.7</v>
          </cell>
          <cell r="K2231">
            <v>94071.3</v>
          </cell>
          <cell r="L2231" t="str">
            <v>贷</v>
          </cell>
          <cell r="M2231">
            <v>16310.6</v>
          </cell>
          <cell r="N2231">
            <v>13.14353</v>
          </cell>
          <cell r="O2231">
            <v>214378.83</v>
          </cell>
        </row>
        <row r="2232">
          <cell r="A2232" t="str">
            <v>04</v>
          </cell>
          <cell r="F2232" t="str">
            <v>累    计</v>
          </cell>
          <cell r="G2232">
            <v>0</v>
          </cell>
          <cell r="H2232">
            <v>0</v>
          </cell>
          <cell r="I2232">
            <v>0</v>
          </cell>
          <cell r="J2232">
            <v>16310.6</v>
          </cell>
          <cell r="K2232">
            <v>214378.83</v>
          </cell>
          <cell r="L2232" t="str">
            <v>贷</v>
          </cell>
          <cell r="M2232">
            <v>16310.6</v>
          </cell>
          <cell r="N2232">
            <v>13.14353</v>
          </cell>
          <cell r="O2232">
            <v>214378.83</v>
          </cell>
        </row>
        <row r="2233">
          <cell r="A2233" t="str">
            <v>11</v>
          </cell>
          <cell r="B2233" t="str">
            <v>30</v>
          </cell>
          <cell r="C2233" t="str">
            <v>记-0058</v>
          </cell>
          <cell r="D2233" t="str">
            <v>167</v>
          </cell>
          <cell r="E2233" t="str">
            <v>商标丙草</v>
          </cell>
          <cell r="F2233" t="str">
            <v>调整5月36号凭</v>
          </cell>
          <cell r="G2233">
            <v>15.04425</v>
          </cell>
          <cell r="H2233">
            <v>16947.099999999999</v>
          </cell>
          <cell r="I2233">
            <v>254956.37</v>
          </cell>
          <cell r="J2233">
            <v>0</v>
          </cell>
          <cell r="K2233">
            <v>0</v>
          </cell>
          <cell r="L2233" t="str">
            <v>借</v>
          </cell>
          <cell r="M2233">
            <v>636.5</v>
          </cell>
          <cell r="N2233">
            <v>0</v>
          </cell>
          <cell r="O2233">
            <v>40577.54</v>
          </cell>
        </row>
        <row r="2234">
          <cell r="A2234" t="str">
            <v>11</v>
          </cell>
          <cell r="B2234" t="str">
            <v>30</v>
          </cell>
          <cell r="C2234" t="str">
            <v>记-0060</v>
          </cell>
          <cell r="D2234" t="str">
            <v>167</v>
          </cell>
          <cell r="E2234" t="str">
            <v>商标丙草</v>
          </cell>
          <cell r="F2234" t="str">
            <v>调整4月51号凭</v>
          </cell>
          <cell r="G2234">
            <v>12.91</v>
          </cell>
          <cell r="H2234">
            <v>0</v>
          </cell>
          <cell r="I2234">
            <v>0</v>
          </cell>
          <cell r="J2234">
            <v>-1593.5</v>
          </cell>
          <cell r="K2234">
            <v>-20572.09</v>
          </cell>
          <cell r="L2234" t="str">
            <v>借</v>
          </cell>
          <cell r="M2234">
            <v>2230</v>
          </cell>
          <cell r="N2234">
            <v>0</v>
          </cell>
          <cell r="O2234">
            <v>61149.63</v>
          </cell>
        </row>
        <row r="2235">
          <cell r="A2235" t="str">
            <v>11</v>
          </cell>
          <cell r="B2235" t="str">
            <v>30</v>
          </cell>
          <cell r="C2235" t="str">
            <v>记-0062</v>
          </cell>
          <cell r="D2235" t="str">
            <v>167</v>
          </cell>
          <cell r="E2235" t="str">
            <v>商标丙草</v>
          </cell>
          <cell r="F2235" t="str">
            <v>合并名称</v>
          </cell>
          <cell r="G2235">
            <v>13.33676</v>
          </cell>
          <cell r="H2235">
            <v>0</v>
          </cell>
          <cell r="I2235">
            <v>0</v>
          </cell>
          <cell r="J2235">
            <v>1716</v>
          </cell>
          <cell r="K2235">
            <v>22885.88</v>
          </cell>
          <cell r="L2235" t="str">
            <v>借</v>
          </cell>
          <cell r="M2235">
            <v>514</v>
          </cell>
          <cell r="N2235">
            <v>0</v>
          </cell>
          <cell r="O2235">
            <v>38263.75</v>
          </cell>
        </row>
        <row r="2236">
          <cell r="A2236" t="str">
            <v>11</v>
          </cell>
          <cell r="B2236" t="str">
            <v>30</v>
          </cell>
          <cell r="C2236" t="str">
            <v>记-0063</v>
          </cell>
          <cell r="D2236" t="str">
            <v>167</v>
          </cell>
          <cell r="E2236" t="str">
            <v>商标丙草</v>
          </cell>
          <cell r="F2236" t="str">
            <v>合并名称</v>
          </cell>
          <cell r="G2236">
            <v>12.91461</v>
          </cell>
          <cell r="H2236">
            <v>0</v>
          </cell>
          <cell r="I2236">
            <v>0</v>
          </cell>
          <cell r="J2236">
            <v>8958.1</v>
          </cell>
          <cell r="K2236">
            <v>115690.36</v>
          </cell>
          <cell r="L2236" t="str">
            <v>贷</v>
          </cell>
          <cell r="M2236">
            <v>8444.1</v>
          </cell>
          <cell r="N2236">
            <v>0</v>
          </cell>
          <cell r="O2236">
            <v>77426.61</v>
          </cell>
        </row>
        <row r="2237">
          <cell r="A2237" t="str">
            <v>11</v>
          </cell>
          <cell r="B2237" t="str">
            <v>30</v>
          </cell>
          <cell r="C2237" t="str">
            <v>记-0064</v>
          </cell>
          <cell r="D2237" t="str">
            <v>167</v>
          </cell>
          <cell r="E2237" t="str">
            <v>商标丙草</v>
          </cell>
          <cell r="F2237" t="str">
            <v>合并名称</v>
          </cell>
          <cell r="G2237">
            <v>13.27708</v>
          </cell>
          <cell r="H2237">
            <v>0</v>
          </cell>
          <cell r="I2237">
            <v>0</v>
          </cell>
          <cell r="J2237">
            <v>8414.5</v>
          </cell>
          <cell r="K2237">
            <v>111719.96</v>
          </cell>
          <cell r="L2237" t="str">
            <v>贷</v>
          </cell>
          <cell r="M2237">
            <v>16858.599999999999</v>
          </cell>
          <cell r="N2237">
            <v>0</v>
          </cell>
          <cell r="O2237">
            <v>189146.57</v>
          </cell>
        </row>
        <row r="2238">
          <cell r="A2238" t="str">
            <v>11</v>
          </cell>
          <cell r="B2238" t="str">
            <v>30</v>
          </cell>
          <cell r="C2238" t="str">
            <v>记-0115</v>
          </cell>
          <cell r="D2238" t="str">
            <v>167</v>
          </cell>
          <cell r="E2238" t="str">
            <v>商标丙草</v>
          </cell>
          <cell r="F2238" t="str">
            <v>调整</v>
          </cell>
          <cell r="G2238">
            <v>13.33212</v>
          </cell>
          <cell r="H2238">
            <v>17129.2</v>
          </cell>
          <cell r="I2238">
            <v>228368.62</v>
          </cell>
          <cell r="J2238">
            <v>0</v>
          </cell>
          <cell r="K2238">
            <v>0</v>
          </cell>
          <cell r="L2238" t="str">
            <v>借</v>
          </cell>
          <cell r="M2238">
            <v>270.60000000000002</v>
          </cell>
          <cell r="N2238">
            <v>0</v>
          </cell>
          <cell r="O2238">
            <v>39222.050000000003</v>
          </cell>
        </row>
        <row r="2239">
          <cell r="A2239" t="str">
            <v>11</v>
          </cell>
          <cell r="B2239" t="str">
            <v>30</v>
          </cell>
          <cell r="C2239" t="str">
            <v>记-0159</v>
          </cell>
          <cell r="D2239" t="str">
            <v>167</v>
          </cell>
          <cell r="E2239" t="str">
            <v>商标丙草</v>
          </cell>
          <cell r="F2239" t="str">
            <v>调整库存</v>
          </cell>
          <cell r="G2239">
            <v>128.99073000000001</v>
          </cell>
          <cell r="H2239">
            <v>-202.9</v>
          </cell>
          <cell r="I2239">
            <v>-26172.22</v>
          </cell>
          <cell r="J2239">
            <v>0</v>
          </cell>
          <cell r="K2239">
            <v>0</v>
          </cell>
          <cell r="L2239" t="str">
            <v>借</v>
          </cell>
          <cell r="M2239">
            <v>67.7</v>
          </cell>
          <cell r="N2239">
            <v>0</v>
          </cell>
          <cell r="O2239">
            <v>13049.83</v>
          </cell>
        </row>
        <row r="2240">
          <cell r="A2240" t="str">
            <v>11</v>
          </cell>
          <cell r="F2240" t="str">
            <v>本月合计</v>
          </cell>
          <cell r="G2240">
            <v>0</v>
          </cell>
          <cell r="H2240">
            <v>33873.4</v>
          </cell>
          <cell r="I2240">
            <v>457152.77</v>
          </cell>
          <cell r="J2240">
            <v>17495.099999999999</v>
          </cell>
          <cell r="K2240">
            <v>229724.11</v>
          </cell>
          <cell r="L2240" t="str">
            <v>借</v>
          </cell>
          <cell r="M2240">
            <v>67.7</v>
          </cell>
          <cell r="N2240">
            <v>192.75968</v>
          </cell>
          <cell r="O2240">
            <v>13049.83</v>
          </cell>
        </row>
        <row r="2241">
          <cell r="A2241" t="str">
            <v>11</v>
          </cell>
          <cell r="F2241" t="str">
            <v>累    计</v>
          </cell>
          <cell r="G2241">
            <v>0</v>
          </cell>
          <cell r="H2241">
            <v>33873.4</v>
          </cell>
          <cell r="I2241">
            <v>457152.77</v>
          </cell>
          <cell r="J2241">
            <v>33805.699999999997</v>
          </cell>
          <cell r="K2241">
            <v>444102.94</v>
          </cell>
          <cell r="L2241" t="str">
            <v>借</v>
          </cell>
          <cell r="M2241">
            <v>67.7</v>
          </cell>
          <cell r="N2241">
            <v>192.75968</v>
          </cell>
          <cell r="O2241">
            <v>13049.83</v>
          </cell>
        </row>
        <row r="2242">
          <cell r="A2242" t="str">
            <v>12</v>
          </cell>
          <cell r="B2242" t="str">
            <v>11</v>
          </cell>
          <cell r="C2242" t="str">
            <v>记-0009</v>
          </cell>
          <cell r="D2242" t="str">
            <v>167</v>
          </cell>
          <cell r="E2242" t="str">
            <v>商标丙草</v>
          </cell>
          <cell r="F2242" t="str">
            <v>调整11月62号</v>
          </cell>
          <cell r="G2242">
            <v>0</v>
          </cell>
          <cell r="H2242">
            <v>0</v>
          </cell>
          <cell r="I2242">
            <v>0</v>
          </cell>
          <cell r="J2242">
            <v>0</v>
          </cell>
          <cell r="K2242">
            <v>-22885.88</v>
          </cell>
          <cell r="L2242" t="str">
            <v>借</v>
          </cell>
          <cell r="M2242">
            <v>67.7</v>
          </cell>
          <cell r="N2242">
            <v>0</v>
          </cell>
          <cell r="O2242">
            <v>35935.71</v>
          </cell>
        </row>
        <row r="2243">
          <cell r="A2243" t="str">
            <v>12</v>
          </cell>
          <cell r="B2243" t="str">
            <v>11</v>
          </cell>
          <cell r="C2243" t="str">
            <v>记-0009</v>
          </cell>
          <cell r="D2243" t="str">
            <v>167</v>
          </cell>
          <cell r="E2243" t="str">
            <v>商标丙草</v>
          </cell>
          <cell r="F2243" t="str">
            <v>更正</v>
          </cell>
          <cell r="G2243">
            <v>0</v>
          </cell>
          <cell r="H2243">
            <v>0</v>
          </cell>
          <cell r="I2243">
            <v>0</v>
          </cell>
          <cell r="J2243">
            <v>0</v>
          </cell>
          <cell r="K2243">
            <v>22885.88</v>
          </cell>
          <cell r="L2243" t="str">
            <v>借</v>
          </cell>
          <cell r="M2243">
            <v>67.7</v>
          </cell>
          <cell r="N2243">
            <v>0</v>
          </cell>
          <cell r="O2243">
            <v>13049.83</v>
          </cell>
        </row>
        <row r="2244">
          <cell r="A2244" t="str">
            <v>12</v>
          </cell>
          <cell r="B2244" t="str">
            <v>11</v>
          </cell>
          <cell r="C2244" t="str">
            <v>记-0010</v>
          </cell>
          <cell r="D2244" t="str">
            <v>167</v>
          </cell>
          <cell r="E2244" t="str">
            <v>商标丙草</v>
          </cell>
          <cell r="F2244" t="str">
            <v>调整1月159号</v>
          </cell>
          <cell r="G2244">
            <v>128.99073000000001</v>
          </cell>
          <cell r="H2244">
            <v>202.9</v>
          </cell>
          <cell r="I2244">
            <v>26172.22</v>
          </cell>
          <cell r="J2244">
            <v>0</v>
          </cell>
          <cell r="K2244">
            <v>0</v>
          </cell>
          <cell r="L2244" t="str">
            <v>借</v>
          </cell>
          <cell r="M2244">
            <v>270.60000000000002</v>
          </cell>
          <cell r="N2244">
            <v>0</v>
          </cell>
          <cell r="O2244">
            <v>39222.050000000003</v>
          </cell>
        </row>
        <row r="2245">
          <cell r="A2245" t="str">
            <v>12</v>
          </cell>
          <cell r="B2245" t="str">
            <v>11</v>
          </cell>
          <cell r="C2245" t="str">
            <v>记-0010</v>
          </cell>
          <cell r="D2245" t="str">
            <v>167</v>
          </cell>
          <cell r="E2245" t="str">
            <v>商标丙草</v>
          </cell>
          <cell r="F2245" t="str">
            <v>更正</v>
          </cell>
          <cell r="G2245">
            <v>162.85292999999999</v>
          </cell>
          <cell r="H2245">
            <v>202.9</v>
          </cell>
          <cell r="I2245">
            <v>-33042.86</v>
          </cell>
          <cell r="J2245">
            <v>0</v>
          </cell>
          <cell r="K2245">
            <v>0</v>
          </cell>
          <cell r="L2245" t="str">
            <v>借</v>
          </cell>
          <cell r="M2245">
            <v>473.5</v>
          </cell>
          <cell r="N2245">
            <v>0</v>
          </cell>
          <cell r="O2245">
            <v>6179.19</v>
          </cell>
        </row>
        <row r="2246">
          <cell r="A2246" t="str">
            <v>12</v>
          </cell>
          <cell r="B2246" t="str">
            <v>31</v>
          </cell>
          <cell r="C2246" t="str">
            <v>记-0137</v>
          </cell>
          <cell r="D2246" t="str">
            <v>167</v>
          </cell>
          <cell r="E2246" t="str">
            <v>商标丙草</v>
          </cell>
          <cell r="F2246" t="str">
            <v>结转成本</v>
          </cell>
          <cell r="G2246">
            <v>15.93</v>
          </cell>
          <cell r="H2246">
            <v>0</v>
          </cell>
          <cell r="I2246">
            <v>0</v>
          </cell>
          <cell r="J2246">
            <v>998</v>
          </cell>
          <cell r="K2246">
            <v>15898.14</v>
          </cell>
          <cell r="L2246" t="str">
            <v>贷</v>
          </cell>
          <cell r="M2246">
            <v>524.5</v>
          </cell>
          <cell r="N2246">
            <v>0</v>
          </cell>
          <cell r="O2246">
            <v>9718.9500000000007</v>
          </cell>
        </row>
        <row r="2247">
          <cell r="A2247" t="str">
            <v>12</v>
          </cell>
          <cell r="B2247" t="str">
            <v>31</v>
          </cell>
          <cell r="C2247" t="str">
            <v>记-0139</v>
          </cell>
          <cell r="D2247" t="str">
            <v>167</v>
          </cell>
          <cell r="E2247" t="str">
            <v>商标丙草</v>
          </cell>
          <cell r="F2247" t="str">
            <v>收购产品</v>
          </cell>
          <cell r="G2247">
            <v>15.9292</v>
          </cell>
          <cell r="H2247">
            <v>14635.6</v>
          </cell>
          <cell r="I2247">
            <v>233133.45</v>
          </cell>
          <cell r="J2247">
            <v>0</v>
          </cell>
          <cell r="K2247">
            <v>0</v>
          </cell>
          <cell r="L2247" t="str">
            <v>借</v>
          </cell>
          <cell r="M2247">
            <v>14111.1</v>
          </cell>
          <cell r="N2247">
            <v>0</v>
          </cell>
          <cell r="O2247">
            <v>223414.5</v>
          </cell>
        </row>
        <row r="2248">
          <cell r="A2248" t="str">
            <v>12</v>
          </cell>
          <cell r="F2248" t="str">
            <v>本月合计</v>
          </cell>
          <cell r="G2248">
            <v>0</v>
          </cell>
          <cell r="H2248">
            <v>15041.4</v>
          </cell>
          <cell r="I2248">
            <v>226262.81</v>
          </cell>
          <cell r="J2248">
            <v>998</v>
          </cell>
          <cell r="K2248">
            <v>15898.14</v>
          </cell>
          <cell r="L2248" t="str">
            <v>借</v>
          </cell>
          <cell r="M2248">
            <v>14111.1</v>
          </cell>
          <cell r="N2248">
            <v>15.83254</v>
          </cell>
          <cell r="O2248">
            <v>223414.5</v>
          </cell>
        </row>
        <row r="2249">
          <cell r="A2249" t="str">
            <v>12</v>
          </cell>
          <cell r="E2249" t="str">
            <v>商标丙草</v>
          </cell>
          <cell r="F2249" t="str">
            <v>本年累计</v>
          </cell>
          <cell r="G2249">
            <v>0</v>
          </cell>
          <cell r="H2249">
            <v>48914.8</v>
          </cell>
          <cell r="I2249">
            <v>683415.58</v>
          </cell>
          <cell r="J2249">
            <v>34803.699999999997</v>
          </cell>
          <cell r="K2249">
            <v>460001.08</v>
          </cell>
          <cell r="L2249" t="str">
            <v>借</v>
          </cell>
          <cell r="M2249">
            <v>14111.1</v>
          </cell>
          <cell r="N2249">
            <v>15.83254</v>
          </cell>
          <cell r="O2249">
            <v>223414.5</v>
          </cell>
        </row>
        <row r="2250">
          <cell r="A2250" t="str">
            <v>03</v>
          </cell>
          <cell r="B2250" t="str">
            <v>31</v>
          </cell>
          <cell r="C2250" t="str">
            <v>记-0042</v>
          </cell>
          <cell r="D2250" t="str">
            <v>168</v>
          </cell>
          <cell r="E2250" t="str">
            <v>商标丁草</v>
          </cell>
          <cell r="F2250" t="str">
            <v>转成本</v>
          </cell>
          <cell r="G2250">
            <v>7.7468000000000004</v>
          </cell>
          <cell r="H2250">
            <v>0</v>
          </cell>
          <cell r="I2250">
            <v>0</v>
          </cell>
          <cell r="J2250">
            <v>6382.9</v>
          </cell>
          <cell r="K2250">
            <v>49447.05</v>
          </cell>
          <cell r="L2250" t="str">
            <v>贷</v>
          </cell>
          <cell r="M2250">
            <v>6382.9</v>
          </cell>
          <cell r="N2250">
            <v>0</v>
          </cell>
          <cell r="O2250">
            <v>49447.05</v>
          </cell>
        </row>
        <row r="2251">
          <cell r="A2251" t="str">
            <v>03</v>
          </cell>
          <cell r="B2251" t="str">
            <v>31</v>
          </cell>
          <cell r="C2251" t="str">
            <v>记-0043</v>
          </cell>
          <cell r="D2251" t="str">
            <v>168</v>
          </cell>
          <cell r="E2251" t="str">
            <v>商标丁草</v>
          </cell>
          <cell r="F2251" t="str">
            <v>转成本</v>
          </cell>
          <cell r="G2251">
            <v>7.7469000000000001</v>
          </cell>
          <cell r="H2251">
            <v>0</v>
          </cell>
          <cell r="I2251">
            <v>0</v>
          </cell>
          <cell r="J2251">
            <v>1979.7</v>
          </cell>
          <cell r="K2251">
            <v>15336.54</v>
          </cell>
          <cell r="L2251" t="str">
            <v>贷</v>
          </cell>
          <cell r="M2251">
            <v>8362.6</v>
          </cell>
          <cell r="N2251">
            <v>0</v>
          </cell>
          <cell r="O2251">
            <v>64783.59</v>
          </cell>
        </row>
        <row r="2252">
          <cell r="A2252" t="str">
            <v>03</v>
          </cell>
          <cell r="B2252" t="str">
            <v>31</v>
          </cell>
          <cell r="C2252" t="str">
            <v>记-0046</v>
          </cell>
          <cell r="D2252" t="str">
            <v>168</v>
          </cell>
          <cell r="E2252" t="str">
            <v>商标丁草</v>
          </cell>
          <cell r="F2252" t="str">
            <v>转成本</v>
          </cell>
          <cell r="G2252">
            <v>7.7469000000000001</v>
          </cell>
          <cell r="H2252">
            <v>0</v>
          </cell>
          <cell r="I2252">
            <v>0</v>
          </cell>
          <cell r="J2252">
            <v>2164.6999999999998</v>
          </cell>
          <cell r="K2252">
            <v>16769.71</v>
          </cell>
          <cell r="L2252" t="str">
            <v>贷</v>
          </cell>
          <cell r="M2252">
            <v>10527.3</v>
          </cell>
          <cell r="N2252">
            <v>0</v>
          </cell>
          <cell r="O2252">
            <v>81553.3</v>
          </cell>
        </row>
        <row r="2253">
          <cell r="A2253" t="str">
            <v>03</v>
          </cell>
          <cell r="F2253" t="str">
            <v>本月合计</v>
          </cell>
          <cell r="G2253">
            <v>0</v>
          </cell>
          <cell r="H2253">
            <v>0</v>
          </cell>
          <cell r="I2253">
            <v>0</v>
          </cell>
          <cell r="J2253">
            <v>10527.3</v>
          </cell>
          <cell r="K2253">
            <v>81553.3</v>
          </cell>
          <cell r="L2253" t="str">
            <v>贷</v>
          </cell>
          <cell r="M2253">
            <v>10527.3</v>
          </cell>
          <cell r="N2253">
            <v>7.7468399999999997</v>
          </cell>
          <cell r="O2253">
            <v>81553.3</v>
          </cell>
        </row>
        <row r="2254">
          <cell r="A2254" t="str">
            <v>03</v>
          </cell>
          <cell r="F2254" t="str">
            <v>累    计</v>
          </cell>
          <cell r="G2254">
            <v>0</v>
          </cell>
          <cell r="H2254">
            <v>0</v>
          </cell>
          <cell r="I2254">
            <v>0</v>
          </cell>
          <cell r="J2254">
            <v>10527.3</v>
          </cell>
          <cell r="K2254">
            <v>81553.3</v>
          </cell>
          <cell r="L2254" t="str">
            <v>贷</v>
          </cell>
          <cell r="M2254">
            <v>10527.3</v>
          </cell>
          <cell r="N2254">
            <v>7.7468399999999997</v>
          </cell>
          <cell r="O2254">
            <v>81553.3</v>
          </cell>
        </row>
        <row r="2255">
          <cell r="A2255" t="str">
            <v>04</v>
          </cell>
          <cell r="B2255" t="str">
            <v>30</v>
          </cell>
          <cell r="C2255" t="str">
            <v>记-0049</v>
          </cell>
          <cell r="D2255" t="str">
            <v>168</v>
          </cell>
          <cell r="E2255" t="str">
            <v>商标丁草</v>
          </cell>
          <cell r="F2255" t="str">
            <v>转成本</v>
          </cell>
          <cell r="G2255">
            <v>7.83</v>
          </cell>
          <cell r="H2255">
            <v>0</v>
          </cell>
          <cell r="I2255">
            <v>0</v>
          </cell>
          <cell r="J2255">
            <v>29172.1</v>
          </cell>
          <cell r="K2255">
            <v>228417.54</v>
          </cell>
          <cell r="L2255" t="str">
            <v>贷</v>
          </cell>
          <cell r="M2255">
            <v>39699.4</v>
          </cell>
          <cell r="N2255">
            <v>0</v>
          </cell>
          <cell r="O2255">
            <v>309970.84000000003</v>
          </cell>
        </row>
        <row r="2256">
          <cell r="A2256" t="str">
            <v>04</v>
          </cell>
          <cell r="B2256" t="str">
            <v>30</v>
          </cell>
          <cell r="C2256" t="str">
            <v>记-0051</v>
          </cell>
          <cell r="D2256" t="str">
            <v>168</v>
          </cell>
          <cell r="E2256" t="str">
            <v>商标丁草</v>
          </cell>
          <cell r="F2256" t="str">
            <v>转成本</v>
          </cell>
          <cell r="G2256">
            <v>7.8299200000000004</v>
          </cell>
          <cell r="H2256">
            <v>0</v>
          </cell>
          <cell r="I2256">
            <v>0</v>
          </cell>
          <cell r="J2256">
            <v>52.8</v>
          </cell>
          <cell r="K2256">
            <v>413.42</v>
          </cell>
          <cell r="L2256" t="str">
            <v>贷</v>
          </cell>
          <cell r="M2256">
            <v>39752.199999999997</v>
          </cell>
          <cell r="N2256">
            <v>0</v>
          </cell>
          <cell r="O2256">
            <v>310384.26</v>
          </cell>
        </row>
        <row r="2257">
          <cell r="A2257" t="str">
            <v>04</v>
          </cell>
          <cell r="B2257" t="str">
            <v>30</v>
          </cell>
          <cell r="C2257" t="str">
            <v>记-0051</v>
          </cell>
          <cell r="D2257" t="str">
            <v>168</v>
          </cell>
          <cell r="E2257" t="str">
            <v>商标丁草</v>
          </cell>
          <cell r="F2257" t="str">
            <v>转成本</v>
          </cell>
          <cell r="G2257">
            <v>10.61947</v>
          </cell>
          <cell r="H2257">
            <v>0</v>
          </cell>
          <cell r="I2257">
            <v>0</v>
          </cell>
          <cell r="J2257">
            <v>2598.5</v>
          </cell>
          <cell r="K2257">
            <v>27594.69</v>
          </cell>
          <cell r="L2257" t="str">
            <v>贷</v>
          </cell>
          <cell r="M2257">
            <v>42350.7</v>
          </cell>
          <cell r="N2257">
            <v>0</v>
          </cell>
          <cell r="O2257">
            <v>337978.95</v>
          </cell>
        </row>
        <row r="2258">
          <cell r="A2258" t="str">
            <v>04</v>
          </cell>
          <cell r="B2258" t="str">
            <v>30</v>
          </cell>
          <cell r="C2258" t="str">
            <v>记-0051</v>
          </cell>
          <cell r="D2258" t="str">
            <v>168</v>
          </cell>
          <cell r="E2258" t="str">
            <v>商标丁草</v>
          </cell>
          <cell r="F2258" t="str">
            <v>转成本</v>
          </cell>
          <cell r="G2258">
            <v>7.8300700000000001</v>
          </cell>
          <cell r="H2258">
            <v>0</v>
          </cell>
          <cell r="I2258">
            <v>0</v>
          </cell>
          <cell r="J2258">
            <v>57.2</v>
          </cell>
          <cell r="K2258">
            <v>447.88</v>
          </cell>
          <cell r="L2258" t="str">
            <v>贷</v>
          </cell>
          <cell r="M2258">
            <v>42407.9</v>
          </cell>
          <cell r="N2258">
            <v>0</v>
          </cell>
          <cell r="O2258">
            <v>338426.83</v>
          </cell>
        </row>
        <row r="2259">
          <cell r="A2259" t="str">
            <v>04</v>
          </cell>
          <cell r="B2259" t="str">
            <v>30</v>
          </cell>
          <cell r="C2259" t="str">
            <v>记-0051</v>
          </cell>
          <cell r="D2259" t="str">
            <v>168</v>
          </cell>
          <cell r="E2259" t="str">
            <v>商标丁草</v>
          </cell>
          <cell r="F2259" t="str">
            <v>转成本</v>
          </cell>
          <cell r="G2259">
            <v>7.83</v>
          </cell>
          <cell r="H2259">
            <v>0</v>
          </cell>
          <cell r="I2259">
            <v>0</v>
          </cell>
          <cell r="J2259">
            <v>1335</v>
          </cell>
          <cell r="K2259">
            <v>10453.049999999999</v>
          </cell>
          <cell r="L2259" t="str">
            <v>贷</v>
          </cell>
          <cell r="M2259">
            <v>43742.9</v>
          </cell>
          <cell r="N2259">
            <v>0</v>
          </cell>
          <cell r="O2259">
            <v>348879.88</v>
          </cell>
        </row>
        <row r="2260">
          <cell r="A2260" t="str">
            <v>04</v>
          </cell>
          <cell r="B2260" t="str">
            <v>30</v>
          </cell>
          <cell r="C2260" t="str">
            <v>记-0051</v>
          </cell>
          <cell r="D2260" t="str">
            <v>168</v>
          </cell>
          <cell r="E2260" t="str">
            <v>商标丁草</v>
          </cell>
          <cell r="F2260" t="str">
            <v>转成本</v>
          </cell>
          <cell r="G2260">
            <v>10.62</v>
          </cell>
          <cell r="H2260">
            <v>0</v>
          </cell>
          <cell r="I2260">
            <v>0</v>
          </cell>
          <cell r="J2260">
            <v>9049.7999999999993</v>
          </cell>
          <cell r="K2260">
            <v>96108.88</v>
          </cell>
          <cell r="L2260" t="str">
            <v>贷</v>
          </cell>
          <cell r="M2260">
            <v>52792.7</v>
          </cell>
          <cell r="N2260">
            <v>0</v>
          </cell>
          <cell r="O2260">
            <v>444988.76</v>
          </cell>
        </row>
        <row r="2261">
          <cell r="A2261" t="str">
            <v>04</v>
          </cell>
          <cell r="B2261" t="str">
            <v>30</v>
          </cell>
          <cell r="C2261" t="str">
            <v>记-0051</v>
          </cell>
          <cell r="D2261" t="str">
            <v>168</v>
          </cell>
          <cell r="E2261" t="str">
            <v>商标丁草</v>
          </cell>
          <cell r="F2261" t="str">
            <v>转成本</v>
          </cell>
          <cell r="G2261">
            <v>10.62</v>
          </cell>
          <cell r="H2261">
            <v>0</v>
          </cell>
          <cell r="I2261">
            <v>0</v>
          </cell>
          <cell r="J2261">
            <v>2390.4</v>
          </cell>
          <cell r="K2261">
            <v>25386.05</v>
          </cell>
          <cell r="L2261" t="str">
            <v>贷</v>
          </cell>
          <cell r="M2261">
            <v>55183.1</v>
          </cell>
          <cell r="N2261">
            <v>0</v>
          </cell>
          <cell r="O2261">
            <v>470374.81</v>
          </cell>
        </row>
        <row r="2262">
          <cell r="A2262" t="str">
            <v>04</v>
          </cell>
          <cell r="B2262" t="str">
            <v>30</v>
          </cell>
          <cell r="C2262" t="str">
            <v>记-0051</v>
          </cell>
          <cell r="D2262" t="str">
            <v>168</v>
          </cell>
          <cell r="E2262" t="str">
            <v>商标丁草</v>
          </cell>
          <cell r="F2262" t="str">
            <v>转成本</v>
          </cell>
          <cell r="G2262">
            <v>7.83</v>
          </cell>
          <cell r="H2262">
            <v>0</v>
          </cell>
          <cell r="I2262">
            <v>0</v>
          </cell>
          <cell r="J2262">
            <v>2845.5</v>
          </cell>
          <cell r="K2262">
            <v>22280.27</v>
          </cell>
          <cell r="L2262" t="str">
            <v>贷</v>
          </cell>
          <cell r="M2262">
            <v>58028.6</v>
          </cell>
          <cell r="N2262">
            <v>0</v>
          </cell>
          <cell r="O2262">
            <v>492655.08</v>
          </cell>
        </row>
        <row r="2263">
          <cell r="A2263" t="str">
            <v>04</v>
          </cell>
          <cell r="B2263" t="str">
            <v>30</v>
          </cell>
          <cell r="C2263" t="str">
            <v>记-0051</v>
          </cell>
          <cell r="D2263" t="str">
            <v>168</v>
          </cell>
          <cell r="E2263" t="str">
            <v>商标丁草</v>
          </cell>
          <cell r="F2263" t="str">
            <v>转成本</v>
          </cell>
          <cell r="G2263">
            <v>7.83</v>
          </cell>
          <cell r="H2263">
            <v>0</v>
          </cell>
          <cell r="I2263">
            <v>0</v>
          </cell>
          <cell r="J2263">
            <v>2082</v>
          </cell>
          <cell r="K2263">
            <v>16302.06</v>
          </cell>
          <cell r="L2263" t="str">
            <v>贷</v>
          </cell>
          <cell r="M2263">
            <v>60110.6</v>
          </cell>
          <cell r="N2263">
            <v>0</v>
          </cell>
          <cell r="O2263">
            <v>508957.14</v>
          </cell>
        </row>
        <row r="2264">
          <cell r="A2264" t="str">
            <v>04</v>
          </cell>
          <cell r="F2264" t="str">
            <v>本月合计</v>
          </cell>
          <cell r="G2264">
            <v>0</v>
          </cell>
          <cell r="H2264">
            <v>0</v>
          </cell>
          <cell r="I2264">
            <v>0</v>
          </cell>
          <cell r="J2264">
            <v>49583.3</v>
          </cell>
          <cell r="K2264">
            <v>427403.84</v>
          </cell>
          <cell r="L2264" t="str">
            <v>贷</v>
          </cell>
          <cell r="M2264">
            <v>60110.6</v>
          </cell>
          <cell r="N2264">
            <v>8.4670100000000001</v>
          </cell>
          <cell r="O2264">
            <v>508957.14</v>
          </cell>
        </row>
        <row r="2265">
          <cell r="A2265" t="str">
            <v>04</v>
          </cell>
          <cell r="F2265" t="str">
            <v>累    计</v>
          </cell>
          <cell r="G2265">
            <v>0</v>
          </cell>
          <cell r="H2265">
            <v>0</v>
          </cell>
          <cell r="I2265">
            <v>0</v>
          </cell>
          <cell r="J2265">
            <v>60110.6</v>
          </cell>
          <cell r="K2265">
            <v>508957.14</v>
          </cell>
          <cell r="L2265" t="str">
            <v>贷</v>
          </cell>
          <cell r="M2265">
            <v>60110.6</v>
          </cell>
          <cell r="N2265">
            <v>8.4670100000000001</v>
          </cell>
          <cell r="O2265">
            <v>508957.14</v>
          </cell>
        </row>
        <row r="2266">
          <cell r="A2266" t="str">
            <v>06</v>
          </cell>
          <cell r="B2266" t="str">
            <v>24</v>
          </cell>
          <cell r="C2266" t="str">
            <v>记-0018</v>
          </cell>
          <cell r="D2266" t="str">
            <v>168</v>
          </cell>
          <cell r="E2266" t="str">
            <v>商标丁草</v>
          </cell>
          <cell r="F2266" t="str">
            <v>结转成本</v>
          </cell>
          <cell r="G2266">
            <v>13.27434</v>
          </cell>
          <cell r="H2266">
            <v>0</v>
          </cell>
          <cell r="I2266">
            <v>0</v>
          </cell>
          <cell r="J2266">
            <v>1212.3</v>
          </cell>
          <cell r="K2266">
            <v>16092.48</v>
          </cell>
          <cell r="L2266" t="str">
            <v>贷</v>
          </cell>
          <cell r="M2266">
            <v>61322.9</v>
          </cell>
          <cell r="N2266">
            <v>0</v>
          </cell>
          <cell r="O2266">
            <v>525049.62</v>
          </cell>
        </row>
        <row r="2267">
          <cell r="A2267" t="str">
            <v>06</v>
          </cell>
          <cell r="F2267" t="str">
            <v>本月合计</v>
          </cell>
          <cell r="G2267">
            <v>0</v>
          </cell>
          <cell r="H2267">
            <v>0</v>
          </cell>
          <cell r="I2267">
            <v>0</v>
          </cell>
          <cell r="J2267">
            <v>1212.3</v>
          </cell>
          <cell r="K2267">
            <v>16092.48</v>
          </cell>
          <cell r="L2267" t="str">
            <v>贷</v>
          </cell>
          <cell r="M2267">
            <v>61322.9</v>
          </cell>
          <cell r="N2267">
            <v>8.5620499999999993</v>
          </cell>
          <cell r="O2267">
            <v>525049.62</v>
          </cell>
        </row>
        <row r="2268">
          <cell r="A2268" t="str">
            <v>06</v>
          </cell>
          <cell r="F2268" t="str">
            <v>累    计</v>
          </cell>
          <cell r="G2268">
            <v>0</v>
          </cell>
          <cell r="H2268">
            <v>0</v>
          </cell>
          <cell r="I2268">
            <v>0</v>
          </cell>
          <cell r="J2268">
            <v>61322.9</v>
          </cell>
          <cell r="K2268">
            <v>525049.62</v>
          </cell>
          <cell r="L2268" t="str">
            <v>贷</v>
          </cell>
          <cell r="M2268">
            <v>61322.9</v>
          </cell>
          <cell r="N2268">
            <v>8.5620499999999993</v>
          </cell>
          <cell r="O2268">
            <v>525049.62</v>
          </cell>
        </row>
        <row r="2269">
          <cell r="A2269" t="str">
            <v>10</v>
          </cell>
          <cell r="B2269" t="str">
            <v>22</v>
          </cell>
          <cell r="C2269" t="str">
            <v>记-0069</v>
          </cell>
          <cell r="D2269" t="str">
            <v>168</v>
          </cell>
          <cell r="E2269" t="str">
            <v>商标丁草</v>
          </cell>
          <cell r="F2269" t="str">
            <v>结转成本</v>
          </cell>
          <cell r="G2269">
            <v>8.5619999999999994</v>
          </cell>
          <cell r="H2269">
            <v>0</v>
          </cell>
          <cell r="I2269">
            <v>0</v>
          </cell>
          <cell r="J2269">
            <v>14211.5</v>
          </cell>
          <cell r="K2269">
            <v>121678.86</v>
          </cell>
          <cell r="L2269" t="str">
            <v>贷</v>
          </cell>
          <cell r="M2269">
            <v>75534.399999999994</v>
          </cell>
          <cell r="N2269">
            <v>0</v>
          </cell>
          <cell r="O2269">
            <v>646728.48</v>
          </cell>
        </row>
        <row r="2270">
          <cell r="A2270" t="str">
            <v>10</v>
          </cell>
          <cell r="F2270" t="str">
            <v>本月合计</v>
          </cell>
          <cell r="G2270">
            <v>0</v>
          </cell>
          <cell r="H2270">
            <v>0</v>
          </cell>
          <cell r="I2270">
            <v>0</v>
          </cell>
          <cell r="J2270">
            <v>14211.5</v>
          </cell>
          <cell r="K2270">
            <v>121678.86</v>
          </cell>
          <cell r="L2270" t="str">
            <v>贷</v>
          </cell>
          <cell r="M2270">
            <v>75534.399999999994</v>
          </cell>
          <cell r="N2270">
            <v>8.5620399999999997</v>
          </cell>
          <cell r="O2270">
            <v>646728.48</v>
          </cell>
        </row>
        <row r="2271">
          <cell r="A2271" t="str">
            <v>10</v>
          </cell>
          <cell r="F2271" t="str">
            <v>累    计</v>
          </cell>
          <cell r="G2271">
            <v>0</v>
          </cell>
          <cell r="H2271">
            <v>0</v>
          </cell>
          <cell r="I2271">
            <v>0</v>
          </cell>
          <cell r="J2271">
            <v>75534.399999999994</v>
          </cell>
          <cell r="K2271">
            <v>646728.48</v>
          </cell>
          <cell r="L2271" t="str">
            <v>贷</v>
          </cell>
          <cell r="M2271">
            <v>75534.399999999994</v>
          </cell>
          <cell r="N2271">
            <v>8.5620399999999997</v>
          </cell>
          <cell r="O2271">
            <v>646728.48</v>
          </cell>
        </row>
        <row r="2272">
          <cell r="A2272" t="str">
            <v>11</v>
          </cell>
          <cell r="B2272" t="str">
            <v>30</v>
          </cell>
          <cell r="C2272" t="str">
            <v>记-0066</v>
          </cell>
          <cell r="D2272" t="str">
            <v>168</v>
          </cell>
          <cell r="E2272" t="str">
            <v>商标丁草</v>
          </cell>
          <cell r="F2272" t="str">
            <v>调整5月36号.1</v>
          </cell>
          <cell r="G2272">
            <v>10.058350000000001</v>
          </cell>
          <cell r="H2272">
            <v>43025.3</v>
          </cell>
          <cell r="I2272">
            <v>432763.5</v>
          </cell>
          <cell r="J2272">
            <v>0</v>
          </cell>
          <cell r="K2272">
            <v>0</v>
          </cell>
          <cell r="L2272" t="str">
            <v>贷</v>
          </cell>
          <cell r="M2272">
            <v>32509.1</v>
          </cell>
          <cell r="N2272">
            <v>0</v>
          </cell>
          <cell r="O2272">
            <v>213964.98</v>
          </cell>
        </row>
        <row r="2273">
          <cell r="A2273" t="str">
            <v>11</v>
          </cell>
          <cell r="B2273" t="str">
            <v>30</v>
          </cell>
          <cell r="C2273" t="str">
            <v>记-0066</v>
          </cell>
          <cell r="D2273" t="str">
            <v>168</v>
          </cell>
          <cell r="E2273" t="str">
            <v>商标丁草</v>
          </cell>
          <cell r="F2273" t="str">
            <v>调整5月36号.1</v>
          </cell>
          <cell r="G2273">
            <v>12.025650000000001</v>
          </cell>
          <cell r="H2273">
            <v>102440.9</v>
          </cell>
          <cell r="I2273">
            <v>1231918.32</v>
          </cell>
          <cell r="J2273">
            <v>0</v>
          </cell>
          <cell r="K2273">
            <v>0</v>
          </cell>
          <cell r="L2273" t="str">
            <v>借</v>
          </cell>
          <cell r="M2273">
            <v>69931.8</v>
          </cell>
          <cell r="N2273">
            <v>0</v>
          </cell>
          <cell r="O2273">
            <v>1017953.34</v>
          </cell>
        </row>
        <row r="2274">
          <cell r="A2274" t="str">
            <v>11</v>
          </cell>
          <cell r="B2274" t="str">
            <v>30</v>
          </cell>
          <cell r="C2274" t="str">
            <v>记-0067</v>
          </cell>
          <cell r="D2274" t="str">
            <v>168</v>
          </cell>
          <cell r="E2274" t="str">
            <v>商标丁草</v>
          </cell>
          <cell r="F2274" t="str">
            <v>调整10月78号</v>
          </cell>
          <cell r="G2274">
            <v>11.08</v>
          </cell>
          <cell r="H2274">
            <v>0</v>
          </cell>
          <cell r="I2274">
            <v>0</v>
          </cell>
          <cell r="J2274">
            <v>6000</v>
          </cell>
          <cell r="K2274">
            <v>66480</v>
          </cell>
          <cell r="L2274" t="str">
            <v>借</v>
          </cell>
          <cell r="M2274">
            <v>63931.8</v>
          </cell>
          <cell r="N2274">
            <v>0</v>
          </cell>
          <cell r="O2274">
            <v>951473.34</v>
          </cell>
        </row>
        <row r="2275">
          <cell r="A2275" t="str">
            <v>11</v>
          </cell>
          <cell r="B2275" t="str">
            <v>30</v>
          </cell>
          <cell r="C2275" t="str">
            <v>记-0070</v>
          </cell>
          <cell r="D2275" t="str">
            <v>168</v>
          </cell>
          <cell r="E2275" t="str">
            <v>商标丁草</v>
          </cell>
          <cell r="F2275" t="str">
            <v>调整4月51号凭</v>
          </cell>
          <cell r="G2275">
            <v>7.83</v>
          </cell>
          <cell r="H2275">
            <v>0</v>
          </cell>
          <cell r="I2275">
            <v>0</v>
          </cell>
          <cell r="J2275">
            <v>-6262.5</v>
          </cell>
          <cell r="K2275">
            <v>-49035.38</v>
          </cell>
          <cell r="L2275" t="str">
            <v>借</v>
          </cell>
          <cell r="M2275">
            <v>70194.3</v>
          </cell>
          <cell r="N2275">
            <v>0</v>
          </cell>
          <cell r="O2275">
            <v>1000508.72</v>
          </cell>
        </row>
        <row r="2276">
          <cell r="A2276" t="str">
            <v>11</v>
          </cell>
          <cell r="B2276" t="str">
            <v>30</v>
          </cell>
          <cell r="C2276" t="str">
            <v>记-0073</v>
          </cell>
          <cell r="D2276" t="str">
            <v>168</v>
          </cell>
          <cell r="E2276" t="str">
            <v>商标丁草</v>
          </cell>
          <cell r="F2276" t="str">
            <v>合并名称</v>
          </cell>
          <cell r="G2276">
            <v>14.10347</v>
          </cell>
          <cell r="H2276">
            <v>0</v>
          </cell>
          <cell r="I2276">
            <v>0</v>
          </cell>
          <cell r="J2276">
            <v>36767.699999999997</v>
          </cell>
          <cell r="K2276">
            <v>518552.27</v>
          </cell>
          <cell r="L2276" t="str">
            <v>借</v>
          </cell>
          <cell r="M2276">
            <v>33426.6</v>
          </cell>
          <cell r="N2276">
            <v>0</v>
          </cell>
          <cell r="O2276">
            <v>481956.45</v>
          </cell>
        </row>
        <row r="2277">
          <cell r="A2277" t="str">
            <v>11</v>
          </cell>
          <cell r="B2277" t="str">
            <v>30</v>
          </cell>
          <cell r="C2277" t="str">
            <v>记-0074</v>
          </cell>
          <cell r="D2277" t="str">
            <v>168</v>
          </cell>
          <cell r="E2277" t="str">
            <v>商标丁草</v>
          </cell>
          <cell r="F2277" t="str">
            <v>合并名称</v>
          </cell>
          <cell r="G2277">
            <v>7.7971300000000001</v>
          </cell>
          <cell r="H2277">
            <v>0</v>
          </cell>
          <cell r="I2277">
            <v>0</v>
          </cell>
          <cell r="J2277">
            <v>21587.1</v>
          </cell>
          <cell r="K2277">
            <v>168317.53</v>
          </cell>
          <cell r="L2277" t="str">
            <v>借</v>
          </cell>
          <cell r="M2277">
            <v>11839.5</v>
          </cell>
          <cell r="N2277">
            <v>0</v>
          </cell>
          <cell r="O2277">
            <v>313638.92</v>
          </cell>
        </row>
        <row r="2278">
          <cell r="A2278" t="str">
            <v>11</v>
          </cell>
          <cell r="B2278" t="str">
            <v>30</v>
          </cell>
          <cell r="C2278" t="str">
            <v>记-0075</v>
          </cell>
          <cell r="D2278" t="str">
            <v>168</v>
          </cell>
          <cell r="E2278" t="str">
            <v>商标丁草</v>
          </cell>
          <cell r="F2278" t="str">
            <v>合并名称</v>
          </cell>
          <cell r="G2278">
            <v>10.62</v>
          </cell>
          <cell r="H2278">
            <v>0</v>
          </cell>
          <cell r="I2278">
            <v>0</v>
          </cell>
          <cell r="J2278">
            <v>14065.7</v>
          </cell>
          <cell r="K2278">
            <v>149377.73000000001</v>
          </cell>
          <cell r="L2278" t="str">
            <v>借</v>
          </cell>
          <cell r="M2278">
            <v>-2226.1999999999998</v>
          </cell>
          <cell r="N2278">
            <v>0</v>
          </cell>
          <cell r="O2278">
            <v>164261.19</v>
          </cell>
        </row>
        <row r="2279">
          <cell r="A2279" t="str">
            <v>11</v>
          </cell>
          <cell r="B2279" t="str">
            <v>30</v>
          </cell>
          <cell r="C2279" t="str">
            <v>记-0076</v>
          </cell>
          <cell r="D2279" t="str">
            <v>168</v>
          </cell>
          <cell r="E2279" t="str">
            <v>商标丁草</v>
          </cell>
          <cell r="F2279" t="str">
            <v>合并名称</v>
          </cell>
          <cell r="G2279">
            <v>8.7070000000000007</v>
          </cell>
          <cell r="H2279">
            <v>0</v>
          </cell>
          <cell r="I2279">
            <v>0</v>
          </cell>
          <cell r="J2279">
            <v>4991</v>
          </cell>
          <cell r="K2279">
            <v>43456.639999999999</v>
          </cell>
          <cell r="L2279" t="str">
            <v>借</v>
          </cell>
          <cell r="M2279">
            <v>-7217.2</v>
          </cell>
          <cell r="N2279">
            <v>0</v>
          </cell>
          <cell r="O2279">
            <v>120804.55</v>
          </cell>
        </row>
        <row r="2280">
          <cell r="A2280" t="str">
            <v>11</v>
          </cell>
          <cell r="B2280" t="str">
            <v>30</v>
          </cell>
          <cell r="C2280" t="str">
            <v>记-0077</v>
          </cell>
          <cell r="D2280" t="str">
            <v>168</v>
          </cell>
          <cell r="E2280" t="str">
            <v>商标丁草</v>
          </cell>
          <cell r="F2280" t="str">
            <v>合并名称</v>
          </cell>
          <cell r="G2280">
            <v>8.7068200000000004</v>
          </cell>
          <cell r="H2280">
            <v>9094.2999999999993</v>
          </cell>
          <cell r="I2280">
            <v>79182.460000000006</v>
          </cell>
          <cell r="J2280">
            <v>0</v>
          </cell>
          <cell r="K2280">
            <v>0</v>
          </cell>
          <cell r="L2280" t="str">
            <v>借</v>
          </cell>
          <cell r="M2280">
            <v>1877.1</v>
          </cell>
          <cell r="N2280">
            <v>0</v>
          </cell>
          <cell r="O2280">
            <v>199987.01</v>
          </cell>
        </row>
        <row r="2281">
          <cell r="A2281" t="str">
            <v>11</v>
          </cell>
          <cell r="B2281" t="str">
            <v>30</v>
          </cell>
          <cell r="C2281" t="str">
            <v>记-0148</v>
          </cell>
          <cell r="D2281" t="str">
            <v>168</v>
          </cell>
          <cell r="E2281" t="str">
            <v>商标丁草</v>
          </cell>
          <cell r="F2281" t="str">
            <v>调整库存</v>
          </cell>
          <cell r="G2281">
            <v>106.54040999999999</v>
          </cell>
          <cell r="H2281">
            <v>-1877.1</v>
          </cell>
          <cell r="I2281">
            <v>-199987.01</v>
          </cell>
          <cell r="J2281">
            <v>0</v>
          </cell>
          <cell r="K2281">
            <v>0</v>
          </cell>
          <cell r="L2281" t="str">
            <v>平</v>
          </cell>
          <cell r="M2281">
            <v>0</v>
          </cell>
          <cell r="N2281">
            <v>0</v>
          </cell>
          <cell r="O2281">
            <v>0</v>
          </cell>
        </row>
        <row r="2282">
          <cell r="A2282" t="str">
            <v>11</v>
          </cell>
          <cell r="F2282" t="str">
            <v>本月合计</v>
          </cell>
          <cell r="G2282">
            <v>0</v>
          </cell>
          <cell r="H2282">
            <v>152683.4</v>
          </cell>
          <cell r="I2282">
            <v>1543877.27</v>
          </cell>
          <cell r="J2282">
            <v>77149</v>
          </cell>
          <cell r="K2282">
            <v>897148.79</v>
          </cell>
          <cell r="L2282" t="str">
            <v>平</v>
          </cell>
          <cell r="M2282">
            <v>0</v>
          </cell>
          <cell r="N2282">
            <v>0</v>
          </cell>
          <cell r="O2282">
            <v>0</v>
          </cell>
        </row>
        <row r="2283">
          <cell r="A2283" t="str">
            <v>11</v>
          </cell>
          <cell r="F2283" t="str">
            <v>累    计</v>
          </cell>
          <cell r="G2283">
            <v>0</v>
          </cell>
          <cell r="H2283">
            <v>152683.4</v>
          </cell>
          <cell r="I2283">
            <v>1543877.27</v>
          </cell>
          <cell r="J2283">
            <v>152683.4</v>
          </cell>
          <cell r="K2283">
            <v>1543877.27</v>
          </cell>
          <cell r="L2283" t="str">
            <v>平</v>
          </cell>
          <cell r="M2283">
            <v>0</v>
          </cell>
          <cell r="N2283">
            <v>0</v>
          </cell>
          <cell r="O2283">
            <v>0</v>
          </cell>
        </row>
        <row r="2284">
          <cell r="A2284" t="str">
            <v>12</v>
          </cell>
          <cell r="B2284" t="str">
            <v>11</v>
          </cell>
          <cell r="C2284" t="str">
            <v>记-0129</v>
          </cell>
          <cell r="D2284" t="str">
            <v>168</v>
          </cell>
          <cell r="E2284" t="str">
            <v>商标丁草</v>
          </cell>
          <cell r="F2284" t="str">
            <v>调整11月148号</v>
          </cell>
          <cell r="G2284">
            <v>106.54040999999999</v>
          </cell>
          <cell r="H2284">
            <v>1877.1</v>
          </cell>
          <cell r="I2284">
            <v>199987.01</v>
          </cell>
          <cell r="J2284">
            <v>0</v>
          </cell>
          <cell r="K2284">
            <v>0</v>
          </cell>
          <cell r="L2284" t="str">
            <v>借</v>
          </cell>
          <cell r="M2284">
            <v>1877.1</v>
          </cell>
          <cell r="N2284">
            <v>0</v>
          </cell>
          <cell r="O2284">
            <v>199987.01</v>
          </cell>
        </row>
        <row r="2285">
          <cell r="A2285" t="str">
            <v>12</v>
          </cell>
          <cell r="B2285" t="str">
            <v>11</v>
          </cell>
          <cell r="C2285" t="str">
            <v>记-0129</v>
          </cell>
          <cell r="D2285" t="str">
            <v>168</v>
          </cell>
          <cell r="E2285" t="str">
            <v>商标丁草</v>
          </cell>
          <cell r="F2285" t="str">
            <v>调整</v>
          </cell>
          <cell r="G2285">
            <v>86.848020000000005</v>
          </cell>
          <cell r="H2285">
            <v>-2376.5</v>
          </cell>
          <cell r="I2285">
            <v>-206394.31</v>
          </cell>
          <cell r="J2285">
            <v>0</v>
          </cell>
          <cell r="K2285">
            <v>0</v>
          </cell>
          <cell r="L2285" t="str">
            <v>贷</v>
          </cell>
          <cell r="M2285">
            <v>499.4</v>
          </cell>
          <cell r="N2285">
            <v>0</v>
          </cell>
          <cell r="O2285">
            <v>6407.3</v>
          </cell>
        </row>
        <row r="2286">
          <cell r="A2286" t="str">
            <v>12</v>
          </cell>
          <cell r="B2286" t="str">
            <v>31</v>
          </cell>
          <cell r="C2286" t="str">
            <v>记-0139</v>
          </cell>
          <cell r="D2286" t="str">
            <v>168</v>
          </cell>
          <cell r="E2286" t="str">
            <v>商标丁草</v>
          </cell>
          <cell r="F2286" t="str">
            <v>收购产品</v>
          </cell>
          <cell r="G2286">
            <v>12.831860000000001</v>
          </cell>
          <cell r="H2286">
            <v>16783.900000000001</v>
          </cell>
          <cell r="I2286">
            <v>215368.62</v>
          </cell>
          <cell r="J2286">
            <v>0</v>
          </cell>
          <cell r="K2286">
            <v>0</v>
          </cell>
          <cell r="L2286" t="str">
            <v>借</v>
          </cell>
          <cell r="M2286">
            <v>16284.5</v>
          </cell>
          <cell r="N2286">
            <v>0</v>
          </cell>
          <cell r="O2286">
            <v>208961.32</v>
          </cell>
        </row>
        <row r="2287">
          <cell r="A2287" t="str">
            <v>12</v>
          </cell>
          <cell r="F2287" t="str">
            <v>本月合计</v>
          </cell>
          <cell r="G2287">
            <v>0</v>
          </cell>
          <cell r="H2287">
            <v>16284.5</v>
          </cell>
          <cell r="I2287">
            <v>208961.32</v>
          </cell>
          <cell r="J2287">
            <v>0</v>
          </cell>
          <cell r="K2287">
            <v>0</v>
          </cell>
          <cell r="L2287" t="str">
            <v>借</v>
          </cell>
          <cell r="M2287">
            <v>16284.5</v>
          </cell>
          <cell r="N2287">
            <v>12.83192</v>
          </cell>
          <cell r="O2287">
            <v>208961.32</v>
          </cell>
        </row>
        <row r="2288">
          <cell r="A2288" t="str">
            <v>12</v>
          </cell>
          <cell r="E2288" t="str">
            <v>商标丁草</v>
          </cell>
          <cell r="F2288" t="str">
            <v>本年累计</v>
          </cell>
          <cell r="G2288">
            <v>0</v>
          </cell>
          <cell r="H2288">
            <v>168967.9</v>
          </cell>
          <cell r="I2288">
            <v>1752838.59</v>
          </cell>
          <cell r="J2288">
            <v>152683.4</v>
          </cell>
          <cell r="K2288">
            <v>1543877.27</v>
          </cell>
          <cell r="L2288" t="str">
            <v>借</v>
          </cell>
          <cell r="M2288">
            <v>16284.5</v>
          </cell>
          <cell r="N2288">
            <v>12.83192</v>
          </cell>
          <cell r="O2288">
            <v>208961.32</v>
          </cell>
        </row>
        <row r="2289">
          <cell r="A2289" t="str">
            <v>03</v>
          </cell>
          <cell r="B2289" t="str">
            <v>31</v>
          </cell>
          <cell r="C2289" t="str">
            <v>记-0046</v>
          </cell>
          <cell r="D2289" t="str">
            <v>169</v>
          </cell>
          <cell r="E2289" t="str">
            <v>家种甘草去皮特</v>
          </cell>
          <cell r="F2289" t="str">
            <v>转成本</v>
          </cell>
          <cell r="G2289">
            <v>31.858419999999999</v>
          </cell>
          <cell r="H2289">
            <v>0</v>
          </cell>
          <cell r="I2289">
            <v>0</v>
          </cell>
          <cell r="J2289">
            <v>38</v>
          </cell>
          <cell r="K2289">
            <v>1210.6199999999999</v>
          </cell>
          <cell r="L2289" t="str">
            <v>贷</v>
          </cell>
          <cell r="M2289">
            <v>38</v>
          </cell>
          <cell r="N2289">
            <v>0</v>
          </cell>
          <cell r="O2289">
            <v>1210.6199999999999</v>
          </cell>
        </row>
        <row r="2290">
          <cell r="A2290" t="str">
            <v>03</v>
          </cell>
          <cell r="F2290" t="str">
            <v>本月合计</v>
          </cell>
          <cell r="G2290">
            <v>0</v>
          </cell>
          <cell r="H2290">
            <v>0</v>
          </cell>
          <cell r="I2290">
            <v>0</v>
          </cell>
          <cell r="J2290">
            <v>38</v>
          </cell>
          <cell r="K2290">
            <v>1210.6199999999999</v>
          </cell>
          <cell r="L2290" t="str">
            <v>贷</v>
          </cell>
          <cell r="M2290">
            <v>38</v>
          </cell>
          <cell r="N2290">
            <v>31.858419999999999</v>
          </cell>
          <cell r="O2290">
            <v>1210.6199999999999</v>
          </cell>
        </row>
        <row r="2291">
          <cell r="A2291" t="str">
            <v>03</v>
          </cell>
          <cell r="F2291" t="str">
            <v>累    计</v>
          </cell>
          <cell r="G2291">
            <v>0</v>
          </cell>
          <cell r="H2291">
            <v>0</v>
          </cell>
          <cell r="I2291">
            <v>0</v>
          </cell>
          <cell r="J2291">
            <v>38</v>
          </cell>
          <cell r="K2291">
            <v>1210.6199999999999</v>
          </cell>
          <cell r="L2291" t="str">
            <v>贷</v>
          </cell>
          <cell r="M2291">
            <v>38</v>
          </cell>
          <cell r="N2291">
            <v>31.858419999999999</v>
          </cell>
          <cell r="O2291">
            <v>1210.6199999999999</v>
          </cell>
        </row>
        <row r="2292">
          <cell r="A2292" t="str">
            <v>05</v>
          </cell>
          <cell r="B2292" t="str">
            <v>31</v>
          </cell>
          <cell r="C2292" t="str">
            <v>记-0036</v>
          </cell>
          <cell r="D2292" t="str">
            <v>169</v>
          </cell>
          <cell r="E2292" t="str">
            <v>家种甘草去皮特</v>
          </cell>
          <cell r="F2292" t="str">
            <v>收购产品</v>
          </cell>
          <cell r="G2292">
            <v>31.858419999999999</v>
          </cell>
          <cell r="H2292">
            <v>38</v>
          </cell>
          <cell r="I2292">
            <v>1210.6199999999999</v>
          </cell>
          <cell r="J2292">
            <v>0</v>
          </cell>
          <cell r="K2292">
            <v>0</v>
          </cell>
          <cell r="L2292" t="str">
            <v>平</v>
          </cell>
          <cell r="M2292">
            <v>0</v>
          </cell>
          <cell r="N2292">
            <v>0</v>
          </cell>
          <cell r="O2292">
            <v>0</v>
          </cell>
        </row>
        <row r="2293">
          <cell r="A2293" t="str">
            <v>05</v>
          </cell>
          <cell r="F2293" t="str">
            <v>本月合计</v>
          </cell>
          <cell r="G2293">
            <v>0</v>
          </cell>
          <cell r="H2293">
            <v>38</v>
          </cell>
          <cell r="I2293">
            <v>1210.6199999999999</v>
          </cell>
          <cell r="J2293">
            <v>0</v>
          </cell>
          <cell r="K2293">
            <v>0</v>
          </cell>
          <cell r="L2293" t="str">
            <v>平</v>
          </cell>
          <cell r="M2293">
            <v>0</v>
          </cell>
          <cell r="N2293">
            <v>0</v>
          </cell>
          <cell r="O2293">
            <v>0</v>
          </cell>
        </row>
        <row r="2294">
          <cell r="A2294" t="str">
            <v>05</v>
          </cell>
          <cell r="E2294" t="str">
            <v>家种甘草去皮特</v>
          </cell>
          <cell r="F2294" t="str">
            <v>本年累计</v>
          </cell>
          <cell r="G2294">
            <v>0</v>
          </cell>
          <cell r="H2294">
            <v>38</v>
          </cell>
          <cell r="I2294">
            <v>1210.6199999999999</v>
          </cell>
          <cell r="J2294">
            <v>38</v>
          </cell>
          <cell r="K2294">
            <v>1210.6199999999999</v>
          </cell>
          <cell r="L2294" t="str">
            <v>平</v>
          </cell>
          <cell r="M2294">
            <v>0</v>
          </cell>
          <cell r="N2294">
            <v>0</v>
          </cell>
          <cell r="O2294">
            <v>0</v>
          </cell>
        </row>
        <row r="2295">
          <cell r="A2295" t="str">
            <v>03</v>
          </cell>
          <cell r="B2295" t="str">
            <v>31</v>
          </cell>
          <cell r="C2295" t="str">
            <v>记-0046</v>
          </cell>
          <cell r="D2295" t="str">
            <v>170</v>
          </cell>
          <cell r="E2295" t="str">
            <v>家种甘草粉</v>
          </cell>
          <cell r="F2295" t="str">
            <v>转成本</v>
          </cell>
          <cell r="G2295">
            <v>7.1944999999999997</v>
          </cell>
          <cell r="H2295">
            <v>0</v>
          </cell>
          <cell r="I2295">
            <v>0</v>
          </cell>
          <cell r="J2295">
            <v>20</v>
          </cell>
          <cell r="K2295">
            <v>143.88999999999999</v>
          </cell>
          <cell r="L2295" t="str">
            <v>贷</v>
          </cell>
          <cell r="M2295">
            <v>20</v>
          </cell>
          <cell r="N2295">
            <v>0</v>
          </cell>
          <cell r="O2295">
            <v>143.88999999999999</v>
          </cell>
        </row>
        <row r="2296">
          <cell r="A2296" t="str">
            <v>03</v>
          </cell>
          <cell r="F2296" t="str">
            <v>本月合计</v>
          </cell>
          <cell r="G2296">
            <v>0</v>
          </cell>
          <cell r="H2296">
            <v>0</v>
          </cell>
          <cell r="I2296">
            <v>0</v>
          </cell>
          <cell r="J2296">
            <v>20</v>
          </cell>
          <cell r="K2296">
            <v>143.88999999999999</v>
          </cell>
          <cell r="L2296" t="str">
            <v>贷</v>
          </cell>
          <cell r="M2296">
            <v>20</v>
          </cell>
          <cell r="N2296">
            <v>7.1944999999999997</v>
          </cell>
          <cell r="O2296">
            <v>143.88999999999999</v>
          </cell>
        </row>
        <row r="2297">
          <cell r="A2297" t="str">
            <v>03</v>
          </cell>
          <cell r="F2297" t="str">
            <v>累    计</v>
          </cell>
          <cell r="G2297">
            <v>0</v>
          </cell>
          <cell r="H2297">
            <v>0</v>
          </cell>
          <cell r="I2297">
            <v>0</v>
          </cell>
          <cell r="J2297">
            <v>20</v>
          </cell>
          <cell r="K2297">
            <v>143.88999999999999</v>
          </cell>
          <cell r="L2297" t="str">
            <v>贷</v>
          </cell>
          <cell r="M2297">
            <v>20</v>
          </cell>
          <cell r="N2297">
            <v>7.1944999999999997</v>
          </cell>
          <cell r="O2297">
            <v>143.88999999999999</v>
          </cell>
        </row>
        <row r="2298">
          <cell r="A2298" t="str">
            <v>11</v>
          </cell>
          <cell r="B2298" t="str">
            <v>30</v>
          </cell>
          <cell r="C2298" t="str">
            <v>记-0081</v>
          </cell>
          <cell r="D2298" t="str">
            <v>170</v>
          </cell>
          <cell r="E2298" t="str">
            <v>家种甘草粉</v>
          </cell>
          <cell r="F2298" t="str">
            <v>合并名称</v>
          </cell>
          <cell r="G2298">
            <v>7.1944999999999997</v>
          </cell>
          <cell r="H2298">
            <v>20</v>
          </cell>
          <cell r="I2298">
            <v>143.88999999999999</v>
          </cell>
          <cell r="J2298">
            <v>0</v>
          </cell>
          <cell r="K2298">
            <v>0</v>
          </cell>
          <cell r="L2298" t="str">
            <v>平</v>
          </cell>
          <cell r="M2298">
            <v>0</v>
          </cell>
          <cell r="N2298">
            <v>0</v>
          </cell>
          <cell r="O2298">
            <v>0</v>
          </cell>
        </row>
        <row r="2299">
          <cell r="A2299" t="str">
            <v>11</v>
          </cell>
          <cell r="F2299" t="str">
            <v>本月合计</v>
          </cell>
          <cell r="G2299">
            <v>0</v>
          </cell>
          <cell r="H2299">
            <v>20</v>
          </cell>
          <cell r="I2299">
            <v>143.88999999999999</v>
          </cell>
          <cell r="J2299">
            <v>0</v>
          </cell>
          <cell r="K2299">
            <v>0</v>
          </cell>
          <cell r="L2299" t="str">
            <v>平</v>
          </cell>
          <cell r="M2299">
            <v>0</v>
          </cell>
          <cell r="N2299">
            <v>0</v>
          </cell>
          <cell r="O2299">
            <v>0</v>
          </cell>
        </row>
        <row r="2300">
          <cell r="A2300" t="str">
            <v>11</v>
          </cell>
          <cell r="E2300" t="str">
            <v>家种甘草粉</v>
          </cell>
          <cell r="F2300" t="str">
            <v>本年累计</v>
          </cell>
          <cell r="G2300">
            <v>0</v>
          </cell>
          <cell r="H2300">
            <v>20</v>
          </cell>
          <cell r="I2300">
            <v>143.88999999999999</v>
          </cell>
          <cell r="J2300">
            <v>20</v>
          </cell>
          <cell r="K2300">
            <v>143.88999999999999</v>
          </cell>
          <cell r="L2300" t="str">
            <v>平</v>
          </cell>
          <cell r="M2300">
            <v>0</v>
          </cell>
          <cell r="N2300">
            <v>0</v>
          </cell>
          <cell r="O2300">
            <v>0</v>
          </cell>
        </row>
        <row r="2301">
          <cell r="A2301" t="str">
            <v>03</v>
          </cell>
          <cell r="B2301" t="str">
            <v>31</v>
          </cell>
          <cell r="C2301" t="str">
            <v>记-0046</v>
          </cell>
          <cell r="D2301" t="str">
            <v>171</v>
          </cell>
          <cell r="E2301" t="str">
            <v>家种黄丙片</v>
          </cell>
          <cell r="F2301" t="str">
            <v>转成本</v>
          </cell>
          <cell r="G2301">
            <v>8.4070900000000002</v>
          </cell>
          <cell r="H2301">
            <v>0</v>
          </cell>
          <cell r="I2301">
            <v>0</v>
          </cell>
          <cell r="J2301">
            <v>594</v>
          </cell>
          <cell r="K2301">
            <v>4993.8100000000004</v>
          </cell>
          <cell r="L2301" t="str">
            <v>贷</v>
          </cell>
          <cell r="M2301">
            <v>594</v>
          </cell>
          <cell r="N2301">
            <v>0</v>
          </cell>
          <cell r="O2301">
            <v>4993.8100000000004</v>
          </cell>
        </row>
        <row r="2302">
          <cell r="A2302" t="str">
            <v>03</v>
          </cell>
          <cell r="F2302" t="str">
            <v>本月合计</v>
          </cell>
          <cell r="G2302">
            <v>0</v>
          </cell>
          <cell r="H2302">
            <v>0</v>
          </cell>
          <cell r="I2302">
            <v>0</v>
          </cell>
          <cell r="J2302">
            <v>594</v>
          </cell>
          <cell r="K2302">
            <v>4993.8100000000004</v>
          </cell>
          <cell r="L2302" t="str">
            <v>贷</v>
          </cell>
          <cell r="M2302">
            <v>594</v>
          </cell>
          <cell r="N2302">
            <v>8.4070900000000002</v>
          </cell>
          <cell r="O2302">
            <v>4993.8100000000004</v>
          </cell>
        </row>
        <row r="2303">
          <cell r="A2303" t="str">
            <v>03</v>
          </cell>
          <cell r="F2303" t="str">
            <v>累    计</v>
          </cell>
          <cell r="G2303">
            <v>0</v>
          </cell>
          <cell r="H2303">
            <v>0</v>
          </cell>
          <cell r="I2303">
            <v>0</v>
          </cell>
          <cell r="J2303">
            <v>594</v>
          </cell>
          <cell r="K2303">
            <v>4993.8100000000004</v>
          </cell>
          <cell r="L2303" t="str">
            <v>贷</v>
          </cell>
          <cell r="M2303">
            <v>594</v>
          </cell>
          <cell r="N2303">
            <v>8.4070900000000002</v>
          </cell>
          <cell r="O2303">
            <v>4993.8100000000004</v>
          </cell>
        </row>
        <row r="2304">
          <cell r="A2304" t="str">
            <v>11</v>
          </cell>
          <cell r="B2304" t="str">
            <v>30</v>
          </cell>
          <cell r="C2304" t="str">
            <v>记-0111</v>
          </cell>
          <cell r="D2304" t="str">
            <v>171</v>
          </cell>
          <cell r="E2304" t="str">
            <v>家种黄丙片</v>
          </cell>
          <cell r="F2304" t="str">
            <v>0321</v>
          </cell>
          <cell r="G2304">
            <v>0</v>
          </cell>
          <cell r="H2304">
            <v>0</v>
          </cell>
          <cell r="I2304">
            <v>4993.8100000000004</v>
          </cell>
          <cell r="J2304">
            <v>0</v>
          </cell>
          <cell r="K2304">
            <v>0</v>
          </cell>
          <cell r="L2304" t="str">
            <v>平</v>
          </cell>
          <cell r="M2304">
            <v>-594</v>
          </cell>
          <cell r="N2304">
            <v>0</v>
          </cell>
          <cell r="O2304">
            <v>0</v>
          </cell>
        </row>
        <row r="2305">
          <cell r="A2305" t="str">
            <v>11</v>
          </cell>
          <cell r="F2305" t="str">
            <v>本月合计</v>
          </cell>
          <cell r="G2305">
            <v>0</v>
          </cell>
          <cell r="H2305">
            <v>0</v>
          </cell>
          <cell r="I2305">
            <v>4993.8100000000004</v>
          </cell>
          <cell r="J2305">
            <v>0</v>
          </cell>
          <cell r="K2305">
            <v>0</v>
          </cell>
          <cell r="L2305" t="str">
            <v>平</v>
          </cell>
          <cell r="M2305">
            <v>-594</v>
          </cell>
          <cell r="N2305">
            <v>0</v>
          </cell>
          <cell r="O2305">
            <v>0</v>
          </cell>
        </row>
        <row r="2306">
          <cell r="A2306" t="str">
            <v>11</v>
          </cell>
          <cell r="E2306" t="str">
            <v>家种黄丙片</v>
          </cell>
          <cell r="F2306" t="str">
            <v>本年累计</v>
          </cell>
          <cell r="G2306">
            <v>0</v>
          </cell>
          <cell r="H2306">
            <v>0</v>
          </cell>
          <cell r="I2306">
            <v>4993.8100000000004</v>
          </cell>
          <cell r="J2306">
            <v>594</v>
          </cell>
          <cell r="K2306">
            <v>4993.8100000000004</v>
          </cell>
          <cell r="L2306" t="str">
            <v>平</v>
          </cell>
          <cell r="M2306">
            <v>-594</v>
          </cell>
          <cell r="N2306">
            <v>0</v>
          </cell>
          <cell r="O2306">
            <v>0</v>
          </cell>
        </row>
        <row r="2307">
          <cell r="A2307" t="str">
            <v>03</v>
          </cell>
          <cell r="B2307" t="str">
            <v>31</v>
          </cell>
          <cell r="C2307" t="str">
            <v>记-0046</v>
          </cell>
          <cell r="D2307" t="str">
            <v>172</v>
          </cell>
          <cell r="E2307" t="str">
            <v>商标甘草丁条</v>
          </cell>
          <cell r="F2307" t="str">
            <v>转成本</v>
          </cell>
          <cell r="G2307">
            <v>7.7469000000000001</v>
          </cell>
          <cell r="H2307">
            <v>0</v>
          </cell>
          <cell r="I2307">
            <v>0</v>
          </cell>
          <cell r="J2307">
            <v>8539.9</v>
          </cell>
          <cell r="K2307">
            <v>66157.75</v>
          </cell>
          <cell r="L2307" t="str">
            <v>贷</v>
          </cell>
          <cell r="M2307">
            <v>8539.9</v>
          </cell>
          <cell r="N2307">
            <v>0</v>
          </cell>
          <cell r="O2307">
            <v>66157.75</v>
          </cell>
        </row>
        <row r="2308">
          <cell r="A2308" t="str">
            <v>03</v>
          </cell>
          <cell r="F2308" t="str">
            <v>本月合计</v>
          </cell>
          <cell r="G2308">
            <v>0</v>
          </cell>
          <cell r="H2308">
            <v>0</v>
          </cell>
          <cell r="I2308">
            <v>0</v>
          </cell>
          <cell r="J2308">
            <v>8539.9</v>
          </cell>
          <cell r="K2308">
            <v>66157.75</v>
          </cell>
          <cell r="L2308" t="str">
            <v>贷</v>
          </cell>
          <cell r="M2308">
            <v>8539.9</v>
          </cell>
          <cell r="N2308">
            <v>7.7469000000000001</v>
          </cell>
          <cell r="O2308">
            <v>66157.75</v>
          </cell>
        </row>
        <row r="2309">
          <cell r="A2309" t="str">
            <v>03</v>
          </cell>
          <cell r="F2309" t="str">
            <v>累    计</v>
          </cell>
          <cell r="G2309">
            <v>0</v>
          </cell>
          <cell r="H2309">
            <v>0</v>
          </cell>
          <cell r="I2309">
            <v>0</v>
          </cell>
          <cell r="J2309">
            <v>8539.9</v>
          </cell>
          <cell r="K2309">
            <v>66157.75</v>
          </cell>
          <cell r="L2309" t="str">
            <v>贷</v>
          </cell>
          <cell r="M2309">
            <v>8539.9</v>
          </cell>
          <cell r="N2309">
            <v>7.7469000000000001</v>
          </cell>
          <cell r="O2309">
            <v>66157.75</v>
          </cell>
        </row>
        <row r="2310">
          <cell r="A2310" t="str">
            <v>04</v>
          </cell>
          <cell r="B2310" t="str">
            <v>30</v>
          </cell>
          <cell r="C2310" t="str">
            <v>记-0051</v>
          </cell>
          <cell r="D2310" t="str">
            <v>172</v>
          </cell>
          <cell r="E2310" t="str">
            <v>商标甘草丁条</v>
          </cell>
          <cell r="F2310" t="str">
            <v>转成本</v>
          </cell>
          <cell r="G2310">
            <v>7.8300200000000002</v>
          </cell>
          <cell r="H2310">
            <v>0</v>
          </cell>
          <cell r="I2310">
            <v>0</v>
          </cell>
          <cell r="J2310">
            <v>13047.2</v>
          </cell>
          <cell r="K2310">
            <v>102159.78</v>
          </cell>
          <cell r="L2310" t="str">
            <v>贷</v>
          </cell>
          <cell r="M2310">
            <v>21587.1</v>
          </cell>
          <cell r="N2310">
            <v>0</v>
          </cell>
          <cell r="O2310">
            <v>168317.53</v>
          </cell>
        </row>
        <row r="2311">
          <cell r="A2311" t="str">
            <v>04</v>
          </cell>
          <cell r="B2311" t="str">
            <v>30</v>
          </cell>
          <cell r="C2311" t="str">
            <v>记-0051</v>
          </cell>
          <cell r="D2311" t="str">
            <v>172</v>
          </cell>
          <cell r="E2311" t="str">
            <v>商标甘草丁条</v>
          </cell>
          <cell r="F2311" t="str">
            <v>转成本</v>
          </cell>
          <cell r="G2311">
            <v>7.83</v>
          </cell>
          <cell r="H2311">
            <v>0</v>
          </cell>
          <cell r="I2311">
            <v>0</v>
          </cell>
          <cell r="J2311">
            <v>15525</v>
          </cell>
          <cell r="K2311">
            <v>121560.75</v>
          </cell>
          <cell r="L2311" t="str">
            <v>贷</v>
          </cell>
          <cell r="M2311">
            <v>37112.1</v>
          </cell>
          <cell r="N2311">
            <v>0</v>
          </cell>
          <cell r="O2311">
            <v>289878.28000000003</v>
          </cell>
        </row>
        <row r="2312">
          <cell r="A2312" t="str">
            <v>04</v>
          </cell>
          <cell r="F2312" t="str">
            <v>本月合计</v>
          </cell>
          <cell r="G2312">
            <v>0</v>
          </cell>
          <cell r="H2312">
            <v>0</v>
          </cell>
          <cell r="I2312">
            <v>0</v>
          </cell>
          <cell r="J2312">
            <v>28572.2</v>
          </cell>
          <cell r="K2312">
            <v>223720.53</v>
          </cell>
          <cell r="L2312" t="str">
            <v>贷</v>
          </cell>
          <cell r="M2312">
            <v>37112.1</v>
          </cell>
          <cell r="N2312">
            <v>7.81088</v>
          </cell>
          <cell r="O2312">
            <v>289878.28000000003</v>
          </cell>
        </row>
        <row r="2313">
          <cell r="A2313" t="str">
            <v>04</v>
          </cell>
          <cell r="F2313" t="str">
            <v>累    计</v>
          </cell>
          <cell r="G2313">
            <v>0</v>
          </cell>
          <cell r="H2313">
            <v>0</v>
          </cell>
          <cell r="I2313">
            <v>0</v>
          </cell>
          <cell r="J2313">
            <v>37112.1</v>
          </cell>
          <cell r="K2313">
            <v>289878.28000000003</v>
          </cell>
          <cell r="L2313" t="str">
            <v>贷</v>
          </cell>
          <cell r="M2313">
            <v>37112.1</v>
          </cell>
          <cell r="N2313">
            <v>7.81088</v>
          </cell>
          <cell r="O2313">
            <v>289878.28000000003</v>
          </cell>
        </row>
        <row r="2314">
          <cell r="A2314" t="str">
            <v>11</v>
          </cell>
          <cell r="B2314" t="str">
            <v>30</v>
          </cell>
          <cell r="C2314" t="str">
            <v>记-0070</v>
          </cell>
          <cell r="D2314" t="str">
            <v>172</v>
          </cell>
          <cell r="E2314" t="str">
            <v>商标甘草丁条</v>
          </cell>
          <cell r="F2314" t="str">
            <v>调整4月51号凭</v>
          </cell>
          <cell r="G2314">
            <v>7.83</v>
          </cell>
          <cell r="H2314">
            <v>0</v>
          </cell>
          <cell r="I2314">
            <v>0</v>
          </cell>
          <cell r="J2314">
            <v>-15525</v>
          </cell>
          <cell r="K2314">
            <v>-121560.75</v>
          </cell>
          <cell r="L2314" t="str">
            <v>贷</v>
          </cell>
          <cell r="M2314">
            <v>21587.1</v>
          </cell>
          <cell r="N2314">
            <v>0</v>
          </cell>
          <cell r="O2314">
            <v>168317.53</v>
          </cell>
        </row>
        <row r="2315">
          <cell r="A2315" t="str">
            <v>11</v>
          </cell>
          <cell r="B2315" t="str">
            <v>30</v>
          </cell>
          <cell r="C2315" t="str">
            <v>记-0074</v>
          </cell>
          <cell r="D2315" t="str">
            <v>172</v>
          </cell>
          <cell r="E2315" t="str">
            <v>商标甘草丁条</v>
          </cell>
          <cell r="F2315" t="str">
            <v>合并名称</v>
          </cell>
          <cell r="G2315">
            <v>7.7971300000000001</v>
          </cell>
          <cell r="H2315">
            <v>0</v>
          </cell>
          <cell r="I2315">
            <v>0</v>
          </cell>
          <cell r="J2315">
            <v>-21587.1</v>
          </cell>
          <cell r="K2315">
            <v>-168317.53</v>
          </cell>
          <cell r="L2315" t="str">
            <v>平</v>
          </cell>
          <cell r="M2315">
            <v>0</v>
          </cell>
          <cell r="N2315">
            <v>0</v>
          </cell>
          <cell r="O2315">
            <v>0</v>
          </cell>
        </row>
        <row r="2316">
          <cell r="A2316" t="str">
            <v>11</v>
          </cell>
          <cell r="F2316" t="str">
            <v>本月合计</v>
          </cell>
          <cell r="G2316">
            <v>0</v>
          </cell>
          <cell r="H2316">
            <v>0</v>
          </cell>
          <cell r="I2316">
            <v>0</v>
          </cell>
          <cell r="J2316">
            <v>-37112.1</v>
          </cell>
          <cell r="K2316">
            <v>-289878.28000000003</v>
          </cell>
          <cell r="L2316" t="str">
            <v>平</v>
          </cell>
          <cell r="M2316">
            <v>0</v>
          </cell>
          <cell r="N2316">
            <v>0</v>
          </cell>
          <cell r="O2316">
            <v>0</v>
          </cell>
        </row>
        <row r="2317">
          <cell r="A2317" t="str">
            <v>11</v>
          </cell>
          <cell r="E2317" t="str">
            <v>商标甘草丁条</v>
          </cell>
          <cell r="F2317" t="str">
            <v>本年累计</v>
          </cell>
          <cell r="G2317">
            <v>0</v>
          </cell>
          <cell r="H2317">
            <v>0</v>
          </cell>
          <cell r="I2317">
            <v>0</v>
          </cell>
          <cell r="J2317">
            <v>0</v>
          </cell>
          <cell r="K2317">
            <v>0</v>
          </cell>
          <cell r="L2317" t="str">
            <v>平</v>
          </cell>
          <cell r="M2317">
            <v>0</v>
          </cell>
          <cell r="N2317">
            <v>0</v>
          </cell>
          <cell r="O2317">
            <v>0</v>
          </cell>
        </row>
        <row r="2318">
          <cell r="A2318" t="str">
            <v>03</v>
          </cell>
          <cell r="B2318" t="str">
            <v>31</v>
          </cell>
          <cell r="C2318" t="str">
            <v>记-0046</v>
          </cell>
          <cell r="D2318" t="str">
            <v>174</v>
          </cell>
          <cell r="E2318" t="str">
            <v>商标丙条</v>
          </cell>
          <cell r="F2318" t="str">
            <v>转成本</v>
          </cell>
          <cell r="G2318">
            <v>13.33211</v>
          </cell>
          <cell r="H2318">
            <v>0</v>
          </cell>
          <cell r="I2318">
            <v>0</v>
          </cell>
          <cell r="J2318">
            <v>97.8</v>
          </cell>
          <cell r="K2318">
            <v>1303.8800000000001</v>
          </cell>
          <cell r="L2318" t="str">
            <v>贷</v>
          </cell>
          <cell r="M2318">
            <v>97.8</v>
          </cell>
          <cell r="N2318">
            <v>0</v>
          </cell>
          <cell r="O2318">
            <v>1303.8800000000001</v>
          </cell>
        </row>
        <row r="2319">
          <cell r="A2319" t="str">
            <v>03</v>
          </cell>
          <cell r="F2319" t="str">
            <v>本月合计</v>
          </cell>
          <cell r="G2319">
            <v>0</v>
          </cell>
          <cell r="H2319">
            <v>0</v>
          </cell>
          <cell r="I2319">
            <v>0</v>
          </cell>
          <cell r="J2319">
            <v>97.8</v>
          </cell>
          <cell r="K2319">
            <v>1303.8800000000001</v>
          </cell>
          <cell r="L2319" t="str">
            <v>贷</v>
          </cell>
          <cell r="M2319">
            <v>97.8</v>
          </cell>
          <cell r="N2319">
            <v>13.33211</v>
          </cell>
          <cell r="O2319">
            <v>1303.8800000000001</v>
          </cell>
        </row>
        <row r="2320">
          <cell r="A2320" t="str">
            <v>03</v>
          </cell>
          <cell r="F2320" t="str">
            <v>累    计</v>
          </cell>
          <cell r="G2320">
            <v>0</v>
          </cell>
          <cell r="H2320">
            <v>0</v>
          </cell>
          <cell r="I2320">
            <v>0</v>
          </cell>
          <cell r="J2320">
            <v>97.8</v>
          </cell>
          <cell r="K2320">
            <v>1303.8800000000001</v>
          </cell>
          <cell r="L2320" t="str">
            <v>贷</v>
          </cell>
          <cell r="M2320">
            <v>97.8</v>
          </cell>
          <cell r="N2320">
            <v>13.33211</v>
          </cell>
          <cell r="O2320">
            <v>1303.8800000000001</v>
          </cell>
        </row>
        <row r="2321">
          <cell r="A2321" t="str">
            <v>04</v>
          </cell>
          <cell r="B2321" t="str">
            <v>30</v>
          </cell>
          <cell r="C2321" t="str">
            <v>记-0049</v>
          </cell>
          <cell r="D2321" t="str">
            <v>174</v>
          </cell>
          <cell r="E2321" t="str">
            <v>商标丙条</v>
          </cell>
          <cell r="F2321" t="str">
            <v>转成本</v>
          </cell>
          <cell r="G2321">
            <v>12.91</v>
          </cell>
          <cell r="H2321">
            <v>0</v>
          </cell>
          <cell r="I2321">
            <v>0</v>
          </cell>
          <cell r="J2321">
            <v>1997.2</v>
          </cell>
          <cell r="K2321">
            <v>25783.85</v>
          </cell>
          <cell r="L2321" t="str">
            <v>贷</v>
          </cell>
          <cell r="M2321">
            <v>2095</v>
          </cell>
          <cell r="N2321">
            <v>0</v>
          </cell>
          <cell r="O2321">
            <v>27087.73</v>
          </cell>
        </row>
        <row r="2322">
          <cell r="A2322" t="str">
            <v>04</v>
          </cell>
          <cell r="B2322" t="str">
            <v>30</v>
          </cell>
          <cell r="C2322" t="str">
            <v>记-0051</v>
          </cell>
          <cell r="D2322" t="str">
            <v>174</v>
          </cell>
          <cell r="E2322" t="str">
            <v>商标丙条</v>
          </cell>
          <cell r="F2322" t="str">
            <v>转成本</v>
          </cell>
          <cell r="G2322">
            <v>12.91</v>
          </cell>
          <cell r="H2322">
            <v>0</v>
          </cell>
          <cell r="I2322">
            <v>0</v>
          </cell>
          <cell r="J2322">
            <v>6739.5</v>
          </cell>
          <cell r="K2322">
            <v>87006.95</v>
          </cell>
          <cell r="L2322" t="str">
            <v>贷</v>
          </cell>
          <cell r="M2322">
            <v>8834.5</v>
          </cell>
          <cell r="N2322">
            <v>0</v>
          </cell>
          <cell r="O2322">
            <v>114094.68</v>
          </cell>
        </row>
        <row r="2323">
          <cell r="A2323" t="str">
            <v>04</v>
          </cell>
          <cell r="B2323" t="str">
            <v>30</v>
          </cell>
          <cell r="C2323" t="str">
            <v>记-0051</v>
          </cell>
          <cell r="D2323" t="str">
            <v>174</v>
          </cell>
          <cell r="E2323" t="str">
            <v>商标丙条</v>
          </cell>
          <cell r="F2323" t="str">
            <v>转成本</v>
          </cell>
          <cell r="G2323">
            <v>12.910030000000001</v>
          </cell>
          <cell r="H2323">
            <v>0</v>
          </cell>
          <cell r="I2323">
            <v>0</v>
          </cell>
          <cell r="J2323">
            <v>123.6</v>
          </cell>
          <cell r="K2323">
            <v>1595.68</v>
          </cell>
          <cell r="L2323" t="str">
            <v>贷</v>
          </cell>
          <cell r="M2323">
            <v>8958.1</v>
          </cell>
          <cell r="N2323">
            <v>0</v>
          </cell>
          <cell r="O2323">
            <v>115690.36</v>
          </cell>
        </row>
        <row r="2324">
          <cell r="A2324" t="str">
            <v>04</v>
          </cell>
          <cell r="F2324" t="str">
            <v>本月合计</v>
          </cell>
          <cell r="G2324">
            <v>0</v>
          </cell>
          <cell r="H2324">
            <v>0</v>
          </cell>
          <cell r="I2324">
            <v>0</v>
          </cell>
          <cell r="J2324">
            <v>8860.2999999999993</v>
          </cell>
          <cell r="K2324">
            <v>114386.48</v>
          </cell>
          <cell r="L2324" t="str">
            <v>贷</v>
          </cell>
          <cell r="M2324">
            <v>8958.1</v>
          </cell>
          <cell r="N2324">
            <v>12.91461</v>
          </cell>
          <cell r="O2324">
            <v>115690.36</v>
          </cell>
        </row>
        <row r="2325">
          <cell r="A2325" t="str">
            <v>04</v>
          </cell>
          <cell r="F2325" t="str">
            <v>累    计</v>
          </cell>
          <cell r="G2325">
            <v>0</v>
          </cell>
          <cell r="H2325">
            <v>0</v>
          </cell>
          <cell r="I2325">
            <v>0</v>
          </cell>
          <cell r="J2325">
            <v>8958.1</v>
          </cell>
          <cell r="K2325">
            <v>115690.36</v>
          </cell>
          <cell r="L2325" t="str">
            <v>贷</v>
          </cell>
          <cell r="M2325">
            <v>8958.1</v>
          </cell>
          <cell r="N2325">
            <v>12.91461</v>
          </cell>
          <cell r="O2325">
            <v>115690.36</v>
          </cell>
        </row>
        <row r="2326">
          <cell r="A2326" t="str">
            <v>11</v>
          </cell>
          <cell r="B2326" t="str">
            <v>30</v>
          </cell>
          <cell r="C2326" t="str">
            <v>记-0063</v>
          </cell>
          <cell r="D2326" t="str">
            <v>174</v>
          </cell>
          <cell r="E2326" t="str">
            <v>商标丙条</v>
          </cell>
          <cell r="F2326" t="str">
            <v>合并名称</v>
          </cell>
          <cell r="G2326">
            <v>12.91461</v>
          </cell>
          <cell r="H2326">
            <v>0</v>
          </cell>
          <cell r="I2326">
            <v>0</v>
          </cell>
          <cell r="J2326">
            <v>8958.1</v>
          </cell>
          <cell r="K2326">
            <v>-115690.36</v>
          </cell>
          <cell r="L2326" t="str">
            <v>平</v>
          </cell>
          <cell r="M2326">
            <v>-17916.2</v>
          </cell>
          <cell r="N2326">
            <v>0</v>
          </cell>
          <cell r="O2326">
            <v>0</v>
          </cell>
        </row>
        <row r="2327">
          <cell r="A2327" t="str">
            <v>11</v>
          </cell>
          <cell r="F2327" t="str">
            <v>本月合计</v>
          </cell>
          <cell r="G2327">
            <v>0</v>
          </cell>
          <cell r="H2327">
            <v>0</v>
          </cell>
          <cell r="I2327">
            <v>0</v>
          </cell>
          <cell r="J2327">
            <v>8958.1</v>
          </cell>
          <cell r="K2327">
            <v>-115690.36</v>
          </cell>
          <cell r="L2327" t="str">
            <v>平</v>
          </cell>
          <cell r="M2327">
            <v>-17916.2</v>
          </cell>
          <cell r="N2327">
            <v>0</v>
          </cell>
          <cell r="O2327">
            <v>0</v>
          </cell>
        </row>
        <row r="2328">
          <cell r="A2328" t="str">
            <v>11</v>
          </cell>
          <cell r="E2328" t="str">
            <v>商标丙条</v>
          </cell>
          <cell r="F2328" t="str">
            <v>本年累计</v>
          </cell>
          <cell r="G2328">
            <v>0</v>
          </cell>
          <cell r="H2328">
            <v>0</v>
          </cell>
          <cell r="I2328">
            <v>0</v>
          </cell>
          <cell r="J2328">
            <v>17916.2</v>
          </cell>
          <cell r="K2328">
            <v>0</v>
          </cell>
          <cell r="L2328" t="str">
            <v>平</v>
          </cell>
          <cell r="M2328">
            <v>-17916.2</v>
          </cell>
          <cell r="N2328">
            <v>0</v>
          </cell>
          <cell r="O2328">
            <v>0</v>
          </cell>
        </row>
        <row r="2329">
          <cell r="A2329" t="str">
            <v>05</v>
          </cell>
          <cell r="B2329" t="str">
            <v>31</v>
          </cell>
          <cell r="C2329" t="str">
            <v>记-0023</v>
          </cell>
          <cell r="D2329" t="str">
            <v>175</v>
          </cell>
          <cell r="E2329" t="str">
            <v>野生乙草</v>
          </cell>
          <cell r="F2329" t="str">
            <v>收购产品</v>
          </cell>
          <cell r="G2329">
            <v>16.53</v>
          </cell>
          <cell r="H2329">
            <v>7194.2</v>
          </cell>
          <cell r="I2329">
            <v>118920.13</v>
          </cell>
          <cell r="J2329">
            <v>0</v>
          </cell>
          <cell r="K2329">
            <v>0</v>
          </cell>
          <cell r="L2329" t="str">
            <v>借</v>
          </cell>
          <cell r="M2329">
            <v>7194.2</v>
          </cell>
          <cell r="N2329">
            <v>0</v>
          </cell>
          <cell r="O2329">
            <v>118920.13</v>
          </cell>
        </row>
        <row r="2330">
          <cell r="A2330" t="str">
            <v>05</v>
          </cell>
          <cell r="B2330" t="str">
            <v>31</v>
          </cell>
          <cell r="C2330" t="str">
            <v>记-0030</v>
          </cell>
          <cell r="D2330" t="str">
            <v>175</v>
          </cell>
          <cell r="E2330" t="str">
            <v>野生乙草</v>
          </cell>
          <cell r="F2330" t="str">
            <v>收购产品</v>
          </cell>
          <cell r="G2330">
            <v>19.174800000000001</v>
          </cell>
          <cell r="H2330">
            <v>7623</v>
          </cell>
          <cell r="I2330">
            <v>146169.5</v>
          </cell>
          <cell r="J2330">
            <v>0</v>
          </cell>
          <cell r="K2330">
            <v>0</v>
          </cell>
          <cell r="L2330" t="str">
            <v>借</v>
          </cell>
          <cell r="M2330">
            <v>14817.2</v>
          </cell>
          <cell r="N2330">
            <v>0</v>
          </cell>
          <cell r="O2330">
            <v>265089.63</v>
          </cell>
        </row>
        <row r="2331">
          <cell r="A2331" t="str">
            <v>05</v>
          </cell>
          <cell r="B2331" t="str">
            <v>31</v>
          </cell>
          <cell r="C2331" t="str">
            <v>记-0036</v>
          </cell>
          <cell r="D2331" t="str">
            <v>175</v>
          </cell>
          <cell r="E2331" t="str">
            <v>野生乙草</v>
          </cell>
          <cell r="F2331" t="str">
            <v>收购产品</v>
          </cell>
          <cell r="G2331">
            <v>20.35398</v>
          </cell>
          <cell r="H2331">
            <v>3437.4</v>
          </cell>
          <cell r="I2331">
            <v>69964.78</v>
          </cell>
          <cell r="J2331">
            <v>0</v>
          </cell>
          <cell r="K2331">
            <v>0</v>
          </cell>
          <cell r="L2331" t="str">
            <v>借</v>
          </cell>
          <cell r="M2331">
            <v>18254.599999999999</v>
          </cell>
          <cell r="N2331">
            <v>0</v>
          </cell>
          <cell r="O2331">
            <v>335054.40999999997</v>
          </cell>
        </row>
        <row r="2332">
          <cell r="A2332" t="str">
            <v>05</v>
          </cell>
          <cell r="B2332" t="str">
            <v>31</v>
          </cell>
          <cell r="C2332" t="str">
            <v>记-0045</v>
          </cell>
          <cell r="D2332" t="str">
            <v>175</v>
          </cell>
          <cell r="E2332" t="str">
            <v>野生乙草</v>
          </cell>
          <cell r="F2332" t="str">
            <v>收购产品</v>
          </cell>
          <cell r="G2332">
            <v>14.998799999999999</v>
          </cell>
          <cell r="H2332">
            <v>4487.5</v>
          </cell>
          <cell r="I2332">
            <v>67307.12</v>
          </cell>
          <cell r="J2332">
            <v>0</v>
          </cell>
          <cell r="K2332">
            <v>0</v>
          </cell>
          <cell r="L2332" t="str">
            <v>借</v>
          </cell>
          <cell r="M2332">
            <v>22742.1</v>
          </cell>
          <cell r="N2332">
            <v>0</v>
          </cell>
          <cell r="O2332">
            <v>402361.53</v>
          </cell>
        </row>
        <row r="2333">
          <cell r="A2333" t="str">
            <v>05</v>
          </cell>
          <cell r="B2333" t="str">
            <v>31</v>
          </cell>
          <cell r="C2333" t="str">
            <v>记-0045</v>
          </cell>
          <cell r="D2333" t="str">
            <v>175</v>
          </cell>
          <cell r="E2333" t="str">
            <v>野生乙草</v>
          </cell>
          <cell r="F2333" t="str">
            <v>收购产品</v>
          </cell>
          <cell r="G2333">
            <v>14.998799999999999</v>
          </cell>
          <cell r="H2333">
            <v>4000</v>
          </cell>
          <cell r="I2333">
            <v>59995.199999999997</v>
          </cell>
          <cell r="J2333">
            <v>0</v>
          </cell>
          <cell r="K2333">
            <v>0</v>
          </cell>
          <cell r="L2333" t="str">
            <v>借</v>
          </cell>
          <cell r="M2333">
            <v>26742.1</v>
          </cell>
          <cell r="N2333">
            <v>0</v>
          </cell>
          <cell r="O2333">
            <v>462356.73</v>
          </cell>
        </row>
        <row r="2334">
          <cell r="A2334" t="str">
            <v>05</v>
          </cell>
          <cell r="F2334" t="str">
            <v>本月合计</v>
          </cell>
          <cell r="G2334">
            <v>0</v>
          </cell>
          <cell r="H2334">
            <v>26742.1</v>
          </cell>
          <cell r="I2334">
            <v>462356.73</v>
          </cell>
          <cell r="J2334">
            <v>0</v>
          </cell>
          <cell r="K2334">
            <v>0</v>
          </cell>
          <cell r="L2334" t="str">
            <v>借</v>
          </cell>
          <cell r="M2334">
            <v>26742.1</v>
          </cell>
          <cell r="N2334">
            <v>17.289470000000001</v>
          </cell>
          <cell r="O2334">
            <v>462356.73</v>
          </cell>
        </row>
        <row r="2335">
          <cell r="A2335" t="str">
            <v>05</v>
          </cell>
          <cell r="F2335" t="str">
            <v>累    计</v>
          </cell>
          <cell r="G2335">
            <v>0</v>
          </cell>
          <cell r="H2335">
            <v>26742.1</v>
          </cell>
          <cell r="I2335">
            <v>462356.73</v>
          </cell>
          <cell r="J2335">
            <v>0</v>
          </cell>
          <cell r="K2335">
            <v>0</v>
          </cell>
          <cell r="L2335" t="str">
            <v>借</v>
          </cell>
          <cell r="M2335">
            <v>26742.1</v>
          </cell>
          <cell r="N2335">
            <v>17.289470000000001</v>
          </cell>
          <cell r="O2335">
            <v>462356.73</v>
          </cell>
        </row>
        <row r="2336">
          <cell r="A2336" t="str">
            <v>06</v>
          </cell>
          <cell r="B2336" t="str">
            <v>24</v>
          </cell>
          <cell r="C2336" t="str">
            <v>记-0020</v>
          </cell>
          <cell r="D2336" t="str">
            <v>175</v>
          </cell>
          <cell r="E2336" t="str">
            <v>野生乙草</v>
          </cell>
          <cell r="F2336" t="str">
            <v>收购产品</v>
          </cell>
          <cell r="G2336">
            <v>13.05</v>
          </cell>
          <cell r="H2336">
            <v>1343.5</v>
          </cell>
          <cell r="I2336">
            <v>17532.669999999998</v>
          </cell>
          <cell r="J2336">
            <v>0</v>
          </cell>
          <cell r="K2336">
            <v>0</v>
          </cell>
          <cell r="L2336" t="str">
            <v>借</v>
          </cell>
          <cell r="M2336">
            <v>28085.599999999999</v>
          </cell>
          <cell r="N2336">
            <v>0</v>
          </cell>
          <cell r="O2336">
            <v>479889.4</v>
          </cell>
        </row>
        <row r="2337">
          <cell r="A2337" t="str">
            <v>06</v>
          </cell>
          <cell r="B2337" t="str">
            <v>24</v>
          </cell>
          <cell r="C2337" t="str">
            <v>记-0074</v>
          </cell>
          <cell r="D2337" t="str">
            <v>175</v>
          </cell>
          <cell r="E2337" t="str">
            <v>野生乙草</v>
          </cell>
          <cell r="F2337" t="str">
            <v>转成本</v>
          </cell>
          <cell r="G2337">
            <v>8.6999999999999993</v>
          </cell>
          <cell r="H2337">
            <v>0</v>
          </cell>
          <cell r="I2337">
            <v>0</v>
          </cell>
          <cell r="J2337">
            <v>70000</v>
          </cell>
          <cell r="K2337">
            <v>609000</v>
          </cell>
          <cell r="L2337" t="str">
            <v>贷</v>
          </cell>
          <cell r="M2337">
            <v>41914.400000000001</v>
          </cell>
          <cell r="N2337">
            <v>0</v>
          </cell>
          <cell r="O2337">
            <v>129110.6</v>
          </cell>
        </row>
        <row r="2338">
          <cell r="A2338" t="str">
            <v>06</v>
          </cell>
          <cell r="B2338" t="str">
            <v>24</v>
          </cell>
          <cell r="C2338" t="str">
            <v>记-0075</v>
          </cell>
          <cell r="D2338" t="str">
            <v>175</v>
          </cell>
          <cell r="E2338" t="str">
            <v>野生乙草</v>
          </cell>
          <cell r="F2338" t="str">
            <v>转成本</v>
          </cell>
          <cell r="G2338">
            <v>8.6999999999999993</v>
          </cell>
          <cell r="H2338">
            <v>0</v>
          </cell>
          <cell r="I2338">
            <v>0</v>
          </cell>
          <cell r="J2338">
            <v>80000</v>
          </cell>
          <cell r="K2338">
            <v>696000</v>
          </cell>
          <cell r="L2338" t="str">
            <v>贷</v>
          </cell>
          <cell r="M2338">
            <v>121914.4</v>
          </cell>
          <cell r="N2338">
            <v>0</v>
          </cell>
          <cell r="O2338">
            <v>825110.6</v>
          </cell>
        </row>
        <row r="2339">
          <cell r="A2339" t="str">
            <v>06</v>
          </cell>
          <cell r="B2339" t="str">
            <v>24</v>
          </cell>
          <cell r="C2339" t="str">
            <v>记-0076</v>
          </cell>
          <cell r="D2339" t="str">
            <v>175</v>
          </cell>
          <cell r="E2339" t="str">
            <v>野生乙草</v>
          </cell>
          <cell r="F2339" t="str">
            <v>收购产品</v>
          </cell>
          <cell r="G2339">
            <v>8.6999999999999993</v>
          </cell>
          <cell r="H2339">
            <v>80000</v>
          </cell>
          <cell r="I2339">
            <v>696000</v>
          </cell>
          <cell r="J2339">
            <v>0</v>
          </cell>
          <cell r="K2339">
            <v>0</v>
          </cell>
          <cell r="L2339" t="str">
            <v>贷</v>
          </cell>
          <cell r="M2339">
            <v>41914.400000000001</v>
          </cell>
          <cell r="N2339">
            <v>0</v>
          </cell>
          <cell r="O2339">
            <v>129110.6</v>
          </cell>
        </row>
        <row r="2340">
          <cell r="A2340" t="str">
            <v>06</v>
          </cell>
          <cell r="B2340" t="str">
            <v>24</v>
          </cell>
          <cell r="C2340" t="str">
            <v>记-0077</v>
          </cell>
          <cell r="D2340" t="str">
            <v>175</v>
          </cell>
          <cell r="E2340" t="str">
            <v>野生乙草</v>
          </cell>
          <cell r="F2340" t="str">
            <v>收购产品</v>
          </cell>
          <cell r="G2340">
            <v>8.6999999999999993</v>
          </cell>
          <cell r="H2340">
            <v>70000</v>
          </cell>
          <cell r="I2340">
            <v>609000</v>
          </cell>
          <cell r="J2340">
            <v>0</v>
          </cell>
          <cell r="K2340">
            <v>0</v>
          </cell>
          <cell r="L2340" t="str">
            <v>借</v>
          </cell>
          <cell r="M2340">
            <v>28085.599999999999</v>
          </cell>
          <cell r="N2340">
            <v>0</v>
          </cell>
          <cell r="O2340">
            <v>479889.4</v>
          </cell>
        </row>
        <row r="2341">
          <cell r="A2341" t="str">
            <v>06</v>
          </cell>
          <cell r="F2341" t="str">
            <v>本月合计</v>
          </cell>
          <cell r="G2341">
            <v>0</v>
          </cell>
          <cell r="H2341">
            <v>151343.5</v>
          </cell>
          <cell r="I2341">
            <v>1322532.67</v>
          </cell>
          <cell r="J2341">
            <v>150000</v>
          </cell>
          <cell r="K2341">
            <v>1305000</v>
          </cell>
          <cell r="L2341" t="str">
            <v>借</v>
          </cell>
          <cell r="M2341">
            <v>28085.599999999999</v>
          </cell>
          <cell r="N2341">
            <v>17.086670000000002</v>
          </cell>
          <cell r="O2341">
            <v>479889.4</v>
          </cell>
        </row>
        <row r="2342">
          <cell r="A2342" t="str">
            <v>06</v>
          </cell>
          <cell r="F2342" t="str">
            <v>累    计</v>
          </cell>
          <cell r="G2342">
            <v>0</v>
          </cell>
          <cell r="H2342">
            <v>178085.6</v>
          </cell>
          <cell r="I2342">
            <v>1784889.4</v>
          </cell>
          <cell r="J2342">
            <v>150000</v>
          </cell>
          <cell r="K2342">
            <v>1305000</v>
          </cell>
          <cell r="L2342" t="str">
            <v>借</v>
          </cell>
          <cell r="M2342">
            <v>28085.599999999999</v>
          </cell>
          <cell r="N2342">
            <v>17.086670000000002</v>
          </cell>
          <cell r="O2342">
            <v>479889.4</v>
          </cell>
        </row>
        <row r="2343">
          <cell r="A2343" t="str">
            <v>09</v>
          </cell>
          <cell r="B2343" t="str">
            <v>22</v>
          </cell>
          <cell r="C2343" t="str">
            <v>记-0012</v>
          </cell>
          <cell r="D2343" t="str">
            <v>175</v>
          </cell>
          <cell r="E2343" t="str">
            <v>野生乙草</v>
          </cell>
          <cell r="F2343" t="str">
            <v>付收购款</v>
          </cell>
          <cell r="G2343">
            <v>14.790010000000001</v>
          </cell>
          <cell r="H2343">
            <v>821.5</v>
          </cell>
          <cell r="I2343">
            <v>12149.99</v>
          </cell>
          <cell r="J2343">
            <v>0</v>
          </cell>
          <cell r="K2343">
            <v>0</v>
          </cell>
          <cell r="L2343" t="str">
            <v>借</v>
          </cell>
          <cell r="M2343">
            <v>28907.1</v>
          </cell>
          <cell r="N2343">
            <v>0</v>
          </cell>
          <cell r="O2343">
            <v>492039.39</v>
          </cell>
        </row>
        <row r="2344">
          <cell r="A2344" t="str">
            <v>09</v>
          </cell>
          <cell r="F2344" t="str">
            <v>本月合计</v>
          </cell>
          <cell r="G2344">
            <v>0</v>
          </cell>
          <cell r="H2344">
            <v>821.5</v>
          </cell>
          <cell r="I2344">
            <v>12149.99</v>
          </cell>
          <cell r="J2344">
            <v>0</v>
          </cell>
          <cell r="K2344">
            <v>0</v>
          </cell>
          <cell r="L2344" t="str">
            <v>借</v>
          </cell>
          <cell r="M2344">
            <v>28907.1</v>
          </cell>
          <cell r="N2344">
            <v>17.0214</v>
          </cell>
          <cell r="O2344">
            <v>492039.39</v>
          </cell>
        </row>
        <row r="2345">
          <cell r="A2345" t="str">
            <v>09</v>
          </cell>
          <cell r="F2345" t="str">
            <v>累    计</v>
          </cell>
          <cell r="G2345">
            <v>0</v>
          </cell>
          <cell r="H2345">
            <v>178907.1</v>
          </cell>
          <cell r="I2345">
            <v>1797039.39</v>
          </cell>
          <cell r="J2345">
            <v>150000</v>
          </cell>
          <cell r="K2345">
            <v>1305000</v>
          </cell>
          <cell r="L2345" t="str">
            <v>借</v>
          </cell>
          <cell r="M2345">
            <v>28907.1</v>
          </cell>
          <cell r="N2345">
            <v>17.0214</v>
          </cell>
          <cell r="O2345">
            <v>492039.39</v>
          </cell>
        </row>
        <row r="2346">
          <cell r="A2346" t="str">
            <v>11</v>
          </cell>
          <cell r="B2346" t="str">
            <v>30</v>
          </cell>
          <cell r="C2346" t="str">
            <v>记-0049</v>
          </cell>
          <cell r="D2346" t="str">
            <v>175</v>
          </cell>
          <cell r="E2346" t="str">
            <v>野生乙草</v>
          </cell>
          <cell r="F2346" t="str">
            <v>调整5月36号凭</v>
          </cell>
          <cell r="G2346">
            <v>20.35398</v>
          </cell>
          <cell r="H2346">
            <v>-3437.4</v>
          </cell>
          <cell r="I2346">
            <v>-69964.78</v>
          </cell>
          <cell r="J2346">
            <v>0</v>
          </cell>
          <cell r="K2346">
            <v>0</v>
          </cell>
          <cell r="L2346" t="str">
            <v>借</v>
          </cell>
          <cell r="M2346">
            <v>25469.7</v>
          </cell>
          <cell r="N2346">
            <v>0</v>
          </cell>
          <cell r="O2346">
            <v>422074.61</v>
          </cell>
        </row>
        <row r="2347">
          <cell r="A2347" t="str">
            <v>11</v>
          </cell>
          <cell r="B2347" t="str">
            <v>30</v>
          </cell>
          <cell r="C2347" t="str">
            <v>记-0050</v>
          </cell>
          <cell r="D2347" t="str">
            <v>175</v>
          </cell>
          <cell r="E2347" t="str">
            <v>野生乙草</v>
          </cell>
          <cell r="F2347" t="str">
            <v>调整5月45号凭</v>
          </cell>
          <cell r="G2347">
            <v>14.998799999999999</v>
          </cell>
          <cell r="H2347">
            <v>-8487.5</v>
          </cell>
          <cell r="I2347">
            <v>-127302.32</v>
          </cell>
          <cell r="J2347">
            <v>0</v>
          </cell>
          <cell r="K2347">
            <v>0</v>
          </cell>
          <cell r="L2347" t="str">
            <v>借</v>
          </cell>
          <cell r="M2347">
            <v>16982.2</v>
          </cell>
          <cell r="N2347">
            <v>0</v>
          </cell>
          <cell r="O2347">
            <v>294772.28999999998</v>
          </cell>
        </row>
        <row r="2348">
          <cell r="A2348" t="str">
            <v>11</v>
          </cell>
          <cell r="B2348" t="str">
            <v>30</v>
          </cell>
          <cell r="C2348" t="str">
            <v>记-0051</v>
          </cell>
          <cell r="D2348" t="str">
            <v>175</v>
          </cell>
          <cell r="E2348" t="str">
            <v>野生乙草</v>
          </cell>
          <cell r="F2348" t="str">
            <v>调整3月49号凭</v>
          </cell>
          <cell r="G2348">
            <v>15.04</v>
          </cell>
          <cell r="H2348">
            <v>1319</v>
          </cell>
          <cell r="I2348">
            <v>19837.759999999998</v>
          </cell>
          <cell r="J2348">
            <v>0</v>
          </cell>
          <cell r="K2348">
            <v>0</v>
          </cell>
          <cell r="L2348" t="str">
            <v>借</v>
          </cell>
          <cell r="M2348">
            <v>18301.2</v>
          </cell>
          <cell r="N2348">
            <v>0</v>
          </cell>
          <cell r="O2348">
            <v>314610.05</v>
          </cell>
        </row>
        <row r="2349">
          <cell r="A2349" t="str">
            <v>11</v>
          </cell>
          <cell r="F2349" t="str">
            <v>本月合计</v>
          </cell>
          <cell r="G2349">
            <v>0</v>
          </cell>
          <cell r="H2349">
            <v>-10605.9</v>
          </cell>
          <cell r="I2349">
            <v>-177429.34</v>
          </cell>
          <cell r="J2349">
            <v>0</v>
          </cell>
          <cell r="K2349">
            <v>0</v>
          </cell>
          <cell r="L2349" t="str">
            <v>借</v>
          </cell>
          <cell r="M2349">
            <v>18301.2</v>
          </cell>
          <cell r="N2349">
            <v>17.19068</v>
          </cell>
          <cell r="O2349">
            <v>314610.05</v>
          </cell>
        </row>
        <row r="2350">
          <cell r="A2350" t="str">
            <v>11</v>
          </cell>
          <cell r="F2350" t="str">
            <v>累    计</v>
          </cell>
          <cell r="G2350">
            <v>0</v>
          </cell>
          <cell r="H2350">
            <v>168301.2</v>
          </cell>
          <cell r="I2350">
            <v>1619610.05</v>
          </cell>
          <cell r="J2350">
            <v>150000</v>
          </cell>
          <cell r="K2350">
            <v>1305000</v>
          </cell>
          <cell r="L2350" t="str">
            <v>借</v>
          </cell>
          <cell r="M2350">
            <v>18301.2</v>
          </cell>
          <cell r="N2350">
            <v>17.19068</v>
          </cell>
          <cell r="O2350">
            <v>314610.05</v>
          </cell>
        </row>
        <row r="2351">
          <cell r="A2351" t="str">
            <v>12</v>
          </cell>
          <cell r="B2351" t="str">
            <v>11</v>
          </cell>
          <cell r="C2351" t="str">
            <v>记-0126</v>
          </cell>
          <cell r="D2351" t="str">
            <v>175</v>
          </cell>
          <cell r="E2351" t="str">
            <v>野生乙草</v>
          </cell>
          <cell r="F2351" t="str">
            <v>结转成本</v>
          </cell>
          <cell r="G2351">
            <v>17.190000000000001</v>
          </cell>
          <cell r="H2351">
            <v>0</v>
          </cell>
          <cell r="I2351">
            <v>0</v>
          </cell>
          <cell r="J2351">
            <v>1660.9</v>
          </cell>
          <cell r="K2351">
            <v>28550.87</v>
          </cell>
          <cell r="L2351" t="str">
            <v>借</v>
          </cell>
          <cell r="M2351">
            <v>16640.3</v>
          </cell>
          <cell r="N2351">
            <v>0</v>
          </cell>
          <cell r="O2351">
            <v>286059.18</v>
          </cell>
        </row>
        <row r="2352">
          <cell r="A2352" t="str">
            <v>12</v>
          </cell>
          <cell r="F2352" t="str">
            <v>本月合计</v>
          </cell>
          <cell r="G2352">
            <v>0</v>
          </cell>
          <cell r="H2352">
            <v>0</v>
          </cell>
          <cell r="I2352">
            <v>0</v>
          </cell>
          <cell r="J2352">
            <v>1660.9</v>
          </cell>
          <cell r="K2352">
            <v>28550.87</v>
          </cell>
          <cell r="L2352" t="str">
            <v>借</v>
          </cell>
          <cell r="M2352">
            <v>16640.3</v>
          </cell>
          <cell r="N2352">
            <v>17.190750000000001</v>
          </cell>
          <cell r="O2352">
            <v>286059.18</v>
          </cell>
        </row>
        <row r="2353">
          <cell r="A2353" t="str">
            <v>12</v>
          </cell>
          <cell r="E2353" t="str">
            <v>野生乙草</v>
          </cell>
          <cell r="F2353" t="str">
            <v>本年累计</v>
          </cell>
          <cell r="G2353">
            <v>0</v>
          </cell>
          <cell r="H2353">
            <v>168301.2</v>
          </cell>
          <cell r="I2353">
            <v>1619610.05</v>
          </cell>
          <cell r="J2353">
            <v>151660.9</v>
          </cell>
          <cell r="K2353">
            <v>1333550.8700000001</v>
          </cell>
          <cell r="L2353" t="str">
            <v>借</v>
          </cell>
          <cell r="M2353">
            <v>16640.3</v>
          </cell>
          <cell r="N2353">
            <v>17.190750000000001</v>
          </cell>
          <cell r="O2353">
            <v>286059.18</v>
          </cell>
        </row>
        <row r="2354">
          <cell r="A2354" t="str">
            <v>03</v>
          </cell>
          <cell r="B2354" t="str">
            <v>31</v>
          </cell>
          <cell r="C2354" t="str">
            <v>记-0055</v>
          </cell>
          <cell r="D2354" t="str">
            <v>176</v>
          </cell>
          <cell r="E2354" t="str">
            <v>野生丁草</v>
          </cell>
          <cell r="F2354" t="str">
            <v>收购产品</v>
          </cell>
          <cell r="G2354">
            <v>7.83</v>
          </cell>
          <cell r="H2354">
            <v>7671</v>
          </cell>
          <cell r="I2354">
            <v>60063.93</v>
          </cell>
          <cell r="J2354">
            <v>0</v>
          </cell>
          <cell r="K2354">
            <v>0</v>
          </cell>
          <cell r="L2354" t="str">
            <v>借</v>
          </cell>
          <cell r="M2354">
            <v>7671</v>
          </cell>
          <cell r="N2354">
            <v>0</v>
          </cell>
          <cell r="O2354">
            <v>60063.93</v>
          </cell>
        </row>
        <row r="2355">
          <cell r="A2355" t="str">
            <v>03</v>
          </cell>
          <cell r="F2355" t="str">
            <v>本月合计</v>
          </cell>
          <cell r="G2355">
            <v>0</v>
          </cell>
          <cell r="H2355">
            <v>7671</v>
          </cell>
          <cell r="I2355">
            <v>60063.93</v>
          </cell>
          <cell r="J2355">
            <v>0</v>
          </cell>
          <cell r="K2355">
            <v>0</v>
          </cell>
          <cell r="L2355" t="str">
            <v>借</v>
          </cell>
          <cell r="M2355">
            <v>7671</v>
          </cell>
          <cell r="N2355">
            <v>7.83</v>
          </cell>
          <cell r="O2355">
            <v>60063.93</v>
          </cell>
        </row>
        <row r="2356">
          <cell r="A2356" t="str">
            <v>03</v>
          </cell>
          <cell r="F2356" t="str">
            <v>累    计</v>
          </cell>
          <cell r="G2356">
            <v>0</v>
          </cell>
          <cell r="H2356">
            <v>7671</v>
          </cell>
          <cell r="I2356">
            <v>60063.93</v>
          </cell>
          <cell r="J2356">
            <v>0</v>
          </cell>
          <cell r="K2356">
            <v>0</v>
          </cell>
          <cell r="L2356" t="str">
            <v>借</v>
          </cell>
          <cell r="M2356">
            <v>7671</v>
          </cell>
          <cell r="N2356">
            <v>7.83</v>
          </cell>
          <cell r="O2356">
            <v>60063.93</v>
          </cell>
        </row>
        <row r="2357">
          <cell r="A2357" t="str">
            <v>05</v>
          </cell>
          <cell r="B2357" t="str">
            <v>31</v>
          </cell>
          <cell r="C2357" t="str">
            <v>记-0030</v>
          </cell>
          <cell r="D2357" t="str">
            <v>176</v>
          </cell>
          <cell r="E2357" t="str">
            <v>野生丁草</v>
          </cell>
          <cell r="F2357" t="str">
            <v>收购产品</v>
          </cell>
          <cell r="G2357">
            <v>9.1698000000000004</v>
          </cell>
          <cell r="H2357">
            <v>23385.5</v>
          </cell>
          <cell r="I2357">
            <v>214440.36</v>
          </cell>
          <cell r="J2357">
            <v>0</v>
          </cell>
          <cell r="K2357">
            <v>0</v>
          </cell>
          <cell r="L2357" t="str">
            <v>借</v>
          </cell>
          <cell r="M2357">
            <v>31056.5</v>
          </cell>
          <cell r="N2357">
            <v>0</v>
          </cell>
          <cell r="O2357">
            <v>274504.28999999998</v>
          </cell>
        </row>
        <row r="2358">
          <cell r="A2358" t="str">
            <v>05</v>
          </cell>
          <cell r="B2358" t="str">
            <v>31</v>
          </cell>
          <cell r="C2358" t="str">
            <v>记-0036</v>
          </cell>
          <cell r="D2358" t="str">
            <v>176</v>
          </cell>
          <cell r="E2358" t="str">
            <v>野生丁草</v>
          </cell>
          <cell r="F2358" t="str">
            <v>收购产品</v>
          </cell>
          <cell r="G2358">
            <v>10.17699</v>
          </cell>
          <cell r="H2358">
            <v>6833.2</v>
          </cell>
          <cell r="I2358">
            <v>69541.42</v>
          </cell>
          <cell r="J2358">
            <v>0</v>
          </cell>
          <cell r="K2358">
            <v>0</v>
          </cell>
          <cell r="L2358" t="str">
            <v>借</v>
          </cell>
          <cell r="M2358">
            <v>37889.699999999997</v>
          </cell>
          <cell r="N2358">
            <v>0</v>
          </cell>
          <cell r="O2358">
            <v>344045.71</v>
          </cell>
        </row>
        <row r="2359">
          <cell r="A2359" t="str">
            <v>05</v>
          </cell>
          <cell r="B2359" t="str">
            <v>31</v>
          </cell>
          <cell r="C2359" t="str">
            <v>记-0036</v>
          </cell>
          <cell r="D2359" t="str">
            <v>176</v>
          </cell>
          <cell r="E2359" t="str">
            <v>野生丁草</v>
          </cell>
          <cell r="F2359" t="str">
            <v>收购产品</v>
          </cell>
          <cell r="G2359">
            <v>10.17699</v>
          </cell>
          <cell r="H2359">
            <v>5027</v>
          </cell>
          <cell r="I2359">
            <v>51159.73</v>
          </cell>
          <cell r="J2359">
            <v>0</v>
          </cell>
          <cell r="K2359">
            <v>0</v>
          </cell>
          <cell r="L2359" t="str">
            <v>借</v>
          </cell>
          <cell r="M2359">
            <v>42916.7</v>
          </cell>
          <cell r="N2359">
            <v>0</v>
          </cell>
          <cell r="O2359">
            <v>395205.44</v>
          </cell>
        </row>
        <row r="2360">
          <cell r="A2360" t="str">
            <v>05</v>
          </cell>
          <cell r="B2360" t="str">
            <v>31</v>
          </cell>
          <cell r="C2360" t="str">
            <v>记-0036</v>
          </cell>
          <cell r="D2360" t="str">
            <v>176</v>
          </cell>
          <cell r="E2360" t="str">
            <v>野生丁草</v>
          </cell>
          <cell r="F2360" t="str">
            <v>收购产品</v>
          </cell>
          <cell r="G2360">
            <v>10.17699</v>
          </cell>
          <cell r="H2360">
            <v>4789.2</v>
          </cell>
          <cell r="I2360">
            <v>48739.65</v>
          </cell>
          <cell r="J2360">
            <v>0</v>
          </cell>
          <cell r="K2360">
            <v>0</v>
          </cell>
          <cell r="L2360" t="str">
            <v>借</v>
          </cell>
          <cell r="M2360">
            <v>47705.9</v>
          </cell>
          <cell r="N2360">
            <v>0</v>
          </cell>
          <cell r="O2360">
            <v>443945.09</v>
          </cell>
        </row>
        <row r="2361">
          <cell r="A2361" t="str">
            <v>05</v>
          </cell>
          <cell r="B2361" t="str">
            <v>31</v>
          </cell>
          <cell r="C2361" t="str">
            <v>记-0036</v>
          </cell>
          <cell r="D2361" t="str">
            <v>176</v>
          </cell>
          <cell r="E2361" t="str">
            <v>野生丁草</v>
          </cell>
          <cell r="F2361" t="str">
            <v>收购产品</v>
          </cell>
          <cell r="G2361">
            <v>9.7345100000000002</v>
          </cell>
          <cell r="H2361">
            <v>11536.4</v>
          </cell>
          <cell r="I2361">
            <v>112301.24</v>
          </cell>
          <cell r="J2361">
            <v>0</v>
          </cell>
          <cell r="K2361">
            <v>0</v>
          </cell>
          <cell r="L2361" t="str">
            <v>借</v>
          </cell>
          <cell r="M2361">
            <v>59242.3</v>
          </cell>
          <cell r="N2361">
            <v>0</v>
          </cell>
          <cell r="O2361">
            <v>556246.32999999996</v>
          </cell>
        </row>
        <row r="2362">
          <cell r="A2362" t="str">
            <v>05</v>
          </cell>
          <cell r="B2362" t="str">
            <v>31</v>
          </cell>
          <cell r="C2362" t="str">
            <v>记-0036</v>
          </cell>
          <cell r="D2362" t="str">
            <v>176</v>
          </cell>
          <cell r="E2362" t="str">
            <v>野生丁草</v>
          </cell>
          <cell r="F2362" t="str">
            <v>收购产品</v>
          </cell>
          <cell r="G2362">
            <v>10.17699</v>
          </cell>
          <cell r="H2362">
            <v>14839.5</v>
          </cell>
          <cell r="I2362">
            <v>151021.46</v>
          </cell>
          <cell r="J2362">
            <v>0</v>
          </cell>
          <cell r="K2362">
            <v>0</v>
          </cell>
          <cell r="L2362" t="str">
            <v>借</v>
          </cell>
          <cell r="M2362">
            <v>74081.8</v>
          </cell>
          <cell r="N2362">
            <v>0</v>
          </cell>
          <cell r="O2362">
            <v>707267.79</v>
          </cell>
        </row>
        <row r="2363">
          <cell r="A2363" t="str">
            <v>05</v>
          </cell>
          <cell r="B2363" t="str">
            <v>31</v>
          </cell>
          <cell r="C2363" t="str">
            <v>记-0045</v>
          </cell>
          <cell r="D2363" t="str">
            <v>176</v>
          </cell>
          <cell r="E2363" t="str">
            <v>野生丁草</v>
          </cell>
          <cell r="F2363" t="str">
            <v>收购产品</v>
          </cell>
          <cell r="G2363">
            <v>6.7251000000000003</v>
          </cell>
          <cell r="H2363">
            <v>12145</v>
          </cell>
          <cell r="I2363">
            <v>81676.34</v>
          </cell>
          <cell r="J2363">
            <v>0</v>
          </cell>
          <cell r="K2363">
            <v>0</v>
          </cell>
          <cell r="L2363" t="str">
            <v>借</v>
          </cell>
          <cell r="M2363">
            <v>86226.8</v>
          </cell>
          <cell r="N2363">
            <v>0</v>
          </cell>
          <cell r="O2363">
            <v>788944.13</v>
          </cell>
        </row>
        <row r="2364">
          <cell r="A2364" t="str">
            <v>05</v>
          </cell>
          <cell r="B2364" t="str">
            <v>31</v>
          </cell>
          <cell r="C2364" t="str">
            <v>记-0045</v>
          </cell>
          <cell r="D2364" t="str">
            <v>176</v>
          </cell>
          <cell r="E2364" t="str">
            <v>野生丁草</v>
          </cell>
          <cell r="F2364" t="str">
            <v>收购产品</v>
          </cell>
          <cell r="G2364">
            <v>6.7251000000000003</v>
          </cell>
          <cell r="H2364">
            <v>12145</v>
          </cell>
          <cell r="I2364">
            <v>81676.34</v>
          </cell>
          <cell r="J2364">
            <v>0</v>
          </cell>
          <cell r="K2364">
            <v>0</v>
          </cell>
          <cell r="L2364" t="str">
            <v>借</v>
          </cell>
          <cell r="M2364">
            <v>98371.8</v>
          </cell>
          <cell r="N2364">
            <v>0</v>
          </cell>
          <cell r="O2364">
            <v>870620.47</v>
          </cell>
        </row>
        <row r="2365">
          <cell r="A2365" t="str">
            <v>05</v>
          </cell>
          <cell r="B2365" t="str">
            <v>31</v>
          </cell>
          <cell r="C2365" t="str">
            <v>记-0087</v>
          </cell>
          <cell r="D2365" t="str">
            <v>176</v>
          </cell>
          <cell r="E2365" t="str">
            <v>野生丁草</v>
          </cell>
          <cell r="F2365" t="str">
            <v>转成本</v>
          </cell>
          <cell r="G2365">
            <v>11.62</v>
          </cell>
          <cell r="H2365">
            <v>0</v>
          </cell>
          <cell r="I2365">
            <v>0</v>
          </cell>
          <cell r="J2365">
            <v>10100.299999999999</v>
          </cell>
          <cell r="K2365">
            <v>117365.49</v>
          </cell>
          <cell r="L2365" t="str">
            <v>借</v>
          </cell>
          <cell r="M2365">
            <v>88271.5</v>
          </cell>
          <cell r="N2365">
            <v>0</v>
          </cell>
          <cell r="O2365">
            <v>753254.98</v>
          </cell>
        </row>
        <row r="2366">
          <cell r="A2366" t="str">
            <v>05</v>
          </cell>
          <cell r="B2366" t="str">
            <v>31</v>
          </cell>
          <cell r="C2366" t="str">
            <v>记-0087</v>
          </cell>
          <cell r="D2366" t="str">
            <v>176</v>
          </cell>
          <cell r="E2366" t="str">
            <v>野生丁草</v>
          </cell>
          <cell r="F2366" t="str">
            <v>转成本</v>
          </cell>
          <cell r="G2366">
            <v>11.62007</v>
          </cell>
          <cell r="H2366">
            <v>0</v>
          </cell>
          <cell r="I2366">
            <v>0</v>
          </cell>
          <cell r="J2366">
            <v>55.3</v>
          </cell>
          <cell r="K2366">
            <v>642.59</v>
          </cell>
          <cell r="L2366" t="str">
            <v>借</v>
          </cell>
          <cell r="M2366">
            <v>88216.2</v>
          </cell>
          <cell r="N2366">
            <v>0</v>
          </cell>
          <cell r="O2366">
            <v>752612.39</v>
          </cell>
        </row>
        <row r="2367">
          <cell r="A2367" t="str">
            <v>05</v>
          </cell>
          <cell r="B2367" t="str">
            <v>31</v>
          </cell>
          <cell r="C2367" t="str">
            <v>记-0087</v>
          </cell>
          <cell r="D2367" t="str">
            <v>176</v>
          </cell>
          <cell r="E2367" t="str">
            <v>野生丁草</v>
          </cell>
          <cell r="F2367" t="str">
            <v>转成本</v>
          </cell>
          <cell r="G2367">
            <v>11.62</v>
          </cell>
          <cell r="H2367">
            <v>0</v>
          </cell>
          <cell r="I2367">
            <v>0</v>
          </cell>
          <cell r="J2367">
            <v>5205.7</v>
          </cell>
          <cell r="K2367">
            <v>60490.23</v>
          </cell>
          <cell r="L2367" t="str">
            <v>借</v>
          </cell>
          <cell r="M2367">
            <v>83010.5</v>
          </cell>
          <cell r="N2367">
            <v>0</v>
          </cell>
          <cell r="O2367">
            <v>692122.16</v>
          </cell>
        </row>
        <row r="2368">
          <cell r="A2368" t="str">
            <v>05</v>
          </cell>
          <cell r="B2368" t="str">
            <v>31</v>
          </cell>
          <cell r="C2368" t="str">
            <v>记-0087</v>
          </cell>
          <cell r="D2368" t="str">
            <v>176</v>
          </cell>
          <cell r="E2368" t="str">
            <v>野生丁草</v>
          </cell>
          <cell r="F2368" t="str">
            <v>转成本</v>
          </cell>
          <cell r="G2368">
            <v>11.62</v>
          </cell>
          <cell r="H2368">
            <v>0</v>
          </cell>
          <cell r="I2368">
            <v>0</v>
          </cell>
          <cell r="J2368">
            <v>10304.299999999999</v>
          </cell>
          <cell r="K2368">
            <v>119735.97</v>
          </cell>
          <cell r="L2368" t="str">
            <v>借</v>
          </cell>
          <cell r="M2368">
            <v>72706.2</v>
          </cell>
          <cell r="N2368">
            <v>0</v>
          </cell>
          <cell r="O2368">
            <v>572386.18999999994</v>
          </cell>
        </row>
        <row r="2369">
          <cell r="A2369" t="str">
            <v>05</v>
          </cell>
          <cell r="B2369" t="str">
            <v>31</v>
          </cell>
          <cell r="C2369" t="str">
            <v>记-0087</v>
          </cell>
          <cell r="D2369" t="str">
            <v>176</v>
          </cell>
          <cell r="E2369" t="str">
            <v>野生丁草</v>
          </cell>
          <cell r="F2369" t="str">
            <v>转成本</v>
          </cell>
          <cell r="G2369">
            <v>11.62</v>
          </cell>
          <cell r="H2369">
            <v>0</v>
          </cell>
          <cell r="I2369">
            <v>0</v>
          </cell>
          <cell r="J2369">
            <v>14060.5</v>
          </cell>
          <cell r="K2369">
            <v>163383.01</v>
          </cell>
          <cell r="L2369" t="str">
            <v>借</v>
          </cell>
          <cell r="M2369">
            <v>58645.7</v>
          </cell>
          <cell r="N2369">
            <v>0</v>
          </cell>
          <cell r="O2369">
            <v>409003.18</v>
          </cell>
        </row>
        <row r="2370">
          <cell r="A2370" t="str">
            <v>05</v>
          </cell>
          <cell r="B2370" t="str">
            <v>31</v>
          </cell>
          <cell r="C2370" t="str">
            <v>记-0087</v>
          </cell>
          <cell r="D2370" t="str">
            <v>176</v>
          </cell>
          <cell r="E2370" t="str">
            <v>野生丁草</v>
          </cell>
          <cell r="F2370" t="str">
            <v>转成本</v>
          </cell>
          <cell r="G2370">
            <v>11.62</v>
          </cell>
          <cell r="H2370">
            <v>0</v>
          </cell>
          <cell r="I2370">
            <v>0</v>
          </cell>
          <cell r="J2370">
            <v>23556.5</v>
          </cell>
          <cell r="K2370">
            <v>273726.53000000003</v>
          </cell>
          <cell r="L2370" t="str">
            <v>借</v>
          </cell>
          <cell r="M2370">
            <v>35089.199999999997</v>
          </cell>
          <cell r="N2370">
            <v>0</v>
          </cell>
          <cell r="O2370">
            <v>135276.65</v>
          </cell>
        </row>
        <row r="2371">
          <cell r="A2371" t="str">
            <v>05</v>
          </cell>
          <cell r="B2371" t="str">
            <v>31</v>
          </cell>
          <cell r="C2371" t="str">
            <v>记-0087</v>
          </cell>
          <cell r="D2371" t="str">
            <v>176</v>
          </cell>
          <cell r="E2371" t="str">
            <v>野生丁草</v>
          </cell>
          <cell r="F2371" t="str">
            <v>转成本</v>
          </cell>
          <cell r="G2371">
            <v>11.62</v>
          </cell>
          <cell r="H2371">
            <v>0</v>
          </cell>
          <cell r="I2371">
            <v>0</v>
          </cell>
          <cell r="J2371">
            <v>17776.5</v>
          </cell>
          <cell r="K2371">
            <v>206562.93</v>
          </cell>
          <cell r="L2371" t="str">
            <v>贷</v>
          </cell>
          <cell r="M2371">
            <v>-17312.7</v>
          </cell>
          <cell r="N2371">
            <v>0</v>
          </cell>
          <cell r="O2371">
            <v>71286.28</v>
          </cell>
        </row>
        <row r="2372">
          <cell r="A2372" t="str">
            <v>05</v>
          </cell>
          <cell r="F2372" t="str">
            <v>本月合计</v>
          </cell>
          <cell r="G2372">
            <v>0</v>
          </cell>
          <cell r="H2372">
            <v>90700.800000000003</v>
          </cell>
          <cell r="I2372">
            <v>810556.54</v>
          </cell>
          <cell r="J2372">
            <v>81059.100000000006</v>
          </cell>
          <cell r="K2372">
            <v>941906.75</v>
          </cell>
          <cell r="L2372" t="str">
            <v>贷</v>
          </cell>
          <cell r="M2372">
            <v>-17312.7</v>
          </cell>
          <cell r="N2372">
            <v>4.1175699999999997</v>
          </cell>
          <cell r="O2372">
            <v>71286.28</v>
          </cell>
        </row>
        <row r="2373">
          <cell r="A2373" t="str">
            <v>05</v>
          </cell>
          <cell r="F2373" t="str">
            <v>累    计</v>
          </cell>
          <cell r="G2373">
            <v>0</v>
          </cell>
          <cell r="H2373">
            <v>98371.8</v>
          </cell>
          <cell r="I2373">
            <v>870620.47</v>
          </cell>
          <cell r="J2373">
            <v>81059.100000000006</v>
          </cell>
          <cell r="K2373">
            <v>941906.75</v>
          </cell>
          <cell r="L2373" t="str">
            <v>贷</v>
          </cell>
          <cell r="M2373">
            <v>-17312.7</v>
          </cell>
          <cell r="N2373">
            <v>4.1175699999999997</v>
          </cell>
          <cell r="O2373">
            <v>71286.28</v>
          </cell>
        </row>
        <row r="2374">
          <cell r="A2374" t="str">
            <v>07</v>
          </cell>
          <cell r="B2374" t="str">
            <v>22</v>
          </cell>
          <cell r="C2374" t="str">
            <v>记-0041</v>
          </cell>
          <cell r="D2374" t="str">
            <v>176</v>
          </cell>
          <cell r="E2374" t="str">
            <v>野生丁草</v>
          </cell>
          <cell r="F2374" t="str">
            <v>收购产品</v>
          </cell>
          <cell r="G2374">
            <v>12.18</v>
          </cell>
          <cell r="H2374">
            <v>5952.7</v>
          </cell>
          <cell r="I2374">
            <v>72503.89</v>
          </cell>
          <cell r="J2374">
            <v>0</v>
          </cell>
          <cell r="K2374">
            <v>0</v>
          </cell>
          <cell r="L2374" t="str">
            <v>借</v>
          </cell>
          <cell r="M2374">
            <v>23265.4</v>
          </cell>
          <cell r="N2374">
            <v>0</v>
          </cell>
          <cell r="O2374">
            <v>1217.6099999999999</v>
          </cell>
        </row>
        <row r="2375">
          <cell r="A2375" t="str">
            <v>07</v>
          </cell>
          <cell r="F2375" t="str">
            <v>本月合计</v>
          </cell>
          <cell r="G2375">
            <v>0</v>
          </cell>
          <cell r="H2375">
            <v>5952.7</v>
          </cell>
          <cell r="I2375">
            <v>72503.89</v>
          </cell>
          <cell r="J2375">
            <v>0</v>
          </cell>
          <cell r="K2375">
            <v>0</v>
          </cell>
          <cell r="L2375" t="str">
            <v>借</v>
          </cell>
          <cell r="M2375">
            <v>23265.4</v>
          </cell>
          <cell r="N2375">
            <v>5.2339999999999998E-2</v>
          </cell>
          <cell r="O2375">
            <v>1217.6099999999999</v>
          </cell>
        </row>
        <row r="2376">
          <cell r="A2376" t="str">
            <v>07</v>
          </cell>
          <cell r="F2376" t="str">
            <v>累    计</v>
          </cell>
          <cell r="G2376">
            <v>0</v>
          </cell>
          <cell r="H2376">
            <v>104324.5</v>
          </cell>
          <cell r="I2376">
            <v>943124.36</v>
          </cell>
          <cell r="J2376">
            <v>81059.100000000006</v>
          </cell>
          <cell r="K2376">
            <v>941906.75</v>
          </cell>
          <cell r="L2376" t="str">
            <v>借</v>
          </cell>
          <cell r="M2376">
            <v>23265.4</v>
          </cell>
          <cell r="N2376">
            <v>5.2339999999999998E-2</v>
          </cell>
          <cell r="O2376">
            <v>1217.6099999999999</v>
          </cell>
        </row>
        <row r="2377">
          <cell r="A2377" t="str">
            <v>09</v>
          </cell>
          <cell r="B2377" t="str">
            <v>22</v>
          </cell>
          <cell r="C2377" t="str">
            <v>记-0040</v>
          </cell>
          <cell r="D2377" t="str">
            <v>176</v>
          </cell>
          <cell r="E2377" t="str">
            <v>野生丁草</v>
          </cell>
          <cell r="F2377" t="str">
            <v>结转成本</v>
          </cell>
          <cell r="G2377">
            <v>0.05</v>
          </cell>
          <cell r="H2377">
            <v>0</v>
          </cell>
          <cell r="I2377">
            <v>0</v>
          </cell>
          <cell r="J2377">
            <v>11633.6</v>
          </cell>
          <cell r="K2377">
            <v>581.67999999999995</v>
          </cell>
          <cell r="L2377" t="str">
            <v>借</v>
          </cell>
          <cell r="M2377">
            <v>11631.8</v>
          </cell>
          <cell r="N2377">
            <v>0</v>
          </cell>
          <cell r="O2377">
            <v>635.92999999999995</v>
          </cell>
        </row>
        <row r="2378">
          <cell r="A2378" t="str">
            <v>09</v>
          </cell>
          <cell r="F2378" t="str">
            <v>本月合计</v>
          </cell>
          <cell r="G2378">
            <v>0</v>
          </cell>
          <cell r="H2378">
            <v>0</v>
          </cell>
          <cell r="I2378">
            <v>0</v>
          </cell>
          <cell r="J2378">
            <v>11633.6</v>
          </cell>
          <cell r="K2378">
            <v>581.67999999999995</v>
          </cell>
          <cell r="L2378" t="str">
            <v>借</v>
          </cell>
          <cell r="M2378">
            <v>11631.8</v>
          </cell>
          <cell r="N2378">
            <v>5.4670000000000003E-2</v>
          </cell>
          <cell r="O2378">
            <v>635.92999999999995</v>
          </cell>
        </row>
        <row r="2379">
          <cell r="A2379" t="str">
            <v>09</v>
          </cell>
          <cell r="F2379" t="str">
            <v>累    计</v>
          </cell>
          <cell r="G2379">
            <v>0</v>
          </cell>
          <cell r="H2379">
            <v>104324.5</v>
          </cell>
          <cell r="I2379">
            <v>943124.36</v>
          </cell>
          <cell r="J2379">
            <v>92692.7</v>
          </cell>
          <cell r="K2379">
            <v>942488.43</v>
          </cell>
          <cell r="L2379" t="str">
            <v>借</v>
          </cell>
          <cell r="M2379">
            <v>11631.8</v>
          </cell>
          <cell r="N2379">
            <v>5.4670000000000003E-2</v>
          </cell>
          <cell r="O2379">
            <v>635.92999999999995</v>
          </cell>
        </row>
        <row r="2380">
          <cell r="A2380" t="str">
            <v>10</v>
          </cell>
          <cell r="B2380" t="str">
            <v>22</v>
          </cell>
          <cell r="C2380" t="str">
            <v>记-0050</v>
          </cell>
          <cell r="D2380" t="str">
            <v>176</v>
          </cell>
          <cell r="E2380" t="str">
            <v>野生丁草</v>
          </cell>
          <cell r="F2380" t="str">
            <v>收购产品</v>
          </cell>
          <cell r="G2380">
            <v>15.04425</v>
          </cell>
          <cell r="H2380">
            <v>12762.4</v>
          </cell>
          <cell r="I2380">
            <v>192000.71</v>
          </cell>
          <cell r="J2380">
            <v>0</v>
          </cell>
          <cell r="K2380">
            <v>0</v>
          </cell>
          <cell r="L2380" t="str">
            <v>借</v>
          </cell>
          <cell r="M2380">
            <v>24394.2</v>
          </cell>
          <cell r="N2380">
            <v>0</v>
          </cell>
          <cell r="O2380">
            <v>192636.64</v>
          </cell>
        </row>
        <row r="2381">
          <cell r="A2381" t="str">
            <v>10</v>
          </cell>
          <cell r="B2381" t="str">
            <v>22</v>
          </cell>
          <cell r="C2381" t="str">
            <v>记-0050</v>
          </cell>
          <cell r="D2381" t="str">
            <v>176</v>
          </cell>
          <cell r="E2381" t="str">
            <v>野生丁草</v>
          </cell>
          <cell r="F2381" t="str">
            <v>收购产品</v>
          </cell>
          <cell r="G2381">
            <v>12.389379999999999</v>
          </cell>
          <cell r="H2381">
            <v>13154.7</v>
          </cell>
          <cell r="I2381">
            <v>162978.57999999999</v>
          </cell>
          <cell r="J2381">
            <v>0</v>
          </cell>
          <cell r="K2381">
            <v>0</v>
          </cell>
          <cell r="L2381" t="str">
            <v>借</v>
          </cell>
          <cell r="M2381">
            <v>37548.9</v>
          </cell>
          <cell r="N2381">
            <v>0</v>
          </cell>
          <cell r="O2381">
            <v>355615.22</v>
          </cell>
        </row>
        <row r="2382">
          <cell r="A2382" t="str">
            <v>10</v>
          </cell>
          <cell r="B2382" t="str">
            <v>22</v>
          </cell>
          <cell r="C2382" t="str">
            <v>记-0050</v>
          </cell>
          <cell r="D2382" t="str">
            <v>176</v>
          </cell>
          <cell r="E2382" t="str">
            <v>野生丁草</v>
          </cell>
          <cell r="F2382" t="str">
            <v>收购产品</v>
          </cell>
          <cell r="G2382">
            <v>12.389379999999999</v>
          </cell>
          <cell r="H2382">
            <v>15096.6</v>
          </cell>
          <cell r="I2382">
            <v>187037.52</v>
          </cell>
          <cell r="J2382">
            <v>0</v>
          </cell>
          <cell r="K2382">
            <v>0</v>
          </cell>
          <cell r="L2382" t="str">
            <v>借</v>
          </cell>
          <cell r="M2382">
            <v>52645.5</v>
          </cell>
          <cell r="N2382">
            <v>0</v>
          </cell>
          <cell r="O2382">
            <v>542652.74</v>
          </cell>
        </row>
        <row r="2383">
          <cell r="A2383" t="str">
            <v>10</v>
          </cell>
          <cell r="B2383" t="str">
            <v>22</v>
          </cell>
          <cell r="C2383" t="str">
            <v>记-0050</v>
          </cell>
          <cell r="D2383" t="str">
            <v>176</v>
          </cell>
          <cell r="E2383" t="str">
            <v>野生丁草</v>
          </cell>
          <cell r="F2383" t="str">
            <v>收购产品</v>
          </cell>
          <cell r="G2383">
            <v>13.27434</v>
          </cell>
          <cell r="H2383">
            <v>20907.400000000001</v>
          </cell>
          <cell r="I2383">
            <v>277531.86</v>
          </cell>
          <cell r="J2383">
            <v>0</v>
          </cell>
          <cell r="K2383">
            <v>0</v>
          </cell>
          <cell r="L2383" t="str">
            <v>借</v>
          </cell>
          <cell r="M2383">
            <v>73552.899999999994</v>
          </cell>
          <cell r="N2383">
            <v>0</v>
          </cell>
          <cell r="O2383">
            <v>820184.6</v>
          </cell>
        </row>
        <row r="2384">
          <cell r="A2384" t="str">
            <v>10</v>
          </cell>
          <cell r="B2384" t="str">
            <v>22</v>
          </cell>
          <cell r="C2384" t="str">
            <v>记-0050</v>
          </cell>
          <cell r="D2384" t="str">
            <v>176</v>
          </cell>
          <cell r="E2384" t="str">
            <v>野生丁草</v>
          </cell>
          <cell r="F2384" t="str">
            <v>收购产品</v>
          </cell>
          <cell r="G2384">
            <v>10.17699</v>
          </cell>
          <cell r="H2384">
            <v>40519.800000000003</v>
          </cell>
          <cell r="I2384">
            <v>412369.65</v>
          </cell>
          <cell r="J2384">
            <v>0</v>
          </cell>
          <cell r="K2384">
            <v>0</v>
          </cell>
          <cell r="L2384" t="str">
            <v>借</v>
          </cell>
          <cell r="M2384">
            <v>114072.7</v>
          </cell>
          <cell r="N2384">
            <v>0</v>
          </cell>
          <cell r="O2384">
            <v>1232554.25</v>
          </cell>
        </row>
        <row r="2385">
          <cell r="A2385" t="str">
            <v>10</v>
          </cell>
          <cell r="B2385" t="str">
            <v>22</v>
          </cell>
          <cell r="C2385" t="str">
            <v>记-0068</v>
          </cell>
          <cell r="D2385" t="str">
            <v>176</v>
          </cell>
          <cell r="E2385" t="str">
            <v>野生丁草</v>
          </cell>
          <cell r="F2385" t="str">
            <v>结转成本</v>
          </cell>
          <cell r="G2385">
            <v>0.05</v>
          </cell>
          <cell r="H2385">
            <v>0</v>
          </cell>
          <cell r="I2385">
            <v>0</v>
          </cell>
          <cell r="J2385">
            <v>1018</v>
          </cell>
          <cell r="K2385">
            <v>50.9</v>
          </cell>
          <cell r="L2385" t="str">
            <v>借</v>
          </cell>
          <cell r="M2385">
            <v>113054.7</v>
          </cell>
          <cell r="N2385">
            <v>0</v>
          </cell>
          <cell r="O2385">
            <v>1232503.3500000001</v>
          </cell>
        </row>
        <row r="2386">
          <cell r="A2386" t="str">
            <v>10</v>
          </cell>
          <cell r="B2386" t="str">
            <v>22</v>
          </cell>
          <cell r="C2386" t="str">
            <v>记-0068</v>
          </cell>
          <cell r="D2386" t="str">
            <v>176</v>
          </cell>
          <cell r="E2386" t="str">
            <v>野生丁草</v>
          </cell>
          <cell r="F2386" t="str">
            <v>结转成本</v>
          </cell>
          <cell r="G2386">
            <v>0.05</v>
          </cell>
          <cell r="H2386">
            <v>0</v>
          </cell>
          <cell r="I2386">
            <v>0</v>
          </cell>
          <cell r="J2386">
            <v>5952.7</v>
          </cell>
          <cell r="K2386">
            <v>297.64</v>
          </cell>
          <cell r="L2386" t="str">
            <v>借</v>
          </cell>
          <cell r="M2386">
            <v>107102</v>
          </cell>
          <cell r="N2386">
            <v>0</v>
          </cell>
          <cell r="O2386">
            <v>1232205.71</v>
          </cell>
        </row>
        <row r="2387">
          <cell r="A2387" t="str">
            <v>10</v>
          </cell>
          <cell r="B2387" t="str">
            <v>22</v>
          </cell>
          <cell r="C2387" t="str">
            <v>记-0069</v>
          </cell>
          <cell r="D2387" t="str">
            <v>176</v>
          </cell>
          <cell r="E2387" t="str">
            <v>野生丁草</v>
          </cell>
          <cell r="F2387" t="str">
            <v>结转成本</v>
          </cell>
          <cell r="G2387">
            <v>5.0659999999999997E-2</v>
          </cell>
          <cell r="H2387">
            <v>0</v>
          </cell>
          <cell r="I2387">
            <v>0</v>
          </cell>
          <cell r="J2387">
            <v>2726.4</v>
          </cell>
          <cell r="K2387">
            <v>138.12</v>
          </cell>
          <cell r="L2387" t="str">
            <v>借</v>
          </cell>
          <cell r="M2387">
            <v>104375.6</v>
          </cell>
          <cell r="N2387">
            <v>0</v>
          </cell>
          <cell r="O2387">
            <v>1232067.5900000001</v>
          </cell>
        </row>
        <row r="2388">
          <cell r="A2388" t="str">
            <v>10</v>
          </cell>
          <cell r="B2388" t="str">
            <v>22</v>
          </cell>
          <cell r="C2388" t="str">
            <v>记-0069</v>
          </cell>
          <cell r="D2388" t="str">
            <v>176</v>
          </cell>
          <cell r="E2388" t="str">
            <v>野生丁草</v>
          </cell>
          <cell r="F2388" t="str">
            <v>结转成本</v>
          </cell>
          <cell r="G2388">
            <v>13.110010000000001</v>
          </cell>
          <cell r="H2388">
            <v>0</v>
          </cell>
          <cell r="I2388">
            <v>0</v>
          </cell>
          <cell r="J2388">
            <v>316.8</v>
          </cell>
          <cell r="K2388">
            <v>4153.25</v>
          </cell>
          <cell r="L2388" t="str">
            <v>借</v>
          </cell>
          <cell r="M2388">
            <v>104058.8</v>
          </cell>
          <cell r="N2388">
            <v>0</v>
          </cell>
          <cell r="O2388">
            <v>1227914.3400000001</v>
          </cell>
        </row>
        <row r="2389">
          <cell r="A2389" t="str">
            <v>10</v>
          </cell>
          <cell r="B2389" t="str">
            <v>22</v>
          </cell>
          <cell r="C2389" t="str">
            <v>记-0078</v>
          </cell>
          <cell r="D2389" t="str">
            <v>176</v>
          </cell>
          <cell r="E2389" t="str">
            <v>野生丁草</v>
          </cell>
          <cell r="F2389" t="str">
            <v>结转成本</v>
          </cell>
          <cell r="G2389">
            <v>6000</v>
          </cell>
          <cell r="H2389">
            <v>0</v>
          </cell>
          <cell r="I2389">
            <v>0</v>
          </cell>
          <cell r="J2389">
            <v>11.08</v>
          </cell>
          <cell r="K2389">
            <v>66480</v>
          </cell>
          <cell r="L2389" t="str">
            <v>借</v>
          </cell>
          <cell r="M2389">
            <v>104047.72</v>
          </cell>
          <cell r="N2389">
            <v>0</v>
          </cell>
          <cell r="O2389">
            <v>1161434.3400000001</v>
          </cell>
        </row>
        <row r="2390">
          <cell r="A2390" t="str">
            <v>10</v>
          </cell>
          <cell r="F2390" t="str">
            <v>本月合计</v>
          </cell>
          <cell r="G2390">
            <v>0</v>
          </cell>
          <cell r="H2390">
            <v>102440.9</v>
          </cell>
          <cell r="I2390">
            <v>1231918.32</v>
          </cell>
          <cell r="J2390">
            <v>10024.98</v>
          </cell>
          <cell r="K2390">
            <v>71119.91</v>
          </cell>
          <cell r="L2390" t="str">
            <v>借</v>
          </cell>
          <cell r="M2390">
            <v>104047.72</v>
          </cell>
          <cell r="N2390">
            <v>11.162520000000001</v>
          </cell>
          <cell r="O2390">
            <v>1161434.3400000001</v>
          </cell>
        </row>
        <row r="2391">
          <cell r="A2391" t="str">
            <v>10</v>
          </cell>
          <cell r="F2391" t="str">
            <v>累    计</v>
          </cell>
          <cell r="G2391">
            <v>0</v>
          </cell>
          <cell r="H2391">
            <v>206765.4</v>
          </cell>
          <cell r="I2391">
            <v>2175042.6800000002</v>
          </cell>
          <cell r="J2391">
            <v>102717.68</v>
          </cell>
          <cell r="K2391">
            <v>1013608.34</v>
          </cell>
          <cell r="L2391" t="str">
            <v>借</v>
          </cell>
          <cell r="M2391">
            <v>104047.72</v>
          </cell>
          <cell r="N2391">
            <v>11.162520000000001</v>
          </cell>
          <cell r="O2391">
            <v>1161434.3400000001</v>
          </cell>
        </row>
        <row r="2392">
          <cell r="A2392" t="str">
            <v>11</v>
          </cell>
          <cell r="B2392" t="str">
            <v>30</v>
          </cell>
          <cell r="C2392" t="str">
            <v>记-0066</v>
          </cell>
          <cell r="D2392" t="str">
            <v>176</v>
          </cell>
          <cell r="E2392" t="str">
            <v>野生丁草</v>
          </cell>
          <cell r="F2392" t="str">
            <v>调整5月36号.1</v>
          </cell>
          <cell r="G2392">
            <v>10.058350000000001</v>
          </cell>
          <cell r="H2392">
            <v>-43025.3</v>
          </cell>
          <cell r="I2392">
            <v>-432763.5</v>
          </cell>
          <cell r="J2392">
            <v>0</v>
          </cell>
          <cell r="K2392">
            <v>0</v>
          </cell>
          <cell r="L2392" t="str">
            <v>借</v>
          </cell>
          <cell r="M2392">
            <v>61022.42</v>
          </cell>
          <cell r="N2392">
            <v>0</v>
          </cell>
          <cell r="O2392">
            <v>728670.84</v>
          </cell>
        </row>
        <row r="2393">
          <cell r="A2393" t="str">
            <v>11</v>
          </cell>
          <cell r="B2393" t="str">
            <v>30</v>
          </cell>
          <cell r="C2393" t="str">
            <v>记-0066</v>
          </cell>
          <cell r="D2393" t="str">
            <v>176</v>
          </cell>
          <cell r="E2393" t="str">
            <v>野生丁草</v>
          </cell>
          <cell r="F2393" t="str">
            <v>调整5月36号.1</v>
          </cell>
          <cell r="G2393">
            <v>12.025650000000001</v>
          </cell>
          <cell r="H2393">
            <v>-102440.9</v>
          </cell>
          <cell r="I2393">
            <v>-1231918.32</v>
          </cell>
          <cell r="J2393">
            <v>0</v>
          </cell>
          <cell r="K2393">
            <v>0</v>
          </cell>
          <cell r="L2393" t="str">
            <v>贷</v>
          </cell>
          <cell r="M2393">
            <v>41418.480000000003</v>
          </cell>
          <cell r="N2393">
            <v>0</v>
          </cell>
          <cell r="O2393">
            <v>503247.48</v>
          </cell>
        </row>
        <row r="2394">
          <cell r="A2394" t="str">
            <v>11</v>
          </cell>
          <cell r="B2394" t="str">
            <v>30</v>
          </cell>
          <cell r="C2394" t="str">
            <v>记-0067</v>
          </cell>
          <cell r="D2394" t="str">
            <v>176</v>
          </cell>
          <cell r="E2394" t="str">
            <v>野生丁草</v>
          </cell>
          <cell r="F2394" t="str">
            <v>调整10月78号</v>
          </cell>
          <cell r="G2394">
            <v>6000</v>
          </cell>
          <cell r="H2394">
            <v>0</v>
          </cell>
          <cell r="I2394">
            <v>0</v>
          </cell>
          <cell r="J2394">
            <v>-11.08</v>
          </cell>
          <cell r="K2394">
            <v>-66480</v>
          </cell>
          <cell r="L2394" t="str">
            <v>贷</v>
          </cell>
          <cell r="M2394">
            <v>41407.4</v>
          </cell>
          <cell r="N2394">
            <v>0</v>
          </cell>
          <cell r="O2394">
            <v>436767.48</v>
          </cell>
        </row>
        <row r="2395">
          <cell r="A2395" t="str">
            <v>11</v>
          </cell>
          <cell r="B2395" t="str">
            <v>30</v>
          </cell>
          <cell r="C2395" t="str">
            <v>记-0068</v>
          </cell>
          <cell r="D2395" t="str">
            <v>176</v>
          </cell>
          <cell r="E2395" t="str">
            <v>野生丁草</v>
          </cell>
          <cell r="F2395" t="str">
            <v>调整月87号凭</v>
          </cell>
          <cell r="G2395">
            <v>11.62</v>
          </cell>
          <cell r="H2395">
            <v>0</v>
          </cell>
          <cell r="I2395">
            <v>0</v>
          </cell>
          <cell r="J2395">
            <v>-14060.5</v>
          </cell>
          <cell r="K2395">
            <v>-163383.01</v>
          </cell>
          <cell r="L2395" t="str">
            <v>贷</v>
          </cell>
          <cell r="M2395">
            <v>27346.9</v>
          </cell>
          <cell r="N2395">
            <v>0</v>
          </cell>
          <cell r="O2395">
            <v>273384.46999999997</v>
          </cell>
        </row>
        <row r="2396">
          <cell r="A2396" t="str">
            <v>11</v>
          </cell>
          <cell r="B2396" t="str">
            <v>30</v>
          </cell>
          <cell r="C2396" t="str">
            <v>记-0069</v>
          </cell>
          <cell r="D2396" t="str">
            <v>176</v>
          </cell>
          <cell r="E2396" t="str">
            <v>野生丁草</v>
          </cell>
          <cell r="F2396" t="str">
            <v>调整5月87号凭</v>
          </cell>
          <cell r="G2396">
            <v>11.62</v>
          </cell>
          <cell r="H2396">
            <v>0</v>
          </cell>
          <cell r="I2396">
            <v>0</v>
          </cell>
          <cell r="J2396">
            <v>-43442.1</v>
          </cell>
          <cell r="K2396">
            <v>-504797.21</v>
          </cell>
          <cell r="L2396" t="str">
            <v>借</v>
          </cell>
          <cell r="M2396">
            <v>16095.2</v>
          </cell>
          <cell r="N2396">
            <v>0</v>
          </cell>
          <cell r="O2396">
            <v>231412.74</v>
          </cell>
        </row>
        <row r="2397">
          <cell r="A2397" t="str">
            <v>11</v>
          </cell>
          <cell r="B2397" t="str">
            <v>30</v>
          </cell>
          <cell r="C2397" t="str">
            <v>记-0069</v>
          </cell>
          <cell r="D2397" t="str">
            <v>176</v>
          </cell>
          <cell r="E2397" t="str">
            <v>野生丁草</v>
          </cell>
          <cell r="F2397" t="str">
            <v>调整9月40号凭</v>
          </cell>
          <cell r="G2397">
            <v>0.05</v>
          </cell>
          <cell r="H2397">
            <v>0</v>
          </cell>
          <cell r="I2397">
            <v>0</v>
          </cell>
          <cell r="J2397">
            <v>-11633.6</v>
          </cell>
          <cell r="K2397">
            <v>-581.67999999999995</v>
          </cell>
          <cell r="L2397" t="str">
            <v>借</v>
          </cell>
          <cell r="M2397">
            <v>27728.799999999999</v>
          </cell>
          <cell r="N2397">
            <v>0</v>
          </cell>
          <cell r="O2397">
            <v>231994.42</v>
          </cell>
        </row>
        <row r="2398">
          <cell r="A2398" t="str">
            <v>11</v>
          </cell>
          <cell r="B2398" t="str">
            <v>30</v>
          </cell>
          <cell r="C2398" t="str">
            <v>记-0069</v>
          </cell>
          <cell r="D2398" t="str">
            <v>176</v>
          </cell>
          <cell r="E2398" t="str">
            <v>野生丁草</v>
          </cell>
          <cell r="F2398" t="str">
            <v>调整10月68.69</v>
          </cell>
          <cell r="G2398">
            <v>1.06921</v>
          </cell>
          <cell r="H2398">
            <v>0</v>
          </cell>
          <cell r="I2398">
            <v>0</v>
          </cell>
          <cell r="J2398">
            <v>-4061.2</v>
          </cell>
          <cell r="K2398">
            <v>-4342.2700000000004</v>
          </cell>
          <cell r="L2398" t="str">
            <v>借</v>
          </cell>
          <cell r="M2398">
            <v>31790</v>
          </cell>
          <cell r="N2398">
            <v>0</v>
          </cell>
          <cell r="O2398">
            <v>236336.69</v>
          </cell>
        </row>
        <row r="2399">
          <cell r="A2399" t="str">
            <v>11</v>
          </cell>
          <cell r="B2399" t="str">
            <v>30</v>
          </cell>
          <cell r="C2399" t="str">
            <v>记-0070</v>
          </cell>
          <cell r="D2399" t="str">
            <v>176</v>
          </cell>
          <cell r="E2399" t="str">
            <v>野生丁草</v>
          </cell>
          <cell r="F2399" t="str">
            <v>调整3月46号凭</v>
          </cell>
          <cell r="G2399">
            <v>8.7070000000000007</v>
          </cell>
          <cell r="H2399">
            <v>0</v>
          </cell>
          <cell r="I2399">
            <v>0</v>
          </cell>
          <cell r="J2399">
            <v>7671</v>
          </cell>
          <cell r="K2399">
            <v>66791.399999999994</v>
          </cell>
          <cell r="L2399" t="str">
            <v>借</v>
          </cell>
          <cell r="M2399">
            <v>24119</v>
          </cell>
          <cell r="N2399">
            <v>0</v>
          </cell>
          <cell r="O2399">
            <v>169545.29</v>
          </cell>
        </row>
        <row r="2400">
          <cell r="A2400" t="str">
            <v>11</v>
          </cell>
          <cell r="B2400" t="str">
            <v>30</v>
          </cell>
          <cell r="C2400" t="str">
            <v>记-0071</v>
          </cell>
          <cell r="D2400" t="str">
            <v>176</v>
          </cell>
          <cell r="E2400" t="str">
            <v>野生丁草</v>
          </cell>
          <cell r="F2400" t="str">
            <v>转库存</v>
          </cell>
          <cell r="G2400">
            <v>0.05</v>
          </cell>
          <cell r="H2400">
            <v>4316.8</v>
          </cell>
          <cell r="I2400">
            <v>215.84</v>
          </cell>
          <cell r="J2400">
            <v>0</v>
          </cell>
          <cell r="K2400">
            <v>0</v>
          </cell>
          <cell r="L2400" t="str">
            <v>借</v>
          </cell>
          <cell r="M2400">
            <v>28435.8</v>
          </cell>
          <cell r="N2400">
            <v>0</v>
          </cell>
          <cell r="O2400">
            <v>169761.13</v>
          </cell>
        </row>
        <row r="2401">
          <cell r="A2401" t="str">
            <v>11</v>
          </cell>
          <cell r="B2401" t="str">
            <v>30</v>
          </cell>
          <cell r="C2401" t="str">
            <v>记-0071</v>
          </cell>
          <cell r="D2401" t="str">
            <v>176</v>
          </cell>
          <cell r="E2401" t="str">
            <v>野生丁草</v>
          </cell>
          <cell r="F2401" t="str">
            <v>调整5月45号凭</v>
          </cell>
          <cell r="G2401">
            <v>6.73</v>
          </cell>
          <cell r="H2401">
            <v>-10371.5</v>
          </cell>
          <cell r="I2401">
            <v>-69800.2</v>
          </cell>
          <cell r="J2401">
            <v>0</v>
          </cell>
          <cell r="K2401">
            <v>0</v>
          </cell>
          <cell r="L2401" t="str">
            <v>借</v>
          </cell>
          <cell r="M2401">
            <v>18064.3</v>
          </cell>
          <cell r="N2401">
            <v>0</v>
          </cell>
          <cell r="O2401">
            <v>99960.93</v>
          </cell>
        </row>
        <row r="2402">
          <cell r="A2402" t="str">
            <v>11</v>
          </cell>
          <cell r="B2402" t="str">
            <v>30</v>
          </cell>
          <cell r="C2402" t="str">
            <v>记-0110</v>
          </cell>
          <cell r="D2402" t="str">
            <v>176</v>
          </cell>
          <cell r="E2402" t="str">
            <v>野生丁草</v>
          </cell>
          <cell r="F2402" t="str">
            <v>合并名称</v>
          </cell>
          <cell r="G2402">
            <v>7.83</v>
          </cell>
          <cell r="H2402">
            <v>481</v>
          </cell>
          <cell r="I2402">
            <v>3766.23</v>
          </cell>
          <cell r="J2402">
            <v>0</v>
          </cell>
          <cell r="K2402">
            <v>0</v>
          </cell>
          <cell r="L2402" t="str">
            <v>借</v>
          </cell>
          <cell r="M2402">
            <v>18545.3</v>
          </cell>
          <cell r="N2402">
            <v>0</v>
          </cell>
          <cell r="O2402">
            <v>103727.16</v>
          </cell>
        </row>
        <row r="2403">
          <cell r="A2403" t="str">
            <v>11</v>
          </cell>
          <cell r="B2403" t="str">
            <v>30</v>
          </cell>
          <cell r="C2403" t="str">
            <v>记-0149</v>
          </cell>
          <cell r="D2403" t="str">
            <v>176</v>
          </cell>
          <cell r="E2403" t="str">
            <v>野生丁草</v>
          </cell>
          <cell r="F2403" t="str">
            <v>调整库存</v>
          </cell>
          <cell r="G2403">
            <v>104.44596</v>
          </cell>
          <cell r="H2403">
            <v>451.7</v>
          </cell>
          <cell r="I2403">
            <v>47178.239999999998</v>
          </cell>
          <cell r="J2403">
            <v>0</v>
          </cell>
          <cell r="K2403">
            <v>0</v>
          </cell>
          <cell r="L2403" t="str">
            <v>借</v>
          </cell>
          <cell r="M2403">
            <v>18997</v>
          </cell>
          <cell r="N2403">
            <v>0</v>
          </cell>
          <cell r="O2403">
            <v>150905.4</v>
          </cell>
        </row>
        <row r="2404">
          <cell r="A2404" t="str">
            <v>11</v>
          </cell>
          <cell r="F2404" t="str">
            <v>本月合计</v>
          </cell>
          <cell r="G2404">
            <v>0</v>
          </cell>
          <cell r="H2404">
            <v>-150588.20000000001</v>
          </cell>
          <cell r="I2404">
            <v>-1683321.71</v>
          </cell>
          <cell r="J2404">
            <v>-65537.48</v>
          </cell>
          <cell r="K2404">
            <v>-672792.77</v>
          </cell>
          <cell r="L2404" t="str">
            <v>借</v>
          </cell>
          <cell r="M2404">
            <v>18997</v>
          </cell>
          <cell r="N2404">
            <v>7.9436400000000003</v>
          </cell>
          <cell r="O2404">
            <v>150905.4</v>
          </cell>
        </row>
        <row r="2405">
          <cell r="A2405" t="str">
            <v>11</v>
          </cell>
          <cell r="E2405" t="str">
            <v>野生丁草</v>
          </cell>
          <cell r="F2405" t="str">
            <v>本年累计</v>
          </cell>
          <cell r="G2405">
            <v>0</v>
          </cell>
          <cell r="H2405">
            <v>56177.2</v>
          </cell>
          <cell r="I2405">
            <v>491720.97</v>
          </cell>
          <cell r="J2405">
            <v>37180.199999999997</v>
          </cell>
          <cell r="K2405">
            <v>340815.57</v>
          </cell>
          <cell r="L2405" t="str">
            <v>借</v>
          </cell>
          <cell r="M2405">
            <v>18997</v>
          </cell>
          <cell r="N2405">
            <v>7.9436400000000003</v>
          </cell>
          <cell r="O2405">
            <v>150905.4</v>
          </cell>
        </row>
        <row r="2406">
          <cell r="A2406" t="str">
            <v>11</v>
          </cell>
          <cell r="B2406" t="str">
            <v>30</v>
          </cell>
          <cell r="C2406" t="str">
            <v>记-0034</v>
          </cell>
          <cell r="D2406" t="str">
            <v>177</v>
          </cell>
          <cell r="E2406" t="str">
            <v>当归碎</v>
          </cell>
          <cell r="F2406" t="str">
            <v>收购产品</v>
          </cell>
          <cell r="G2406">
            <v>4.9852499999999997</v>
          </cell>
          <cell r="H2406">
            <v>40</v>
          </cell>
          <cell r="I2406">
            <v>199.41</v>
          </cell>
          <cell r="J2406">
            <v>0</v>
          </cell>
          <cell r="K2406">
            <v>0</v>
          </cell>
          <cell r="L2406" t="str">
            <v>借</v>
          </cell>
          <cell r="M2406">
            <v>40</v>
          </cell>
          <cell r="N2406">
            <v>0</v>
          </cell>
          <cell r="O2406">
            <v>199.41</v>
          </cell>
        </row>
        <row r="2407">
          <cell r="A2407" t="str">
            <v>11</v>
          </cell>
          <cell r="B2407" t="str">
            <v>30</v>
          </cell>
          <cell r="C2407" t="str">
            <v>记-0037</v>
          </cell>
          <cell r="D2407" t="str">
            <v>177</v>
          </cell>
          <cell r="E2407" t="str">
            <v>当归碎</v>
          </cell>
          <cell r="F2407" t="str">
            <v>结转成本</v>
          </cell>
          <cell r="G2407">
            <v>4.9852499999999997</v>
          </cell>
          <cell r="H2407">
            <v>0</v>
          </cell>
          <cell r="I2407">
            <v>0</v>
          </cell>
          <cell r="J2407">
            <v>40</v>
          </cell>
          <cell r="K2407">
            <v>199.41</v>
          </cell>
          <cell r="L2407" t="str">
            <v>平</v>
          </cell>
          <cell r="M2407">
            <v>0</v>
          </cell>
          <cell r="N2407">
            <v>0</v>
          </cell>
          <cell r="O2407">
            <v>0</v>
          </cell>
        </row>
        <row r="2408">
          <cell r="A2408" t="str">
            <v>11</v>
          </cell>
          <cell r="F2408" t="str">
            <v>本月合计</v>
          </cell>
          <cell r="G2408">
            <v>0</v>
          </cell>
          <cell r="H2408">
            <v>40</v>
          </cell>
          <cell r="I2408">
            <v>199.41</v>
          </cell>
          <cell r="J2408">
            <v>40</v>
          </cell>
          <cell r="K2408">
            <v>199.41</v>
          </cell>
          <cell r="L2408" t="str">
            <v>平</v>
          </cell>
          <cell r="M2408">
            <v>0</v>
          </cell>
          <cell r="N2408">
            <v>0</v>
          </cell>
          <cell r="O2408">
            <v>0</v>
          </cell>
        </row>
        <row r="2409">
          <cell r="A2409" t="str">
            <v>11</v>
          </cell>
          <cell r="F2409" t="str">
            <v>累    计</v>
          </cell>
          <cell r="G2409">
            <v>0</v>
          </cell>
          <cell r="H2409">
            <v>40</v>
          </cell>
          <cell r="I2409">
            <v>199.41</v>
          </cell>
          <cell r="J2409">
            <v>40</v>
          </cell>
          <cell r="K2409">
            <v>199.41</v>
          </cell>
          <cell r="L2409" t="str">
            <v>平</v>
          </cell>
          <cell r="M2409">
            <v>0</v>
          </cell>
          <cell r="N2409">
            <v>0</v>
          </cell>
          <cell r="O2409">
            <v>0</v>
          </cell>
        </row>
        <row r="2410">
          <cell r="A2410" t="str">
            <v>12</v>
          </cell>
          <cell r="B2410" t="str">
            <v>11</v>
          </cell>
          <cell r="C2410" t="str">
            <v>记-0018</v>
          </cell>
          <cell r="D2410" t="str">
            <v>177</v>
          </cell>
          <cell r="E2410" t="str">
            <v>当归碎</v>
          </cell>
          <cell r="F2410" t="str">
            <v>收购产品</v>
          </cell>
          <cell r="G2410">
            <v>0.21124000000000001</v>
          </cell>
          <cell r="H2410">
            <v>5000</v>
          </cell>
          <cell r="I2410">
            <v>1056.19</v>
          </cell>
          <cell r="J2410">
            <v>0</v>
          </cell>
          <cell r="K2410">
            <v>0</v>
          </cell>
          <cell r="L2410" t="str">
            <v>借</v>
          </cell>
          <cell r="M2410">
            <v>5000</v>
          </cell>
          <cell r="N2410">
            <v>0</v>
          </cell>
          <cell r="O2410">
            <v>1056.19</v>
          </cell>
        </row>
        <row r="2411">
          <cell r="A2411" t="str">
            <v>12</v>
          </cell>
          <cell r="B2411" t="str">
            <v>11</v>
          </cell>
          <cell r="C2411" t="str">
            <v>记-0030</v>
          </cell>
          <cell r="D2411" t="str">
            <v>177</v>
          </cell>
          <cell r="E2411" t="str">
            <v>当归碎</v>
          </cell>
          <cell r="F2411" t="str">
            <v>结转成本</v>
          </cell>
          <cell r="G2411">
            <v>0.21124000000000001</v>
          </cell>
          <cell r="H2411">
            <v>0</v>
          </cell>
          <cell r="I2411">
            <v>0</v>
          </cell>
          <cell r="J2411">
            <v>5000</v>
          </cell>
          <cell r="K2411">
            <v>1056.19</v>
          </cell>
          <cell r="L2411" t="str">
            <v>平</v>
          </cell>
          <cell r="M2411">
            <v>0</v>
          </cell>
          <cell r="N2411">
            <v>0</v>
          </cell>
          <cell r="O2411">
            <v>0</v>
          </cell>
        </row>
        <row r="2412">
          <cell r="A2412" t="str">
            <v>12</v>
          </cell>
          <cell r="F2412" t="str">
            <v>本月合计</v>
          </cell>
          <cell r="G2412">
            <v>0</v>
          </cell>
          <cell r="H2412">
            <v>5000</v>
          </cell>
          <cell r="I2412">
            <v>1056.19</v>
          </cell>
          <cell r="J2412">
            <v>5000</v>
          </cell>
          <cell r="K2412">
            <v>1056.19</v>
          </cell>
          <cell r="L2412" t="str">
            <v>平</v>
          </cell>
          <cell r="M2412">
            <v>0</v>
          </cell>
          <cell r="N2412">
            <v>0</v>
          </cell>
          <cell r="O2412">
            <v>0</v>
          </cell>
        </row>
        <row r="2413">
          <cell r="A2413" t="str">
            <v>12</v>
          </cell>
          <cell r="E2413" t="str">
            <v>当归碎</v>
          </cell>
          <cell r="F2413" t="str">
            <v>本年累计</v>
          </cell>
          <cell r="G2413">
            <v>0</v>
          </cell>
          <cell r="H2413">
            <v>5040</v>
          </cell>
          <cell r="I2413">
            <v>1255.5999999999999</v>
          </cell>
          <cell r="J2413">
            <v>5040</v>
          </cell>
          <cell r="K2413">
            <v>1255.5999999999999</v>
          </cell>
          <cell r="L2413" t="str">
            <v>平</v>
          </cell>
          <cell r="M2413">
            <v>0</v>
          </cell>
          <cell r="N2413">
            <v>0</v>
          </cell>
          <cell r="O2413">
            <v>0</v>
          </cell>
        </row>
        <row r="2414">
          <cell r="A2414" t="str">
            <v>03</v>
          </cell>
          <cell r="B2414" t="str">
            <v>31</v>
          </cell>
          <cell r="C2414" t="str">
            <v>记-0055</v>
          </cell>
          <cell r="D2414" t="str">
            <v>178</v>
          </cell>
          <cell r="E2414" t="str">
            <v>非标乙草</v>
          </cell>
          <cell r="F2414" t="str">
            <v>收购产品</v>
          </cell>
          <cell r="G2414">
            <v>15.66</v>
          </cell>
          <cell r="H2414">
            <v>2888</v>
          </cell>
          <cell r="I2414">
            <v>45226.080000000002</v>
          </cell>
          <cell r="J2414">
            <v>0</v>
          </cell>
          <cell r="K2414">
            <v>0</v>
          </cell>
          <cell r="L2414" t="str">
            <v>借</v>
          </cell>
          <cell r="M2414">
            <v>2888</v>
          </cell>
          <cell r="N2414">
            <v>0</v>
          </cell>
          <cell r="O2414">
            <v>45226.080000000002</v>
          </cell>
        </row>
        <row r="2415">
          <cell r="A2415" t="str">
            <v>03</v>
          </cell>
          <cell r="F2415" t="str">
            <v>本月合计</v>
          </cell>
          <cell r="G2415">
            <v>0</v>
          </cell>
          <cell r="H2415">
            <v>2888</v>
          </cell>
          <cell r="I2415">
            <v>45226.080000000002</v>
          </cell>
          <cell r="J2415">
            <v>0</v>
          </cell>
          <cell r="K2415">
            <v>0</v>
          </cell>
          <cell r="L2415" t="str">
            <v>借</v>
          </cell>
          <cell r="M2415">
            <v>2888</v>
          </cell>
          <cell r="N2415">
            <v>15.66</v>
          </cell>
          <cell r="O2415">
            <v>45226.080000000002</v>
          </cell>
        </row>
        <row r="2416">
          <cell r="A2416" t="str">
            <v>03</v>
          </cell>
          <cell r="F2416" t="str">
            <v>累    计</v>
          </cell>
          <cell r="G2416">
            <v>0</v>
          </cell>
          <cell r="H2416">
            <v>2888</v>
          </cell>
          <cell r="I2416">
            <v>45226.080000000002</v>
          </cell>
          <cell r="J2416">
            <v>0</v>
          </cell>
          <cell r="K2416">
            <v>0</v>
          </cell>
          <cell r="L2416" t="str">
            <v>借</v>
          </cell>
          <cell r="M2416">
            <v>2888</v>
          </cell>
          <cell r="N2416">
            <v>15.66</v>
          </cell>
          <cell r="O2416">
            <v>45226.080000000002</v>
          </cell>
        </row>
        <row r="2417">
          <cell r="A2417" t="str">
            <v>10</v>
          </cell>
          <cell r="B2417" t="str">
            <v>22</v>
          </cell>
          <cell r="C2417" t="str">
            <v>记-0036</v>
          </cell>
          <cell r="D2417" t="str">
            <v>178</v>
          </cell>
          <cell r="E2417" t="str">
            <v>非标乙草</v>
          </cell>
          <cell r="F2417" t="str">
            <v>结转成本</v>
          </cell>
          <cell r="G2417">
            <v>15.66</v>
          </cell>
          <cell r="H2417">
            <v>0</v>
          </cell>
          <cell r="I2417">
            <v>0</v>
          </cell>
          <cell r="J2417">
            <v>2519.5</v>
          </cell>
          <cell r="K2417">
            <v>39455.370000000003</v>
          </cell>
          <cell r="L2417" t="str">
            <v>借</v>
          </cell>
          <cell r="M2417">
            <v>368.5</v>
          </cell>
          <cell r="N2417">
            <v>0</v>
          </cell>
          <cell r="O2417">
            <v>5770.71</v>
          </cell>
        </row>
        <row r="2418">
          <cell r="A2418" t="str">
            <v>10</v>
          </cell>
          <cell r="F2418" t="str">
            <v>本月合计</v>
          </cell>
          <cell r="G2418">
            <v>0</v>
          </cell>
          <cell r="H2418">
            <v>0</v>
          </cell>
          <cell r="I2418">
            <v>0</v>
          </cell>
          <cell r="J2418">
            <v>2519.5</v>
          </cell>
          <cell r="K2418">
            <v>39455.370000000003</v>
          </cell>
          <cell r="L2418" t="str">
            <v>借</v>
          </cell>
          <cell r="M2418">
            <v>368.5</v>
          </cell>
          <cell r="N2418">
            <v>15.66</v>
          </cell>
          <cell r="O2418">
            <v>5770.71</v>
          </cell>
        </row>
        <row r="2419">
          <cell r="A2419" t="str">
            <v>10</v>
          </cell>
          <cell r="F2419" t="str">
            <v>累    计</v>
          </cell>
          <cell r="G2419">
            <v>0</v>
          </cell>
          <cell r="H2419">
            <v>2888</v>
          </cell>
          <cell r="I2419">
            <v>45226.080000000002</v>
          </cell>
          <cell r="J2419">
            <v>2519.5</v>
          </cell>
          <cell r="K2419">
            <v>39455.370000000003</v>
          </cell>
          <cell r="L2419" t="str">
            <v>借</v>
          </cell>
          <cell r="M2419">
            <v>368.5</v>
          </cell>
          <cell r="N2419">
            <v>15.66</v>
          </cell>
          <cell r="O2419">
            <v>5770.71</v>
          </cell>
        </row>
        <row r="2420">
          <cell r="A2420" t="str">
            <v>12</v>
          </cell>
          <cell r="B2420" t="str">
            <v>11</v>
          </cell>
          <cell r="C2420" t="str">
            <v>记-0126</v>
          </cell>
          <cell r="D2420" t="str">
            <v>178</v>
          </cell>
          <cell r="E2420" t="str">
            <v>非标乙草</v>
          </cell>
          <cell r="F2420" t="str">
            <v>结转成本</v>
          </cell>
          <cell r="G2420">
            <v>15.66</v>
          </cell>
          <cell r="H2420">
            <v>0</v>
          </cell>
          <cell r="I2420">
            <v>0</v>
          </cell>
          <cell r="J2420">
            <v>368.5</v>
          </cell>
          <cell r="K2420">
            <v>5770.71</v>
          </cell>
          <cell r="L2420" t="str">
            <v>平</v>
          </cell>
          <cell r="M2420">
            <v>0</v>
          </cell>
          <cell r="N2420">
            <v>0</v>
          </cell>
          <cell r="O2420">
            <v>0</v>
          </cell>
        </row>
        <row r="2421">
          <cell r="A2421" t="str">
            <v>12</v>
          </cell>
          <cell r="F2421" t="str">
            <v>本月合计</v>
          </cell>
          <cell r="G2421">
            <v>0</v>
          </cell>
          <cell r="H2421">
            <v>0</v>
          </cell>
          <cell r="I2421">
            <v>0</v>
          </cell>
          <cell r="J2421">
            <v>368.5</v>
          </cell>
          <cell r="K2421">
            <v>5770.71</v>
          </cell>
          <cell r="L2421" t="str">
            <v>平</v>
          </cell>
          <cell r="M2421">
            <v>0</v>
          </cell>
          <cell r="N2421">
            <v>0</v>
          </cell>
          <cell r="O2421">
            <v>0</v>
          </cell>
        </row>
        <row r="2422">
          <cell r="A2422" t="str">
            <v>12</v>
          </cell>
          <cell r="E2422" t="str">
            <v>非标乙草</v>
          </cell>
          <cell r="F2422" t="str">
            <v>本年累计</v>
          </cell>
          <cell r="G2422">
            <v>0</v>
          </cell>
          <cell r="H2422">
            <v>2888</v>
          </cell>
          <cell r="I2422">
            <v>45226.080000000002</v>
          </cell>
          <cell r="J2422">
            <v>2888</v>
          </cell>
          <cell r="K2422">
            <v>45226.080000000002</v>
          </cell>
          <cell r="L2422" t="str">
            <v>平</v>
          </cell>
          <cell r="M2422">
            <v>0</v>
          </cell>
          <cell r="N2422">
            <v>0</v>
          </cell>
          <cell r="O2422">
            <v>0</v>
          </cell>
        </row>
        <row r="2423">
          <cell r="A2423" t="str">
            <v>07</v>
          </cell>
          <cell r="B2423" t="str">
            <v>22</v>
          </cell>
          <cell r="C2423" t="str">
            <v>记-0047</v>
          </cell>
          <cell r="D2423" t="str">
            <v>180</v>
          </cell>
          <cell r="E2423" t="str">
            <v>黄燕条</v>
          </cell>
          <cell r="F2423" t="str">
            <v>结转成本</v>
          </cell>
          <cell r="G2423">
            <v>16.89912</v>
          </cell>
          <cell r="H2423">
            <v>0</v>
          </cell>
          <cell r="I2423">
            <v>0</v>
          </cell>
          <cell r="J2423">
            <v>500</v>
          </cell>
          <cell r="K2423">
            <v>8449.56</v>
          </cell>
          <cell r="L2423" t="str">
            <v>贷</v>
          </cell>
          <cell r="M2423">
            <v>500</v>
          </cell>
          <cell r="N2423">
            <v>0</v>
          </cell>
          <cell r="O2423">
            <v>8449.56</v>
          </cell>
        </row>
        <row r="2424">
          <cell r="A2424" t="str">
            <v>07</v>
          </cell>
          <cell r="B2424" t="str">
            <v>22</v>
          </cell>
          <cell r="C2424" t="str">
            <v>记-0058</v>
          </cell>
          <cell r="D2424" t="str">
            <v>180</v>
          </cell>
          <cell r="E2424" t="str">
            <v>黄燕条</v>
          </cell>
          <cell r="F2424" t="str">
            <v>收购产品</v>
          </cell>
          <cell r="G2424">
            <v>16.89912</v>
          </cell>
          <cell r="H2424">
            <v>500</v>
          </cell>
          <cell r="I2424">
            <v>8449.56</v>
          </cell>
          <cell r="J2424">
            <v>0</v>
          </cell>
          <cell r="K2424">
            <v>0</v>
          </cell>
          <cell r="L2424" t="str">
            <v>平</v>
          </cell>
          <cell r="M2424">
            <v>0</v>
          </cell>
          <cell r="N2424">
            <v>0</v>
          </cell>
          <cell r="O2424">
            <v>0</v>
          </cell>
        </row>
        <row r="2425">
          <cell r="A2425" t="str">
            <v>07</v>
          </cell>
          <cell r="F2425" t="str">
            <v>本月合计</v>
          </cell>
          <cell r="G2425">
            <v>0</v>
          </cell>
          <cell r="H2425">
            <v>500</v>
          </cell>
          <cell r="I2425">
            <v>8449.56</v>
          </cell>
          <cell r="J2425">
            <v>500</v>
          </cell>
          <cell r="K2425">
            <v>8449.56</v>
          </cell>
          <cell r="L2425" t="str">
            <v>平</v>
          </cell>
          <cell r="M2425">
            <v>0</v>
          </cell>
          <cell r="N2425">
            <v>0</v>
          </cell>
          <cell r="O2425">
            <v>0</v>
          </cell>
        </row>
        <row r="2426">
          <cell r="A2426" t="str">
            <v>07</v>
          </cell>
          <cell r="E2426" t="str">
            <v>黄燕条</v>
          </cell>
          <cell r="F2426" t="str">
            <v>本年累计</v>
          </cell>
          <cell r="G2426">
            <v>0</v>
          </cell>
          <cell r="H2426">
            <v>500</v>
          </cell>
          <cell r="I2426">
            <v>8449.56</v>
          </cell>
          <cell r="J2426">
            <v>500</v>
          </cell>
          <cell r="K2426">
            <v>8449.56</v>
          </cell>
          <cell r="L2426" t="str">
            <v>平</v>
          </cell>
          <cell r="M2426">
            <v>0</v>
          </cell>
          <cell r="N2426">
            <v>0</v>
          </cell>
          <cell r="O2426">
            <v>0</v>
          </cell>
        </row>
        <row r="2427">
          <cell r="A2427" t="str">
            <v>04</v>
          </cell>
          <cell r="B2427" t="str">
            <v>30</v>
          </cell>
          <cell r="C2427" t="str">
            <v>记-0032</v>
          </cell>
          <cell r="D2427" t="str">
            <v>181</v>
          </cell>
          <cell r="E2427" t="str">
            <v>高丽参</v>
          </cell>
          <cell r="F2427" t="str">
            <v>收购产品</v>
          </cell>
          <cell r="G2427">
            <v>432.30540999999999</v>
          </cell>
          <cell r="H2427">
            <v>7.4</v>
          </cell>
          <cell r="I2427">
            <v>3199.06</v>
          </cell>
          <cell r="J2427">
            <v>0</v>
          </cell>
          <cell r="K2427">
            <v>0</v>
          </cell>
          <cell r="L2427" t="str">
            <v>借</v>
          </cell>
          <cell r="M2427">
            <v>7.4</v>
          </cell>
          <cell r="N2427">
            <v>0</v>
          </cell>
          <cell r="O2427">
            <v>3199.06</v>
          </cell>
        </row>
        <row r="2428">
          <cell r="A2428" t="str">
            <v>04</v>
          </cell>
          <cell r="B2428" t="str">
            <v>30</v>
          </cell>
          <cell r="C2428" t="str">
            <v>记-0050</v>
          </cell>
          <cell r="D2428" t="str">
            <v>181</v>
          </cell>
          <cell r="E2428" t="str">
            <v>高丽参</v>
          </cell>
          <cell r="F2428" t="str">
            <v>转成本</v>
          </cell>
          <cell r="G2428">
            <v>432.30540999999999</v>
          </cell>
          <cell r="H2428">
            <v>0</v>
          </cell>
          <cell r="I2428">
            <v>0</v>
          </cell>
          <cell r="J2428">
            <v>7.4</v>
          </cell>
          <cell r="K2428">
            <v>3199.06</v>
          </cell>
          <cell r="L2428" t="str">
            <v>平</v>
          </cell>
          <cell r="M2428">
            <v>0</v>
          </cell>
          <cell r="N2428">
            <v>0</v>
          </cell>
          <cell r="O2428">
            <v>0</v>
          </cell>
        </row>
        <row r="2429">
          <cell r="A2429" t="str">
            <v>04</v>
          </cell>
          <cell r="F2429" t="str">
            <v>本月合计</v>
          </cell>
          <cell r="G2429">
            <v>0</v>
          </cell>
          <cell r="H2429">
            <v>7.4</v>
          </cell>
          <cell r="I2429">
            <v>3199.06</v>
          </cell>
          <cell r="J2429">
            <v>7.4</v>
          </cell>
          <cell r="K2429">
            <v>3199.06</v>
          </cell>
          <cell r="L2429" t="str">
            <v>平</v>
          </cell>
          <cell r="M2429">
            <v>0</v>
          </cell>
          <cell r="N2429">
            <v>0</v>
          </cell>
          <cell r="O2429">
            <v>0</v>
          </cell>
        </row>
        <row r="2430">
          <cell r="A2430" t="str">
            <v>04</v>
          </cell>
          <cell r="F2430" t="str">
            <v>累    计</v>
          </cell>
          <cell r="G2430">
            <v>0</v>
          </cell>
          <cell r="H2430">
            <v>7.4</v>
          </cell>
          <cell r="I2430">
            <v>3199.06</v>
          </cell>
          <cell r="J2430">
            <v>7.4</v>
          </cell>
          <cell r="K2430">
            <v>3199.06</v>
          </cell>
          <cell r="L2430" t="str">
            <v>平</v>
          </cell>
          <cell r="M2430">
            <v>0</v>
          </cell>
          <cell r="N2430">
            <v>0</v>
          </cell>
          <cell r="O2430">
            <v>0</v>
          </cell>
        </row>
        <row r="2431">
          <cell r="A2431" t="str">
            <v>07</v>
          </cell>
          <cell r="B2431" t="str">
            <v>22</v>
          </cell>
          <cell r="C2431" t="str">
            <v>记-0048</v>
          </cell>
          <cell r="D2431" t="str">
            <v>181</v>
          </cell>
          <cell r="E2431" t="str">
            <v>高丽参</v>
          </cell>
          <cell r="F2431" t="str">
            <v>结转成本</v>
          </cell>
          <cell r="G2431">
            <v>27.88353</v>
          </cell>
          <cell r="H2431">
            <v>0</v>
          </cell>
          <cell r="I2431">
            <v>0</v>
          </cell>
          <cell r="J2431">
            <v>1200</v>
          </cell>
          <cell r="K2431">
            <v>33460.239999999998</v>
          </cell>
          <cell r="L2431" t="str">
            <v>贷</v>
          </cell>
          <cell r="M2431">
            <v>1200</v>
          </cell>
          <cell r="N2431">
            <v>0</v>
          </cell>
          <cell r="O2431">
            <v>33460.239999999998</v>
          </cell>
        </row>
        <row r="2432">
          <cell r="A2432" t="str">
            <v>07</v>
          </cell>
          <cell r="B2432" t="str">
            <v>22</v>
          </cell>
          <cell r="C2432" t="str">
            <v>记-0048</v>
          </cell>
          <cell r="D2432" t="str">
            <v>181</v>
          </cell>
          <cell r="E2432" t="str">
            <v>高丽参</v>
          </cell>
          <cell r="F2432" t="str">
            <v>结转成本</v>
          </cell>
          <cell r="G2432">
            <v>14.36425</v>
          </cell>
          <cell r="H2432">
            <v>0</v>
          </cell>
          <cell r="I2432">
            <v>0</v>
          </cell>
          <cell r="J2432">
            <v>2250</v>
          </cell>
          <cell r="K2432">
            <v>32319.56</v>
          </cell>
          <cell r="L2432" t="str">
            <v>贷</v>
          </cell>
          <cell r="M2432">
            <v>3450</v>
          </cell>
          <cell r="N2432">
            <v>0</v>
          </cell>
          <cell r="O2432">
            <v>65779.8</v>
          </cell>
        </row>
        <row r="2433">
          <cell r="A2433" t="str">
            <v>07</v>
          </cell>
          <cell r="B2433" t="str">
            <v>22</v>
          </cell>
          <cell r="C2433" t="str">
            <v>记-0048</v>
          </cell>
          <cell r="D2433" t="str">
            <v>181</v>
          </cell>
          <cell r="E2433" t="str">
            <v>高丽参</v>
          </cell>
          <cell r="F2433" t="str">
            <v>结转成本</v>
          </cell>
          <cell r="G2433">
            <v>10.98443</v>
          </cell>
          <cell r="H2433">
            <v>0</v>
          </cell>
          <cell r="I2433">
            <v>0</v>
          </cell>
          <cell r="J2433">
            <v>6300</v>
          </cell>
          <cell r="K2433">
            <v>69201.88</v>
          </cell>
          <cell r="L2433" t="str">
            <v>贷</v>
          </cell>
          <cell r="M2433">
            <v>9750</v>
          </cell>
          <cell r="N2433">
            <v>0</v>
          </cell>
          <cell r="O2433">
            <v>134981.68</v>
          </cell>
        </row>
        <row r="2434">
          <cell r="A2434" t="str">
            <v>07</v>
          </cell>
          <cell r="B2434" t="str">
            <v>22</v>
          </cell>
          <cell r="C2434" t="str">
            <v>记-0048</v>
          </cell>
          <cell r="D2434" t="str">
            <v>181</v>
          </cell>
          <cell r="E2434" t="str">
            <v>高丽参</v>
          </cell>
          <cell r="F2434" t="str">
            <v>结转成本</v>
          </cell>
          <cell r="G2434">
            <v>8.11158</v>
          </cell>
          <cell r="H2434">
            <v>0</v>
          </cell>
          <cell r="I2434">
            <v>0</v>
          </cell>
          <cell r="J2434">
            <v>9337</v>
          </cell>
          <cell r="K2434">
            <v>75737.78</v>
          </cell>
          <cell r="L2434" t="str">
            <v>贷</v>
          </cell>
          <cell r="M2434">
            <v>19087</v>
          </cell>
          <cell r="N2434">
            <v>0</v>
          </cell>
          <cell r="O2434">
            <v>210719.46</v>
          </cell>
        </row>
        <row r="2435">
          <cell r="A2435" t="str">
            <v>07</v>
          </cell>
          <cell r="B2435" t="str">
            <v>22</v>
          </cell>
          <cell r="C2435" t="str">
            <v>记-0048</v>
          </cell>
          <cell r="D2435" t="str">
            <v>181</v>
          </cell>
          <cell r="E2435" t="str">
            <v>高丽参</v>
          </cell>
          <cell r="F2435" t="str">
            <v>结转成本</v>
          </cell>
          <cell r="G2435">
            <v>8.2805700000000009</v>
          </cell>
          <cell r="H2435">
            <v>0</v>
          </cell>
          <cell r="I2435">
            <v>0</v>
          </cell>
          <cell r="J2435">
            <v>1500</v>
          </cell>
          <cell r="K2435">
            <v>12420.85</v>
          </cell>
          <cell r="L2435" t="str">
            <v>贷</v>
          </cell>
          <cell r="M2435">
            <v>20587</v>
          </cell>
          <cell r="N2435">
            <v>0</v>
          </cell>
          <cell r="O2435">
            <v>223140.31</v>
          </cell>
        </row>
        <row r="2436">
          <cell r="A2436" t="str">
            <v>07</v>
          </cell>
          <cell r="B2436" t="str">
            <v>22</v>
          </cell>
          <cell r="C2436" t="str">
            <v>记-0048</v>
          </cell>
          <cell r="D2436" t="str">
            <v>181</v>
          </cell>
          <cell r="E2436" t="str">
            <v>高丽参</v>
          </cell>
          <cell r="F2436" t="str">
            <v>结转成本</v>
          </cell>
          <cell r="G2436">
            <v>7.2666199999999996</v>
          </cell>
          <cell r="H2436">
            <v>0</v>
          </cell>
          <cell r="I2436">
            <v>0</v>
          </cell>
          <cell r="J2436">
            <v>3600</v>
          </cell>
          <cell r="K2436">
            <v>26159.83</v>
          </cell>
          <cell r="L2436" t="str">
            <v>贷</v>
          </cell>
          <cell r="M2436">
            <v>24187</v>
          </cell>
          <cell r="N2436">
            <v>0</v>
          </cell>
          <cell r="O2436">
            <v>249300.14</v>
          </cell>
        </row>
        <row r="2437">
          <cell r="A2437" t="str">
            <v>07</v>
          </cell>
          <cell r="B2437" t="str">
            <v>22</v>
          </cell>
          <cell r="C2437" t="str">
            <v>记-0048</v>
          </cell>
          <cell r="D2437" t="str">
            <v>181</v>
          </cell>
          <cell r="E2437" t="str">
            <v>高丽参</v>
          </cell>
          <cell r="F2437" t="str">
            <v>结转成本</v>
          </cell>
          <cell r="G2437">
            <v>6.2526700000000002</v>
          </cell>
          <cell r="H2437">
            <v>0</v>
          </cell>
          <cell r="I2437">
            <v>0</v>
          </cell>
          <cell r="J2437">
            <v>3675</v>
          </cell>
          <cell r="K2437">
            <v>22978.57</v>
          </cell>
          <cell r="L2437" t="str">
            <v>贷</v>
          </cell>
          <cell r="M2437">
            <v>27862</v>
          </cell>
          <cell r="N2437">
            <v>0</v>
          </cell>
          <cell r="O2437">
            <v>272278.71000000002</v>
          </cell>
        </row>
        <row r="2438">
          <cell r="A2438" t="str">
            <v>07</v>
          </cell>
          <cell r="B2438" t="str">
            <v>22</v>
          </cell>
          <cell r="C2438" t="str">
            <v>记-0048</v>
          </cell>
          <cell r="D2438" t="str">
            <v>181</v>
          </cell>
          <cell r="E2438" t="str">
            <v>高丽参</v>
          </cell>
          <cell r="F2438" t="str">
            <v>结转成本</v>
          </cell>
          <cell r="G2438">
            <v>4.9007399999999999</v>
          </cell>
          <cell r="H2438">
            <v>0</v>
          </cell>
          <cell r="I2438">
            <v>0</v>
          </cell>
          <cell r="J2438">
            <v>6300</v>
          </cell>
          <cell r="K2438">
            <v>30874.68</v>
          </cell>
          <cell r="L2438" t="str">
            <v>贷</v>
          </cell>
          <cell r="M2438">
            <v>34162</v>
          </cell>
          <cell r="N2438">
            <v>0</v>
          </cell>
          <cell r="O2438">
            <v>303153.39</v>
          </cell>
        </row>
        <row r="2439">
          <cell r="A2439" t="str">
            <v>07</v>
          </cell>
          <cell r="B2439" t="str">
            <v>22</v>
          </cell>
          <cell r="C2439" t="str">
            <v>记-0048</v>
          </cell>
          <cell r="D2439" t="str">
            <v>181</v>
          </cell>
          <cell r="E2439" t="str">
            <v>高丽参</v>
          </cell>
          <cell r="F2439" t="str">
            <v>结转成本</v>
          </cell>
          <cell r="G2439">
            <v>4.5627599999999999</v>
          </cell>
          <cell r="H2439">
            <v>0</v>
          </cell>
          <cell r="I2439">
            <v>0</v>
          </cell>
          <cell r="J2439">
            <v>6820</v>
          </cell>
          <cell r="K2439">
            <v>31118.03</v>
          </cell>
          <cell r="L2439" t="str">
            <v>贷</v>
          </cell>
          <cell r="M2439">
            <v>40982</v>
          </cell>
          <cell r="N2439">
            <v>0</v>
          </cell>
          <cell r="O2439">
            <v>334271.42</v>
          </cell>
        </row>
        <row r="2440">
          <cell r="A2440" t="str">
            <v>07</v>
          </cell>
          <cell r="B2440" t="str">
            <v>22</v>
          </cell>
          <cell r="C2440" t="str">
            <v>记-0048</v>
          </cell>
          <cell r="D2440" t="str">
            <v>181</v>
          </cell>
          <cell r="E2440" t="str">
            <v>高丽参</v>
          </cell>
          <cell r="F2440" t="str">
            <v>结转成本</v>
          </cell>
          <cell r="G2440">
            <v>4.4782700000000002</v>
          </cell>
          <cell r="H2440">
            <v>0</v>
          </cell>
          <cell r="I2440">
            <v>0</v>
          </cell>
          <cell r="J2440">
            <v>6000</v>
          </cell>
          <cell r="K2440">
            <v>26869.59</v>
          </cell>
          <cell r="L2440" t="str">
            <v>贷</v>
          </cell>
          <cell r="M2440">
            <v>46982</v>
          </cell>
          <cell r="N2440">
            <v>0</v>
          </cell>
          <cell r="O2440">
            <v>361141.01</v>
          </cell>
        </row>
        <row r="2441">
          <cell r="A2441" t="str">
            <v>07</v>
          </cell>
          <cell r="B2441" t="str">
            <v>22</v>
          </cell>
          <cell r="C2441" t="str">
            <v>记-0048</v>
          </cell>
          <cell r="D2441" t="str">
            <v>181</v>
          </cell>
          <cell r="E2441" t="str">
            <v>高丽参</v>
          </cell>
          <cell r="F2441" t="str">
            <v>结转成本</v>
          </cell>
          <cell r="G2441">
            <v>4.22478</v>
          </cell>
          <cell r="H2441">
            <v>0</v>
          </cell>
          <cell r="I2441">
            <v>0</v>
          </cell>
          <cell r="J2441">
            <v>9467.7999999999993</v>
          </cell>
          <cell r="K2441">
            <v>39999.360000000001</v>
          </cell>
          <cell r="L2441" t="str">
            <v>贷</v>
          </cell>
          <cell r="M2441">
            <v>56449.8</v>
          </cell>
          <cell r="N2441">
            <v>0</v>
          </cell>
          <cell r="O2441">
            <v>401140.37</v>
          </cell>
        </row>
        <row r="2442">
          <cell r="A2442" t="str">
            <v>07</v>
          </cell>
          <cell r="B2442" t="str">
            <v>22</v>
          </cell>
          <cell r="C2442" t="str">
            <v>记-0050</v>
          </cell>
          <cell r="D2442" t="str">
            <v>181</v>
          </cell>
          <cell r="E2442" t="str">
            <v>高丽参</v>
          </cell>
          <cell r="F2442" t="str">
            <v>结转成本</v>
          </cell>
          <cell r="G2442">
            <v>432.30500000000001</v>
          </cell>
          <cell r="H2442">
            <v>0</v>
          </cell>
          <cell r="I2442">
            <v>0</v>
          </cell>
          <cell r="J2442">
            <v>10</v>
          </cell>
          <cell r="K2442">
            <v>4323.05</v>
          </cell>
          <cell r="L2442" t="str">
            <v>贷</v>
          </cell>
          <cell r="M2442">
            <v>56459.8</v>
          </cell>
          <cell r="N2442">
            <v>0</v>
          </cell>
          <cell r="O2442">
            <v>405463.42</v>
          </cell>
        </row>
        <row r="2443">
          <cell r="A2443" t="str">
            <v>07</v>
          </cell>
          <cell r="B2443" t="str">
            <v>22</v>
          </cell>
          <cell r="C2443" t="str">
            <v>记-0050</v>
          </cell>
          <cell r="D2443" t="str">
            <v>181</v>
          </cell>
          <cell r="E2443" t="str">
            <v>高丽参</v>
          </cell>
          <cell r="F2443" t="str">
            <v>结转成本</v>
          </cell>
          <cell r="G2443">
            <v>180.12875</v>
          </cell>
          <cell r="H2443">
            <v>0</v>
          </cell>
          <cell r="I2443">
            <v>0</v>
          </cell>
          <cell r="J2443">
            <v>8</v>
          </cell>
          <cell r="K2443">
            <v>1441.03</v>
          </cell>
          <cell r="L2443" t="str">
            <v>贷</v>
          </cell>
          <cell r="M2443">
            <v>56467.8</v>
          </cell>
          <cell r="N2443">
            <v>0</v>
          </cell>
          <cell r="O2443">
            <v>406904.45</v>
          </cell>
        </row>
        <row r="2444">
          <cell r="A2444" t="str">
            <v>07</v>
          </cell>
          <cell r="B2444" t="str">
            <v>22</v>
          </cell>
          <cell r="C2444" t="str">
            <v>记-0050</v>
          </cell>
          <cell r="D2444" t="str">
            <v>181</v>
          </cell>
          <cell r="E2444" t="str">
            <v>高丽参</v>
          </cell>
          <cell r="F2444" t="str">
            <v>结转成本</v>
          </cell>
          <cell r="G2444">
            <v>248.41667000000001</v>
          </cell>
          <cell r="H2444">
            <v>0</v>
          </cell>
          <cell r="I2444">
            <v>0</v>
          </cell>
          <cell r="J2444">
            <v>12</v>
          </cell>
          <cell r="K2444">
            <v>2981</v>
          </cell>
          <cell r="L2444" t="str">
            <v>贷</v>
          </cell>
          <cell r="M2444">
            <v>56479.8</v>
          </cell>
          <cell r="N2444">
            <v>0</v>
          </cell>
          <cell r="O2444">
            <v>409885.45</v>
          </cell>
        </row>
        <row r="2445">
          <cell r="A2445" t="str">
            <v>07</v>
          </cell>
          <cell r="B2445" t="str">
            <v>22</v>
          </cell>
          <cell r="C2445" t="str">
            <v>记-0055</v>
          </cell>
          <cell r="D2445" t="str">
            <v>181</v>
          </cell>
          <cell r="E2445" t="str">
            <v>高丽参</v>
          </cell>
          <cell r="F2445" t="str">
            <v>收购产品</v>
          </cell>
          <cell r="G2445">
            <v>432.30500000000001</v>
          </cell>
          <cell r="H2445">
            <v>10</v>
          </cell>
          <cell r="I2445">
            <v>4323.05</v>
          </cell>
          <cell r="J2445">
            <v>0</v>
          </cell>
          <cell r="K2445">
            <v>0</v>
          </cell>
          <cell r="L2445" t="str">
            <v>贷</v>
          </cell>
          <cell r="M2445">
            <v>56469.8</v>
          </cell>
          <cell r="N2445">
            <v>0</v>
          </cell>
          <cell r="O2445">
            <v>405562.4</v>
          </cell>
        </row>
        <row r="2446">
          <cell r="A2446" t="str">
            <v>07</v>
          </cell>
          <cell r="B2446" t="str">
            <v>22</v>
          </cell>
          <cell r="C2446" t="str">
            <v>记-0055</v>
          </cell>
          <cell r="D2446" t="str">
            <v>181</v>
          </cell>
          <cell r="E2446" t="str">
            <v>高丽参</v>
          </cell>
          <cell r="F2446" t="str">
            <v>收购产品</v>
          </cell>
          <cell r="G2446">
            <v>180.12875</v>
          </cell>
          <cell r="H2446">
            <v>8</v>
          </cell>
          <cell r="I2446">
            <v>1441.03</v>
          </cell>
          <cell r="J2446">
            <v>0</v>
          </cell>
          <cell r="K2446">
            <v>0</v>
          </cell>
          <cell r="L2446" t="str">
            <v>贷</v>
          </cell>
          <cell r="M2446">
            <v>56461.8</v>
          </cell>
          <cell r="N2446">
            <v>0</v>
          </cell>
          <cell r="O2446">
            <v>404121.37</v>
          </cell>
        </row>
        <row r="2447">
          <cell r="A2447" t="str">
            <v>07</v>
          </cell>
          <cell r="B2447" t="str">
            <v>22</v>
          </cell>
          <cell r="C2447" t="str">
            <v>记-0055</v>
          </cell>
          <cell r="D2447" t="str">
            <v>181</v>
          </cell>
          <cell r="E2447" t="str">
            <v>高丽参</v>
          </cell>
          <cell r="F2447" t="str">
            <v>收购产品</v>
          </cell>
          <cell r="G2447">
            <v>248.41667000000001</v>
          </cell>
          <cell r="H2447">
            <v>12</v>
          </cell>
          <cell r="I2447">
            <v>2981</v>
          </cell>
          <cell r="J2447">
            <v>0</v>
          </cell>
          <cell r="K2447">
            <v>0</v>
          </cell>
          <cell r="L2447" t="str">
            <v>贷</v>
          </cell>
          <cell r="M2447">
            <v>56449.8</v>
          </cell>
          <cell r="N2447">
            <v>0</v>
          </cell>
          <cell r="O2447">
            <v>401140.37</v>
          </cell>
        </row>
        <row r="2448">
          <cell r="A2448" t="str">
            <v>07</v>
          </cell>
          <cell r="B2448" t="str">
            <v>22</v>
          </cell>
          <cell r="C2448" t="str">
            <v>记-0057</v>
          </cell>
          <cell r="D2448" t="str">
            <v>181</v>
          </cell>
          <cell r="E2448" t="str">
            <v>高丽参</v>
          </cell>
          <cell r="F2448" t="str">
            <v>收购产品</v>
          </cell>
          <cell r="G2448">
            <v>27.88353</v>
          </cell>
          <cell r="H2448">
            <v>1200</v>
          </cell>
          <cell r="I2448">
            <v>33460.239999999998</v>
          </cell>
          <cell r="J2448">
            <v>0</v>
          </cell>
          <cell r="K2448">
            <v>0</v>
          </cell>
          <cell r="L2448" t="str">
            <v>贷</v>
          </cell>
          <cell r="M2448">
            <v>55249.8</v>
          </cell>
          <cell r="N2448">
            <v>0</v>
          </cell>
          <cell r="O2448">
            <v>367680.13</v>
          </cell>
        </row>
        <row r="2449">
          <cell r="A2449" t="str">
            <v>07</v>
          </cell>
          <cell r="B2449" t="str">
            <v>22</v>
          </cell>
          <cell r="C2449" t="str">
            <v>记-0057</v>
          </cell>
          <cell r="D2449" t="str">
            <v>181</v>
          </cell>
          <cell r="E2449" t="str">
            <v>高丽参</v>
          </cell>
          <cell r="F2449" t="str">
            <v>收购产品</v>
          </cell>
          <cell r="G2449">
            <v>14.36425</v>
          </cell>
          <cell r="H2449">
            <v>2250</v>
          </cell>
          <cell r="I2449">
            <v>32319.56</v>
          </cell>
          <cell r="J2449">
            <v>0</v>
          </cell>
          <cell r="K2449">
            <v>0</v>
          </cell>
          <cell r="L2449" t="str">
            <v>贷</v>
          </cell>
          <cell r="M2449">
            <v>52999.8</v>
          </cell>
          <cell r="N2449">
            <v>0</v>
          </cell>
          <cell r="O2449">
            <v>335360.57</v>
          </cell>
        </row>
        <row r="2450">
          <cell r="A2450" t="str">
            <v>07</v>
          </cell>
          <cell r="B2450" t="str">
            <v>22</v>
          </cell>
          <cell r="C2450" t="str">
            <v>记-0057</v>
          </cell>
          <cell r="D2450" t="str">
            <v>181</v>
          </cell>
          <cell r="E2450" t="str">
            <v>高丽参</v>
          </cell>
          <cell r="F2450" t="str">
            <v>收购产品</v>
          </cell>
          <cell r="G2450">
            <v>10.98443</v>
          </cell>
          <cell r="H2450">
            <v>6300</v>
          </cell>
          <cell r="I2450">
            <v>69201.88</v>
          </cell>
          <cell r="J2450">
            <v>0</v>
          </cell>
          <cell r="K2450">
            <v>0</v>
          </cell>
          <cell r="L2450" t="str">
            <v>贷</v>
          </cell>
          <cell r="M2450">
            <v>46699.8</v>
          </cell>
          <cell r="N2450">
            <v>0</v>
          </cell>
          <cell r="O2450">
            <v>266158.69</v>
          </cell>
        </row>
        <row r="2451">
          <cell r="A2451" t="str">
            <v>07</v>
          </cell>
          <cell r="B2451" t="str">
            <v>22</v>
          </cell>
          <cell r="C2451" t="str">
            <v>记-0057</v>
          </cell>
          <cell r="D2451" t="str">
            <v>181</v>
          </cell>
          <cell r="E2451" t="str">
            <v>高丽参</v>
          </cell>
          <cell r="F2451" t="str">
            <v>收购产品</v>
          </cell>
          <cell r="G2451">
            <v>8.11158</v>
          </cell>
          <cell r="H2451">
            <v>9337</v>
          </cell>
          <cell r="I2451">
            <v>75737.78</v>
          </cell>
          <cell r="J2451">
            <v>0</v>
          </cell>
          <cell r="K2451">
            <v>0</v>
          </cell>
          <cell r="L2451" t="str">
            <v>贷</v>
          </cell>
          <cell r="M2451">
            <v>37362.800000000003</v>
          </cell>
          <cell r="N2451">
            <v>0</v>
          </cell>
          <cell r="O2451">
            <v>190420.91</v>
          </cell>
        </row>
        <row r="2452">
          <cell r="A2452" t="str">
            <v>07</v>
          </cell>
          <cell r="B2452" t="str">
            <v>22</v>
          </cell>
          <cell r="C2452" t="str">
            <v>记-0057</v>
          </cell>
          <cell r="D2452" t="str">
            <v>181</v>
          </cell>
          <cell r="E2452" t="str">
            <v>高丽参</v>
          </cell>
          <cell r="F2452" t="str">
            <v>收购产品</v>
          </cell>
          <cell r="G2452">
            <v>8.2805700000000009</v>
          </cell>
          <cell r="H2452">
            <v>1500</v>
          </cell>
          <cell r="I2452">
            <v>12420.85</v>
          </cell>
          <cell r="J2452">
            <v>0</v>
          </cell>
          <cell r="K2452">
            <v>0</v>
          </cell>
          <cell r="L2452" t="str">
            <v>贷</v>
          </cell>
          <cell r="M2452">
            <v>35862.800000000003</v>
          </cell>
          <cell r="N2452">
            <v>0</v>
          </cell>
          <cell r="O2452">
            <v>178000.06</v>
          </cell>
        </row>
        <row r="2453">
          <cell r="A2453" t="str">
            <v>07</v>
          </cell>
          <cell r="B2453" t="str">
            <v>22</v>
          </cell>
          <cell r="C2453" t="str">
            <v>记-0057</v>
          </cell>
          <cell r="D2453" t="str">
            <v>181</v>
          </cell>
          <cell r="E2453" t="str">
            <v>高丽参</v>
          </cell>
          <cell r="F2453" t="str">
            <v>收购产品</v>
          </cell>
          <cell r="G2453">
            <v>7.2666199999999996</v>
          </cell>
          <cell r="H2453">
            <v>3600</v>
          </cell>
          <cell r="I2453">
            <v>26159.83</v>
          </cell>
          <cell r="J2453">
            <v>0</v>
          </cell>
          <cell r="K2453">
            <v>0</v>
          </cell>
          <cell r="L2453" t="str">
            <v>贷</v>
          </cell>
          <cell r="M2453">
            <v>32262.799999999999</v>
          </cell>
          <cell r="N2453">
            <v>0</v>
          </cell>
          <cell r="O2453">
            <v>151840.23000000001</v>
          </cell>
        </row>
        <row r="2454">
          <cell r="A2454" t="str">
            <v>07</v>
          </cell>
          <cell r="B2454" t="str">
            <v>22</v>
          </cell>
          <cell r="C2454" t="str">
            <v>记-0057</v>
          </cell>
          <cell r="D2454" t="str">
            <v>181</v>
          </cell>
          <cell r="E2454" t="str">
            <v>高丽参</v>
          </cell>
          <cell r="F2454" t="str">
            <v>收购产品</v>
          </cell>
          <cell r="G2454">
            <v>6.2526700000000002</v>
          </cell>
          <cell r="H2454">
            <v>3675</v>
          </cell>
          <cell r="I2454">
            <v>22978.57</v>
          </cell>
          <cell r="J2454">
            <v>0</v>
          </cell>
          <cell r="K2454">
            <v>0</v>
          </cell>
          <cell r="L2454" t="str">
            <v>贷</v>
          </cell>
          <cell r="M2454">
            <v>28587.8</v>
          </cell>
          <cell r="N2454">
            <v>0</v>
          </cell>
          <cell r="O2454">
            <v>128861.66</v>
          </cell>
        </row>
        <row r="2455">
          <cell r="A2455" t="str">
            <v>07</v>
          </cell>
          <cell r="B2455" t="str">
            <v>22</v>
          </cell>
          <cell r="C2455" t="str">
            <v>记-0057</v>
          </cell>
          <cell r="D2455" t="str">
            <v>181</v>
          </cell>
          <cell r="E2455" t="str">
            <v>高丽参</v>
          </cell>
          <cell r="F2455" t="str">
            <v>收购产品</v>
          </cell>
          <cell r="G2455">
            <v>4.9007399999999999</v>
          </cell>
          <cell r="H2455">
            <v>6300</v>
          </cell>
          <cell r="I2455">
            <v>30874.68</v>
          </cell>
          <cell r="J2455">
            <v>0</v>
          </cell>
          <cell r="K2455">
            <v>0</v>
          </cell>
          <cell r="L2455" t="str">
            <v>贷</v>
          </cell>
          <cell r="M2455">
            <v>22287.8</v>
          </cell>
          <cell r="N2455">
            <v>0</v>
          </cell>
          <cell r="O2455">
            <v>97986.98</v>
          </cell>
        </row>
        <row r="2456">
          <cell r="A2456" t="str">
            <v>07</v>
          </cell>
          <cell r="B2456" t="str">
            <v>22</v>
          </cell>
          <cell r="C2456" t="str">
            <v>记-0057</v>
          </cell>
          <cell r="D2456" t="str">
            <v>181</v>
          </cell>
          <cell r="E2456" t="str">
            <v>高丽参</v>
          </cell>
          <cell r="F2456" t="str">
            <v>收购产品</v>
          </cell>
          <cell r="G2456">
            <v>4.5627599999999999</v>
          </cell>
          <cell r="H2456">
            <v>6820</v>
          </cell>
          <cell r="I2456">
            <v>31118.03</v>
          </cell>
          <cell r="J2456">
            <v>0</v>
          </cell>
          <cell r="K2456">
            <v>0</v>
          </cell>
          <cell r="L2456" t="str">
            <v>贷</v>
          </cell>
          <cell r="M2456">
            <v>15467.8</v>
          </cell>
          <cell r="N2456">
            <v>0</v>
          </cell>
          <cell r="O2456">
            <v>66868.95</v>
          </cell>
        </row>
        <row r="2457">
          <cell r="A2457" t="str">
            <v>07</v>
          </cell>
          <cell r="B2457" t="str">
            <v>22</v>
          </cell>
          <cell r="C2457" t="str">
            <v>记-0057</v>
          </cell>
          <cell r="D2457" t="str">
            <v>181</v>
          </cell>
          <cell r="E2457" t="str">
            <v>高丽参</v>
          </cell>
          <cell r="F2457" t="str">
            <v>收购产品</v>
          </cell>
          <cell r="G2457">
            <v>4.4782700000000002</v>
          </cell>
          <cell r="H2457">
            <v>6000</v>
          </cell>
          <cell r="I2457">
            <v>26869.59</v>
          </cell>
          <cell r="J2457">
            <v>0</v>
          </cell>
          <cell r="K2457">
            <v>0</v>
          </cell>
          <cell r="L2457" t="str">
            <v>贷</v>
          </cell>
          <cell r="M2457">
            <v>9467.7999999999993</v>
          </cell>
          <cell r="N2457">
            <v>0</v>
          </cell>
          <cell r="O2457">
            <v>39999.360000000001</v>
          </cell>
        </row>
        <row r="2458">
          <cell r="A2458" t="str">
            <v>07</v>
          </cell>
          <cell r="B2458" t="str">
            <v>22</v>
          </cell>
          <cell r="C2458" t="str">
            <v>记-0057</v>
          </cell>
          <cell r="D2458" t="str">
            <v>181</v>
          </cell>
          <cell r="E2458" t="str">
            <v>高丽参</v>
          </cell>
          <cell r="F2458" t="str">
            <v>收购产品</v>
          </cell>
          <cell r="G2458">
            <v>4.22478</v>
          </cell>
          <cell r="H2458">
            <v>9467.7999999999993</v>
          </cell>
          <cell r="I2458">
            <v>39999.360000000001</v>
          </cell>
          <cell r="J2458">
            <v>0</v>
          </cell>
          <cell r="K2458">
            <v>0</v>
          </cell>
          <cell r="L2458" t="str">
            <v>平</v>
          </cell>
          <cell r="M2458">
            <v>0</v>
          </cell>
          <cell r="N2458">
            <v>0</v>
          </cell>
          <cell r="O2458">
            <v>0</v>
          </cell>
        </row>
        <row r="2459">
          <cell r="A2459" t="str">
            <v>07</v>
          </cell>
          <cell r="F2459" t="str">
            <v>本月合计</v>
          </cell>
          <cell r="G2459">
            <v>0</v>
          </cell>
          <cell r="H2459">
            <v>56479.8</v>
          </cell>
          <cell r="I2459">
            <v>409885.45</v>
          </cell>
          <cell r="J2459">
            <v>56479.8</v>
          </cell>
          <cell r="K2459">
            <v>409885.45</v>
          </cell>
          <cell r="L2459" t="str">
            <v>平</v>
          </cell>
          <cell r="M2459">
            <v>0</v>
          </cell>
          <cell r="N2459">
            <v>0</v>
          </cell>
          <cell r="O2459">
            <v>0</v>
          </cell>
        </row>
        <row r="2460">
          <cell r="A2460" t="str">
            <v>07</v>
          </cell>
          <cell r="F2460" t="str">
            <v>累    计</v>
          </cell>
          <cell r="G2460">
            <v>0</v>
          </cell>
          <cell r="H2460">
            <v>56487.199999999997</v>
          </cell>
          <cell r="I2460">
            <v>413084.51</v>
          </cell>
          <cell r="J2460">
            <v>56487.199999999997</v>
          </cell>
          <cell r="K2460">
            <v>413084.51</v>
          </cell>
          <cell r="L2460" t="str">
            <v>平</v>
          </cell>
          <cell r="M2460">
            <v>0</v>
          </cell>
          <cell r="N2460">
            <v>0</v>
          </cell>
          <cell r="O2460">
            <v>0</v>
          </cell>
        </row>
        <row r="2461">
          <cell r="A2461" t="str">
            <v>10</v>
          </cell>
          <cell r="B2461" t="str">
            <v>22</v>
          </cell>
          <cell r="C2461" t="str">
            <v>记-0026</v>
          </cell>
          <cell r="D2461" t="str">
            <v>181</v>
          </cell>
          <cell r="E2461" t="str">
            <v>高丽参</v>
          </cell>
          <cell r="F2461" t="str">
            <v>结转成本</v>
          </cell>
          <cell r="G2461">
            <v>35.276910000000001</v>
          </cell>
          <cell r="H2461">
            <v>0</v>
          </cell>
          <cell r="I2461">
            <v>0</v>
          </cell>
          <cell r="J2461">
            <v>1200</v>
          </cell>
          <cell r="K2461">
            <v>42332.29</v>
          </cell>
          <cell r="L2461" t="str">
            <v>贷</v>
          </cell>
          <cell r="M2461">
            <v>1200</v>
          </cell>
          <cell r="N2461">
            <v>0</v>
          </cell>
          <cell r="O2461">
            <v>42332.29</v>
          </cell>
        </row>
        <row r="2462">
          <cell r="A2462" t="str">
            <v>10</v>
          </cell>
          <cell r="B2462" t="str">
            <v>22</v>
          </cell>
          <cell r="C2462" t="str">
            <v>记-0026</v>
          </cell>
          <cell r="D2462" t="str">
            <v>181</v>
          </cell>
          <cell r="E2462" t="str">
            <v>高丽参</v>
          </cell>
          <cell r="F2462" t="str">
            <v>结转成本</v>
          </cell>
          <cell r="G2462">
            <v>22.64481</v>
          </cell>
          <cell r="H2462">
            <v>0</v>
          </cell>
          <cell r="I2462">
            <v>0</v>
          </cell>
          <cell r="J2462">
            <v>2300</v>
          </cell>
          <cell r="K2462">
            <v>52083.07</v>
          </cell>
          <cell r="L2462" t="str">
            <v>贷</v>
          </cell>
          <cell r="M2462">
            <v>3500</v>
          </cell>
          <cell r="N2462">
            <v>0</v>
          </cell>
          <cell r="O2462">
            <v>94415.360000000001</v>
          </cell>
        </row>
        <row r="2463">
          <cell r="A2463" t="str">
            <v>10</v>
          </cell>
          <cell r="B2463" t="str">
            <v>22</v>
          </cell>
          <cell r="C2463" t="str">
            <v>记-0026</v>
          </cell>
          <cell r="D2463" t="str">
            <v>181</v>
          </cell>
          <cell r="E2463" t="str">
            <v>高丽参</v>
          </cell>
          <cell r="F2463" t="str">
            <v>结转成本</v>
          </cell>
          <cell r="G2463">
            <v>15.665480000000001</v>
          </cell>
          <cell r="H2463">
            <v>0</v>
          </cell>
          <cell r="I2463">
            <v>0</v>
          </cell>
          <cell r="J2463">
            <v>1500</v>
          </cell>
          <cell r="K2463">
            <v>23498.22</v>
          </cell>
          <cell r="L2463" t="str">
            <v>贷</v>
          </cell>
          <cell r="M2463">
            <v>5000</v>
          </cell>
          <cell r="N2463">
            <v>0</v>
          </cell>
          <cell r="O2463">
            <v>117913.58</v>
          </cell>
        </row>
        <row r="2464">
          <cell r="A2464" t="str">
            <v>10</v>
          </cell>
          <cell r="B2464" t="str">
            <v>22</v>
          </cell>
          <cell r="C2464" t="str">
            <v>记-0026</v>
          </cell>
          <cell r="D2464" t="str">
            <v>181</v>
          </cell>
          <cell r="E2464" t="str">
            <v>高丽参</v>
          </cell>
          <cell r="F2464" t="str">
            <v>结转成本</v>
          </cell>
          <cell r="G2464">
            <v>11.93078</v>
          </cell>
          <cell r="H2464">
            <v>0</v>
          </cell>
          <cell r="I2464">
            <v>0</v>
          </cell>
          <cell r="J2464">
            <v>2000</v>
          </cell>
          <cell r="K2464">
            <v>23861.55</v>
          </cell>
          <cell r="L2464" t="str">
            <v>贷</v>
          </cell>
          <cell r="M2464">
            <v>7000</v>
          </cell>
          <cell r="N2464">
            <v>0</v>
          </cell>
          <cell r="O2464">
            <v>141775.13</v>
          </cell>
        </row>
        <row r="2465">
          <cell r="A2465" t="str">
            <v>10</v>
          </cell>
          <cell r="B2465" t="str">
            <v>22</v>
          </cell>
          <cell r="C2465" t="str">
            <v>记-0026</v>
          </cell>
          <cell r="D2465" t="str">
            <v>181</v>
          </cell>
          <cell r="E2465" t="str">
            <v>高丽参</v>
          </cell>
          <cell r="F2465" t="str">
            <v>结转成本</v>
          </cell>
          <cell r="G2465">
            <v>10.350709999999999</v>
          </cell>
          <cell r="H2465">
            <v>0</v>
          </cell>
          <cell r="I2465">
            <v>0</v>
          </cell>
          <cell r="J2465">
            <v>2800</v>
          </cell>
          <cell r="K2465">
            <v>28981.98</v>
          </cell>
          <cell r="L2465" t="str">
            <v>贷</v>
          </cell>
          <cell r="M2465">
            <v>9800</v>
          </cell>
          <cell r="N2465">
            <v>0</v>
          </cell>
          <cell r="O2465">
            <v>170757.11</v>
          </cell>
        </row>
        <row r="2466">
          <cell r="A2466" t="str">
            <v>10</v>
          </cell>
          <cell r="B2466" t="str">
            <v>22</v>
          </cell>
          <cell r="C2466" t="str">
            <v>记-0026</v>
          </cell>
          <cell r="D2466" t="str">
            <v>181</v>
          </cell>
          <cell r="E2466" t="str">
            <v>高丽参</v>
          </cell>
          <cell r="F2466" t="str">
            <v>结转成本</v>
          </cell>
          <cell r="G2466">
            <v>12.446199999999999</v>
          </cell>
          <cell r="H2466">
            <v>0</v>
          </cell>
          <cell r="I2466">
            <v>0</v>
          </cell>
          <cell r="J2466">
            <v>2000</v>
          </cell>
          <cell r="K2466">
            <v>24892.400000000001</v>
          </cell>
          <cell r="L2466" t="str">
            <v>贷</v>
          </cell>
          <cell r="M2466">
            <v>11800</v>
          </cell>
          <cell r="N2466">
            <v>0</v>
          </cell>
          <cell r="O2466">
            <v>195649.51</v>
          </cell>
        </row>
        <row r="2467">
          <cell r="A2467" t="str">
            <v>10</v>
          </cell>
          <cell r="B2467" t="str">
            <v>22</v>
          </cell>
          <cell r="C2467" t="str">
            <v>记-0026</v>
          </cell>
          <cell r="D2467" t="str">
            <v>181</v>
          </cell>
          <cell r="E2467" t="str">
            <v>高丽参</v>
          </cell>
          <cell r="F2467" t="str">
            <v>结转成本</v>
          </cell>
          <cell r="G2467">
            <v>8.44956</v>
          </cell>
          <cell r="H2467">
            <v>0</v>
          </cell>
          <cell r="I2467">
            <v>0</v>
          </cell>
          <cell r="J2467">
            <v>2976</v>
          </cell>
          <cell r="K2467">
            <v>25145.88</v>
          </cell>
          <cell r="L2467" t="str">
            <v>贷</v>
          </cell>
          <cell r="M2467">
            <v>14776</v>
          </cell>
          <cell r="N2467">
            <v>0</v>
          </cell>
          <cell r="O2467">
            <v>220795.39</v>
          </cell>
        </row>
        <row r="2468">
          <cell r="A2468" t="str">
            <v>10</v>
          </cell>
          <cell r="B2468" t="str">
            <v>22</v>
          </cell>
          <cell r="C2468" t="str">
            <v>记-0026</v>
          </cell>
          <cell r="D2468" t="str">
            <v>181</v>
          </cell>
          <cell r="E2468" t="str">
            <v>高丽参</v>
          </cell>
          <cell r="F2468" t="str">
            <v>结转成本</v>
          </cell>
          <cell r="G2468">
            <v>7.6045999999999996</v>
          </cell>
          <cell r="H2468">
            <v>0</v>
          </cell>
          <cell r="I2468">
            <v>0</v>
          </cell>
          <cell r="J2468">
            <v>2000</v>
          </cell>
          <cell r="K2468">
            <v>15209.2</v>
          </cell>
          <cell r="L2468" t="str">
            <v>贷</v>
          </cell>
          <cell r="M2468">
            <v>16776</v>
          </cell>
          <cell r="N2468">
            <v>0</v>
          </cell>
          <cell r="O2468">
            <v>236004.59</v>
          </cell>
        </row>
        <row r="2469">
          <cell r="A2469" t="str">
            <v>10</v>
          </cell>
          <cell r="B2469" t="str">
            <v>22</v>
          </cell>
          <cell r="C2469" t="str">
            <v>记-0026</v>
          </cell>
          <cell r="D2469" t="str">
            <v>181</v>
          </cell>
          <cell r="E2469" t="str">
            <v>高丽参</v>
          </cell>
          <cell r="F2469" t="str">
            <v>结转成本</v>
          </cell>
          <cell r="G2469">
            <v>6.4216600000000001</v>
          </cell>
          <cell r="H2469">
            <v>0</v>
          </cell>
          <cell r="I2469">
            <v>0</v>
          </cell>
          <cell r="J2469">
            <v>4700</v>
          </cell>
          <cell r="K2469">
            <v>30181.82</v>
          </cell>
          <cell r="L2469" t="str">
            <v>贷</v>
          </cell>
          <cell r="M2469">
            <v>21476</v>
          </cell>
          <cell r="N2469">
            <v>0</v>
          </cell>
          <cell r="O2469">
            <v>266186.40999999997</v>
          </cell>
        </row>
        <row r="2470">
          <cell r="A2470" t="str">
            <v>10</v>
          </cell>
          <cell r="B2470" t="str">
            <v>22</v>
          </cell>
          <cell r="C2470" t="str">
            <v>记-0026</v>
          </cell>
          <cell r="D2470" t="str">
            <v>181</v>
          </cell>
          <cell r="E2470" t="str">
            <v>高丽参</v>
          </cell>
          <cell r="F2470" t="str">
            <v>结转成本</v>
          </cell>
          <cell r="G2470">
            <v>6.2104200000000001</v>
          </cell>
          <cell r="H2470">
            <v>0</v>
          </cell>
          <cell r="I2470">
            <v>0</v>
          </cell>
          <cell r="J2470">
            <v>1000</v>
          </cell>
          <cell r="K2470">
            <v>6210.42</v>
          </cell>
          <cell r="L2470" t="str">
            <v>贷</v>
          </cell>
          <cell r="M2470">
            <v>22476</v>
          </cell>
          <cell r="N2470">
            <v>0</v>
          </cell>
          <cell r="O2470">
            <v>272396.83</v>
          </cell>
        </row>
        <row r="2471">
          <cell r="A2471" t="str">
            <v>10</v>
          </cell>
          <cell r="B2471" t="str">
            <v>22</v>
          </cell>
          <cell r="C2471" t="str">
            <v>记-0026</v>
          </cell>
          <cell r="D2471" t="str">
            <v>181</v>
          </cell>
          <cell r="E2471" t="str">
            <v>高丽参</v>
          </cell>
          <cell r="F2471" t="str">
            <v>结转成本</v>
          </cell>
          <cell r="G2471">
            <v>4.9007399999999999</v>
          </cell>
          <cell r="H2471">
            <v>0</v>
          </cell>
          <cell r="I2471">
            <v>0</v>
          </cell>
          <cell r="J2471">
            <v>1900</v>
          </cell>
          <cell r="K2471">
            <v>9311.41</v>
          </cell>
          <cell r="L2471" t="str">
            <v>贷</v>
          </cell>
          <cell r="M2471">
            <v>24376</v>
          </cell>
          <cell r="N2471">
            <v>0</v>
          </cell>
          <cell r="O2471">
            <v>281708.24</v>
          </cell>
        </row>
        <row r="2472">
          <cell r="A2472" t="str">
            <v>10</v>
          </cell>
          <cell r="B2472" t="str">
            <v>22</v>
          </cell>
          <cell r="C2472" t="str">
            <v>记-0026</v>
          </cell>
          <cell r="D2472" t="str">
            <v>181</v>
          </cell>
          <cell r="E2472" t="str">
            <v>高丽参</v>
          </cell>
          <cell r="F2472" t="str">
            <v>结转成本</v>
          </cell>
          <cell r="G2472">
            <v>4.6472600000000002</v>
          </cell>
          <cell r="H2472">
            <v>0</v>
          </cell>
          <cell r="I2472">
            <v>0</v>
          </cell>
          <cell r="J2472">
            <v>2600</v>
          </cell>
          <cell r="K2472">
            <v>12082.87</v>
          </cell>
          <cell r="L2472" t="str">
            <v>贷</v>
          </cell>
          <cell r="M2472">
            <v>26976</v>
          </cell>
          <cell r="N2472">
            <v>0</v>
          </cell>
          <cell r="O2472">
            <v>293791.11</v>
          </cell>
        </row>
        <row r="2473">
          <cell r="A2473" t="str">
            <v>10</v>
          </cell>
          <cell r="B2473" t="str">
            <v>22</v>
          </cell>
          <cell r="C2473" t="str">
            <v>记-0026</v>
          </cell>
          <cell r="D2473" t="str">
            <v>181</v>
          </cell>
          <cell r="E2473" t="str">
            <v>高丽参</v>
          </cell>
          <cell r="F2473" t="str">
            <v>结转成本</v>
          </cell>
          <cell r="G2473">
            <v>4.39377</v>
          </cell>
          <cell r="H2473">
            <v>0</v>
          </cell>
          <cell r="I2473">
            <v>0</v>
          </cell>
          <cell r="J2473">
            <v>2000</v>
          </cell>
          <cell r="K2473">
            <v>8787.5400000000009</v>
          </cell>
          <cell r="L2473" t="str">
            <v>贷</v>
          </cell>
          <cell r="M2473">
            <v>28976</v>
          </cell>
          <cell r="N2473">
            <v>0</v>
          </cell>
          <cell r="O2473">
            <v>302578.65000000002</v>
          </cell>
        </row>
        <row r="2474">
          <cell r="A2474" t="str">
            <v>10</v>
          </cell>
          <cell r="B2474" t="str">
            <v>22</v>
          </cell>
          <cell r="C2474" t="str">
            <v>记-0026</v>
          </cell>
          <cell r="D2474" t="str">
            <v>181</v>
          </cell>
          <cell r="E2474" t="str">
            <v>高丽参</v>
          </cell>
          <cell r="F2474" t="str">
            <v>结转成本</v>
          </cell>
          <cell r="G2474">
            <v>3.48122</v>
          </cell>
          <cell r="H2474">
            <v>0</v>
          </cell>
          <cell r="I2474">
            <v>0</v>
          </cell>
          <cell r="J2474">
            <v>1000</v>
          </cell>
          <cell r="K2474">
            <v>3481.22</v>
          </cell>
          <cell r="L2474" t="str">
            <v>贷</v>
          </cell>
          <cell r="M2474">
            <v>29976</v>
          </cell>
          <cell r="N2474">
            <v>0</v>
          </cell>
          <cell r="O2474">
            <v>306059.87</v>
          </cell>
        </row>
        <row r="2475">
          <cell r="A2475" t="str">
            <v>10</v>
          </cell>
          <cell r="B2475" t="str">
            <v>22</v>
          </cell>
          <cell r="C2475" t="str">
            <v>记-0027</v>
          </cell>
          <cell r="D2475" t="str">
            <v>181</v>
          </cell>
          <cell r="E2475" t="str">
            <v>高丽参</v>
          </cell>
          <cell r="F2475" t="str">
            <v>结转成本</v>
          </cell>
          <cell r="G2475">
            <v>11.93923</v>
          </cell>
          <cell r="H2475">
            <v>0</v>
          </cell>
          <cell r="I2475">
            <v>0</v>
          </cell>
          <cell r="J2475">
            <v>3600</v>
          </cell>
          <cell r="K2475">
            <v>42981.21</v>
          </cell>
          <cell r="L2475" t="str">
            <v>贷</v>
          </cell>
          <cell r="M2475">
            <v>33576</v>
          </cell>
          <cell r="N2475">
            <v>0</v>
          </cell>
          <cell r="O2475">
            <v>349041.08</v>
          </cell>
        </row>
        <row r="2476">
          <cell r="A2476" t="str">
            <v>10</v>
          </cell>
          <cell r="B2476" t="str">
            <v>22</v>
          </cell>
          <cell r="C2476" t="str">
            <v>记-0027</v>
          </cell>
          <cell r="D2476" t="str">
            <v>181</v>
          </cell>
          <cell r="E2476" t="str">
            <v>高丽参</v>
          </cell>
          <cell r="F2476" t="str">
            <v>结转成本</v>
          </cell>
          <cell r="G2476">
            <v>10.350709999999999</v>
          </cell>
          <cell r="H2476">
            <v>0</v>
          </cell>
          <cell r="I2476">
            <v>0</v>
          </cell>
          <cell r="J2476">
            <v>3700</v>
          </cell>
          <cell r="K2476">
            <v>38297.620000000003</v>
          </cell>
          <cell r="L2476" t="str">
            <v>贷</v>
          </cell>
          <cell r="M2476">
            <v>37276</v>
          </cell>
          <cell r="N2476">
            <v>0</v>
          </cell>
          <cell r="O2476">
            <v>387338.7</v>
          </cell>
        </row>
        <row r="2477">
          <cell r="A2477" t="str">
            <v>10</v>
          </cell>
          <cell r="B2477" t="str">
            <v>22</v>
          </cell>
          <cell r="C2477" t="str">
            <v>记-0027</v>
          </cell>
          <cell r="D2477" t="str">
            <v>181</v>
          </cell>
          <cell r="E2477" t="str">
            <v>高丽参</v>
          </cell>
          <cell r="F2477" t="str">
            <v>结转成本</v>
          </cell>
          <cell r="G2477">
            <v>12.446199999999999</v>
          </cell>
          <cell r="H2477">
            <v>0</v>
          </cell>
          <cell r="I2477">
            <v>0</v>
          </cell>
          <cell r="J2477">
            <v>5000</v>
          </cell>
          <cell r="K2477">
            <v>62230.99</v>
          </cell>
          <cell r="L2477" t="str">
            <v>贷</v>
          </cell>
          <cell r="M2477">
            <v>42276</v>
          </cell>
          <cell r="N2477">
            <v>0</v>
          </cell>
          <cell r="O2477">
            <v>449569.69</v>
          </cell>
        </row>
        <row r="2478">
          <cell r="A2478" t="str">
            <v>10</v>
          </cell>
          <cell r="B2478" t="str">
            <v>22</v>
          </cell>
          <cell r="C2478" t="str">
            <v>记-0027</v>
          </cell>
          <cell r="D2478" t="str">
            <v>181</v>
          </cell>
          <cell r="E2478" t="str">
            <v>高丽参</v>
          </cell>
          <cell r="F2478" t="str">
            <v>结转成本</v>
          </cell>
          <cell r="G2478">
            <v>8.44956</v>
          </cell>
          <cell r="H2478">
            <v>0</v>
          </cell>
          <cell r="I2478">
            <v>0</v>
          </cell>
          <cell r="J2478">
            <v>5827</v>
          </cell>
          <cell r="K2478">
            <v>49235.57</v>
          </cell>
          <cell r="L2478" t="str">
            <v>贷</v>
          </cell>
          <cell r="M2478">
            <v>48103</v>
          </cell>
          <cell r="N2478">
            <v>0</v>
          </cell>
          <cell r="O2478">
            <v>498805.26</v>
          </cell>
        </row>
        <row r="2479">
          <cell r="A2479" t="str">
            <v>10</v>
          </cell>
          <cell r="B2479" t="str">
            <v>22</v>
          </cell>
          <cell r="C2479" t="str">
            <v>记-0027</v>
          </cell>
          <cell r="D2479" t="str">
            <v>181</v>
          </cell>
          <cell r="E2479" t="str">
            <v>高丽参</v>
          </cell>
          <cell r="F2479" t="str">
            <v>结转成本</v>
          </cell>
          <cell r="G2479">
            <v>7.6045999999999996</v>
          </cell>
          <cell r="H2479">
            <v>0</v>
          </cell>
          <cell r="I2479">
            <v>0</v>
          </cell>
          <cell r="J2479">
            <v>4300</v>
          </cell>
          <cell r="K2479">
            <v>32699.78</v>
          </cell>
          <cell r="L2479" t="str">
            <v>贷</v>
          </cell>
          <cell r="M2479">
            <v>52403</v>
          </cell>
          <cell r="N2479">
            <v>0</v>
          </cell>
          <cell r="O2479">
            <v>531505.04</v>
          </cell>
        </row>
        <row r="2480">
          <cell r="A2480" t="str">
            <v>10</v>
          </cell>
          <cell r="B2480" t="str">
            <v>22</v>
          </cell>
          <cell r="C2480" t="str">
            <v>记-0027</v>
          </cell>
          <cell r="D2480" t="str">
            <v>181</v>
          </cell>
          <cell r="E2480" t="str">
            <v>高丽参</v>
          </cell>
          <cell r="F2480" t="str">
            <v>结转成本</v>
          </cell>
          <cell r="G2480">
            <v>6.4216600000000001</v>
          </cell>
          <cell r="H2480">
            <v>0</v>
          </cell>
          <cell r="I2480">
            <v>0</v>
          </cell>
          <cell r="J2480">
            <v>6000</v>
          </cell>
          <cell r="K2480">
            <v>38529.980000000003</v>
          </cell>
          <cell r="L2480" t="str">
            <v>贷</v>
          </cell>
          <cell r="M2480">
            <v>58403</v>
          </cell>
          <cell r="N2480">
            <v>0</v>
          </cell>
          <cell r="O2480">
            <v>570035.02</v>
          </cell>
        </row>
        <row r="2481">
          <cell r="A2481" t="str">
            <v>10</v>
          </cell>
          <cell r="B2481" t="str">
            <v>22</v>
          </cell>
          <cell r="C2481" t="str">
            <v>记-0027</v>
          </cell>
          <cell r="D2481" t="str">
            <v>181</v>
          </cell>
          <cell r="E2481" t="str">
            <v>高丽参</v>
          </cell>
          <cell r="F2481" t="str">
            <v>结转成本</v>
          </cell>
          <cell r="G2481">
            <v>6.2188800000000004</v>
          </cell>
          <cell r="H2481">
            <v>0</v>
          </cell>
          <cell r="I2481">
            <v>0</v>
          </cell>
          <cell r="J2481">
            <v>4800</v>
          </cell>
          <cell r="K2481">
            <v>29850.6</v>
          </cell>
          <cell r="L2481" t="str">
            <v>贷</v>
          </cell>
          <cell r="M2481">
            <v>63203</v>
          </cell>
          <cell r="N2481">
            <v>0</v>
          </cell>
          <cell r="O2481">
            <v>599885.62</v>
          </cell>
        </row>
        <row r="2482">
          <cell r="A2482" t="str">
            <v>10</v>
          </cell>
          <cell r="B2482" t="str">
            <v>22</v>
          </cell>
          <cell r="C2482" t="str">
            <v>记-0027</v>
          </cell>
          <cell r="D2482" t="str">
            <v>181</v>
          </cell>
          <cell r="E2482" t="str">
            <v>高丽参</v>
          </cell>
          <cell r="F2482" t="str">
            <v>结转成本</v>
          </cell>
          <cell r="G2482">
            <v>4.9007399999999999</v>
          </cell>
          <cell r="H2482">
            <v>0</v>
          </cell>
          <cell r="I2482">
            <v>0</v>
          </cell>
          <cell r="J2482">
            <v>5500</v>
          </cell>
          <cell r="K2482">
            <v>26954.09</v>
          </cell>
          <cell r="L2482" t="str">
            <v>贷</v>
          </cell>
          <cell r="M2482">
            <v>68703</v>
          </cell>
          <cell r="N2482">
            <v>0</v>
          </cell>
          <cell r="O2482">
            <v>626839.71</v>
          </cell>
        </row>
        <row r="2483">
          <cell r="A2483" t="str">
            <v>10</v>
          </cell>
          <cell r="B2483" t="str">
            <v>22</v>
          </cell>
          <cell r="C2483" t="str">
            <v>记-0027</v>
          </cell>
          <cell r="D2483" t="str">
            <v>181</v>
          </cell>
          <cell r="E2483" t="str">
            <v>高丽参</v>
          </cell>
          <cell r="F2483" t="str">
            <v>结转成本</v>
          </cell>
          <cell r="G2483">
            <v>4.6472600000000002</v>
          </cell>
          <cell r="H2483">
            <v>0</v>
          </cell>
          <cell r="I2483">
            <v>0</v>
          </cell>
          <cell r="J2483">
            <v>4128</v>
          </cell>
          <cell r="K2483">
            <v>19183.87</v>
          </cell>
          <cell r="L2483" t="str">
            <v>贷</v>
          </cell>
          <cell r="M2483">
            <v>72831</v>
          </cell>
          <cell r="N2483">
            <v>0</v>
          </cell>
          <cell r="O2483">
            <v>646023.57999999996</v>
          </cell>
        </row>
        <row r="2484">
          <cell r="A2484" t="str">
            <v>10</v>
          </cell>
          <cell r="B2484" t="str">
            <v>22</v>
          </cell>
          <cell r="C2484" t="str">
            <v>记-0027</v>
          </cell>
          <cell r="D2484" t="str">
            <v>181</v>
          </cell>
          <cell r="E2484" t="str">
            <v>高丽参</v>
          </cell>
          <cell r="F2484" t="str">
            <v>结转成本</v>
          </cell>
          <cell r="G2484">
            <v>4.3092699999999997</v>
          </cell>
          <cell r="H2484">
            <v>0</v>
          </cell>
          <cell r="I2484">
            <v>0</v>
          </cell>
          <cell r="J2484">
            <v>5000</v>
          </cell>
          <cell r="K2484">
            <v>21546.37</v>
          </cell>
          <cell r="L2484" t="str">
            <v>贷</v>
          </cell>
          <cell r="M2484">
            <v>77831</v>
          </cell>
          <cell r="N2484">
            <v>0</v>
          </cell>
          <cell r="O2484">
            <v>667569.94999999995</v>
          </cell>
        </row>
        <row r="2485">
          <cell r="A2485" t="str">
            <v>10</v>
          </cell>
          <cell r="B2485" t="str">
            <v>22</v>
          </cell>
          <cell r="C2485" t="str">
            <v>记-0027</v>
          </cell>
          <cell r="D2485" t="str">
            <v>181</v>
          </cell>
          <cell r="E2485" t="str">
            <v>高丽参</v>
          </cell>
          <cell r="F2485" t="str">
            <v>结转成本</v>
          </cell>
          <cell r="G2485">
            <v>3.4643199999999998</v>
          </cell>
          <cell r="H2485">
            <v>0</v>
          </cell>
          <cell r="I2485">
            <v>0</v>
          </cell>
          <cell r="J2485">
            <v>3900</v>
          </cell>
          <cell r="K2485">
            <v>13510.84</v>
          </cell>
          <cell r="L2485" t="str">
            <v>贷</v>
          </cell>
          <cell r="M2485">
            <v>81731</v>
          </cell>
          <cell r="N2485">
            <v>0</v>
          </cell>
          <cell r="O2485">
            <v>681080.79</v>
          </cell>
        </row>
        <row r="2486">
          <cell r="A2486" t="str">
            <v>10</v>
          </cell>
          <cell r="B2486" t="str">
            <v>22</v>
          </cell>
          <cell r="C2486" t="str">
            <v>记-0028</v>
          </cell>
          <cell r="D2486" t="str">
            <v>181</v>
          </cell>
          <cell r="E2486" t="str">
            <v>高丽参</v>
          </cell>
          <cell r="F2486" t="str">
            <v>结转成本</v>
          </cell>
          <cell r="G2486">
            <v>6.1681800000000004</v>
          </cell>
          <cell r="H2486">
            <v>0</v>
          </cell>
          <cell r="I2486">
            <v>0</v>
          </cell>
          <cell r="J2486">
            <v>1000</v>
          </cell>
          <cell r="K2486">
            <v>6168.18</v>
          </cell>
          <cell r="L2486" t="str">
            <v>贷</v>
          </cell>
          <cell r="M2486">
            <v>82731</v>
          </cell>
          <cell r="N2486">
            <v>0</v>
          </cell>
          <cell r="O2486">
            <v>687248.97</v>
          </cell>
        </row>
        <row r="2487">
          <cell r="A2487" t="str">
            <v>10</v>
          </cell>
          <cell r="B2487" t="str">
            <v>22</v>
          </cell>
          <cell r="C2487" t="str">
            <v>记-0028</v>
          </cell>
          <cell r="D2487" t="str">
            <v>181</v>
          </cell>
          <cell r="E2487" t="str">
            <v>高丽参</v>
          </cell>
          <cell r="F2487" t="str">
            <v>结转成本</v>
          </cell>
          <cell r="G2487">
            <v>6.4554600000000004</v>
          </cell>
          <cell r="H2487">
            <v>0</v>
          </cell>
          <cell r="I2487">
            <v>0</v>
          </cell>
          <cell r="J2487">
            <v>6000</v>
          </cell>
          <cell r="K2487">
            <v>38732.769999999997</v>
          </cell>
          <cell r="L2487" t="str">
            <v>贷</v>
          </cell>
          <cell r="M2487">
            <v>88731</v>
          </cell>
          <cell r="N2487">
            <v>0</v>
          </cell>
          <cell r="O2487">
            <v>725981.74</v>
          </cell>
        </row>
        <row r="2488">
          <cell r="A2488" t="str">
            <v>10</v>
          </cell>
          <cell r="B2488" t="str">
            <v>22</v>
          </cell>
          <cell r="C2488" t="str">
            <v>记-0028</v>
          </cell>
          <cell r="D2488" t="str">
            <v>181</v>
          </cell>
          <cell r="E2488" t="str">
            <v>高丽参</v>
          </cell>
          <cell r="F2488" t="str">
            <v>结转成本</v>
          </cell>
          <cell r="G2488">
            <v>7.6045999999999996</v>
          </cell>
          <cell r="H2488">
            <v>0</v>
          </cell>
          <cell r="I2488">
            <v>0</v>
          </cell>
          <cell r="J2488">
            <v>4000</v>
          </cell>
          <cell r="K2488">
            <v>30418.41</v>
          </cell>
          <cell r="L2488" t="str">
            <v>贷</v>
          </cell>
          <cell r="M2488">
            <v>92731</v>
          </cell>
          <cell r="N2488">
            <v>0</v>
          </cell>
          <cell r="O2488">
            <v>756400.15</v>
          </cell>
        </row>
        <row r="2489">
          <cell r="A2489" t="str">
            <v>10</v>
          </cell>
          <cell r="B2489" t="str">
            <v>22</v>
          </cell>
          <cell r="C2489" t="str">
            <v>记-0028</v>
          </cell>
          <cell r="D2489" t="str">
            <v>181</v>
          </cell>
          <cell r="E2489" t="str">
            <v>高丽参</v>
          </cell>
          <cell r="F2489" t="str">
            <v>结转成本</v>
          </cell>
          <cell r="G2489">
            <v>8.4492200000000004</v>
          </cell>
          <cell r="H2489">
            <v>0</v>
          </cell>
          <cell r="I2489">
            <v>0</v>
          </cell>
          <cell r="J2489">
            <v>5018</v>
          </cell>
          <cell r="K2489">
            <v>42398.19</v>
          </cell>
          <cell r="L2489" t="str">
            <v>贷</v>
          </cell>
          <cell r="M2489">
            <v>97749</v>
          </cell>
          <cell r="N2489">
            <v>0</v>
          </cell>
          <cell r="O2489">
            <v>798798.34</v>
          </cell>
        </row>
        <row r="2490">
          <cell r="A2490" t="str">
            <v>10</v>
          </cell>
          <cell r="B2490" t="str">
            <v>22</v>
          </cell>
          <cell r="C2490" t="str">
            <v>记-0028</v>
          </cell>
          <cell r="D2490" t="str">
            <v>181</v>
          </cell>
          <cell r="E2490" t="str">
            <v>高丽参</v>
          </cell>
          <cell r="F2490" t="str">
            <v>结转成本</v>
          </cell>
          <cell r="G2490">
            <v>12.446199999999999</v>
          </cell>
          <cell r="H2490">
            <v>0</v>
          </cell>
          <cell r="I2490">
            <v>0</v>
          </cell>
          <cell r="J2490">
            <v>3800</v>
          </cell>
          <cell r="K2490">
            <v>47295.55</v>
          </cell>
          <cell r="L2490" t="str">
            <v>贷</v>
          </cell>
          <cell r="M2490">
            <v>101549</v>
          </cell>
          <cell r="N2490">
            <v>0</v>
          </cell>
          <cell r="O2490">
            <v>846093.89</v>
          </cell>
        </row>
        <row r="2491">
          <cell r="A2491" t="str">
            <v>10</v>
          </cell>
          <cell r="B2491" t="str">
            <v>22</v>
          </cell>
          <cell r="C2491" t="str">
            <v>记-0028</v>
          </cell>
          <cell r="D2491" t="str">
            <v>181</v>
          </cell>
          <cell r="E2491" t="str">
            <v>高丽参</v>
          </cell>
          <cell r="F2491" t="str">
            <v>结转成本</v>
          </cell>
          <cell r="G2491">
            <v>10.350709999999999</v>
          </cell>
          <cell r="H2491">
            <v>0</v>
          </cell>
          <cell r="I2491">
            <v>0</v>
          </cell>
          <cell r="J2491">
            <v>4000</v>
          </cell>
          <cell r="K2491">
            <v>41402.83</v>
          </cell>
          <cell r="L2491" t="str">
            <v>贷</v>
          </cell>
          <cell r="M2491">
            <v>105549</v>
          </cell>
          <cell r="N2491">
            <v>0</v>
          </cell>
          <cell r="O2491">
            <v>887496.72</v>
          </cell>
        </row>
        <row r="2492">
          <cell r="A2492" t="str">
            <v>10</v>
          </cell>
          <cell r="B2492" t="str">
            <v>22</v>
          </cell>
          <cell r="C2492" t="str">
            <v>记-0028</v>
          </cell>
          <cell r="D2492" t="str">
            <v>181</v>
          </cell>
          <cell r="E2492" t="str">
            <v>高丽参</v>
          </cell>
          <cell r="F2492" t="str">
            <v>结转成本</v>
          </cell>
          <cell r="G2492">
            <v>11.93078</v>
          </cell>
          <cell r="H2492">
            <v>0</v>
          </cell>
          <cell r="I2492">
            <v>0</v>
          </cell>
          <cell r="J2492">
            <v>2500</v>
          </cell>
          <cell r="K2492">
            <v>29826.94</v>
          </cell>
          <cell r="L2492" t="str">
            <v>贷</v>
          </cell>
          <cell r="M2492">
            <v>108049</v>
          </cell>
          <cell r="N2492">
            <v>0</v>
          </cell>
          <cell r="O2492">
            <v>917323.66</v>
          </cell>
        </row>
        <row r="2493">
          <cell r="A2493" t="str">
            <v>10</v>
          </cell>
          <cell r="B2493" t="str">
            <v>22</v>
          </cell>
          <cell r="C2493" t="str">
            <v>记-0028</v>
          </cell>
          <cell r="D2493" t="str">
            <v>181</v>
          </cell>
          <cell r="E2493" t="str">
            <v>高丽参</v>
          </cell>
          <cell r="F2493" t="str">
            <v>结转成本</v>
          </cell>
          <cell r="G2493">
            <v>15.69083</v>
          </cell>
          <cell r="H2493">
            <v>0</v>
          </cell>
          <cell r="I2493">
            <v>0</v>
          </cell>
          <cell r="J2493">
            <v>2000</v>
          </cell>
          <cell r="K2493">
            <v>31381.66</v>
          </cell>
          <cell r="L2493" t="str">
            <v>贷</v>
          </cell>
          <cell r="M2493">
            <v>110049</v>
          </cell>
          <cell r="N2493">
            <v>0</v>
          </cell>
          <cell r="O2493">
            <v>948705.32</v>
          </cell>
        </row>
        <row r="2494">
          <cell r="A2494" t="str">
            <v>10</v>
          </cell>
          <cell r="B2494" t="str">
            <v>22</v>
          </cell>
          <cell r="C2494" t="str">
            <v>记-0028</v>
          </cell>
          <cell r="D2494" t="str">
            <v>181</v>
          </cell>
          <cell r="E2494" t="str">
            <v>高丽参</v>
          </cell>
          <cell r="F2494" t="str">
            <v>结转成本</v>
          </cell>
          <cell r="G2494">
            <v>22.644819999999999</v>
          </cell>
          <cell r="H2494">
            <v>0</v>
          </cell>
          <cell r="I2494">
            <v>0</v>
          </cell>
          <cell r="J2494">
            <v>1800</v>
          </cell>
          <cell r="K2494">
            <v>40760.67</v>
          </cell>
          <cell r="L2494" t="str">
            <v>贷</v>
          </cell>
          <cell r="M2494">
            <v>111849</v>
          </cell>
          <cell r="N2494">
            <v>0</v>
          </cell>
          <cell r="O2494">
            <v>989465.99</v>
          </cell>
        </row>
        <row r="2495">
          <cell r="A2495" t="str">
            <v>10</v>
          </cell>
          <cell r="B2495" t="str">
            <v>22</v>
          </cell>
          <cell r="C2495" t="str">
            <v>记-0028</v>
          </cell>
          <cell r="D2495" t="str">
            <v>181</v>
          </cell>
          <cell r="E2495" t="str">
            <v>高丽参</v>
          </cell>
          <cell r="F2495" t="str">
            <v>结转成本</v>
          </cell>
          <cell r="G2495">
            <v>35.302250000000001</v>
          </cell>
          <cell r="H2495">
            <v>0</v>
          </cell>
          <cell r="I2495">
            <v>0</v>
          </cell>
          <cell r="J2495">
            <v>1600</v>
          </cell>
          <cell r="K2495">
            <v>56483.6</v>
          </cell>
          <cell r="L2495" t="str">
            <v>贷</v>
          </cell>
          <cell r="M2495">
            <v>113449</v>
          </cell>
          <cell r="N2495">
            <v>0</v>
          </cell>
          <cell r="O2495">
            <v>1045949.59</v>
          </cell>
        </row>
        <row r="2496">
          <cell r="A2496" t="str">
            <v>10</v>
          </cell>
          <cell r="B2496" t="str">
            <v>22</v>
          </cell>
          <cell r="C2496" t="str">
            <v>记-0033</v>
          </cell>
          <cell r="D2496" t="str">
            <v>181</v>
          </cell>
          <cell r="E2496" t="str">
            <v>高丽参</v>
          </cell>
          <cell r="F2496" t="str">
            <v>收购产品</v>
          </cell>
          <cell r="G2496">
            <v>11.93923</v>
          </cell>
          <cell r="H2496">
            <v>3600</v>
          </cell>
          <cell r="I2496">
            <v>42981.21</v>
          </cell>
          <cell r="J2496">
            <v>0</v>
          </cell>
          <cell r="K2496">
            <v>0</v>
          </cell>
          <cell r="L2496" t="str">
            <v>贷</v>
          </cell>
          <cell r="M2496">
            <v>109849</v>
          </cell>
          <cell r="N2496">
            <v>0</v>
          </cell>
          <cell r="O2496">
            <v>1002968.38</v>
          </cell>
        </row>
        <row r="2497">
          <cell r="A2497" t="str">
            <v>10</v>
          </cell>
          <cell r="B2497" t="str">
            <v>22</v>
          </cell>
          <cell r="C2497" t="str">
            <v>记-0033</v>
          </cell>
          <cell r="D2497" t="str">
            <v>181</v>
          </cell>
          <cell r="E2497" t="str">
            <v>高丽参</v>
          </cell>
          <cell r="F2497" t="str">
            <v>收购产品</v>
          </cell>
          <cell r="G2497">
            <v>10.350709999999999</v>
          </cell>
          <cell r="H2497">
            <v>3700</v>
          </cell>
          <cell r="I2497">
            <v>38297.620000000003</v>
          </cell>
          <cell r="J2497">
            <v>0</v>
          </cell>
          <cell r="K2497">
            <v>0</v>
          </cell>
          <cell r="L2497" t="str">
            <v>贷</v>
          </cell>
          <cell r="M2497">
            <v>106149</v>
          </cell>
          <cell r="N2497">
            <v>0</v>
          </cell>
          <cell r="O2497">
            <v>964670.76</v>
          </cell>
        </row>
        <row r="2498">
          <cell r="A2498" t="str">
            <v>10</v>
          </cell>
          <cell r="B2498" t="str">
            <v>22</v>
          </cell>
          <cell r="C2498" t="str">
            <v>记-0033</v>
          </cell>
          <cell r="D2498" t="str">
            <v>181</v>
          </cell>
          <cell r="E2498" t="str">
            <v>高丽参</v>
          </cell>
          <cell r="F2498" t="str">
            <v>收购产品</v>
          </cell>
          <cell r="G2498">
            <v>12.446199999999999</v>
          </cell>
          <cell r="H2498">
            <v>5000</v>
          </cell>
          <cell r="I2498">
            <v>62230.99</v>
          </cell>
          <cell r="J2498">
            <v>0</v>
          </cell>
          <cell r="K2498">
            <v>0</v>
          </cell>
          <cell r="L2498" t="str">
            <v>贷</v>
          </cell>
          <cell r="M2498">
            <v>101149</v>
          </cell>
          <cell r="N2498">
            <v>0</v>
          </cell>
          <cell r="O2498">
            <v>902439.77</v>
          </cell>
        </row>
        <row r="2499">
          <cell r="A2499" t="str">
            <v>10</v>
          </cell>
          <cell r="B2499" t="str">
            <v>22</v>
          </cell>
          <cell r="C2499" t="str">
            <v>记-0033</v>
          </cell>
          <cell r="D2499" t="str">
            <v>181</v>
          </cell>
          <cell r="E2499" t="str">
            <v>高丽参</v>
          </cell>
          <cell r="F2499" t="str">
            <v>收购产品</v>
          </cell>
          <cell r="G2499">
            <v>8.44956</v>
          </cell>
          <cell r="H2499">
            <v>5827</v>
          </cell>
          <cell r="I2499">
            <v>49235.57</v>
          </cell>
          <cell r="J2499">
            <v>0</v>
          </cell>
          <cell r="K2499">
            <v>0</v>
          </cell>
          <cell r="L2499" t="str">
            <v>贷</v>
          </cell>
          <cell r="M2499">
            <v>95322</v>
          </cell>
          <cell r="N2499">
            <v>0</v>
          </cell>
          <cell r="O2499">
            <v>853204.2</v>
          </cell>
        </row>
        <row r="2500">
          <cell r="A2500" t="str">
            <v>10</v>
          </cell>
          <cell r="B2500" t="str">
            <v>22</v>
          </cell>
          <cell r="C2500" t="str">
            <v>记-0033</v>
          </cell>
          <cell r="D2500" t="str">
            <v>181</v>
          </cell>
          <cell r="E2500" t="str">
            <v>高丽参</v>
          </cell>
          <cell r="F2500" t="str">
            <v>收购产品</v>
          </cell>
          <cell r="G2500">
            <v>6.4216600000000001</v>
          </cell>
          <cell r="H2500">
            <v>6000</v>
          </cell>
          <cell r="I2500">
            <v>38529.980000000003</v>
          </cell>
          <cell r="J2500">
            <v>0</v>
          </cell>
          <cell r="K2500">
            <v>0</v>
          </cell>
          <cell r="L2500" t="str">
            <v>贷</v>
          </cell>
          <cell r="M2500">
            <v>89322</v>
          </cell>
          <cell r="N2500">
            <v>0</v>
          </cell>
          <cell r="O2500">
            <v>814674.22</v>
          </cell>
        </row>
        <row r="2501">
          <cell r="A2501" t="str">
            <v>10</v>
          </cell>
          <cell r="B2501" t="str">
            <v>22</v>
          </cell>
          <cell r="C2501" t="str">
            <v>记-0033</v>
          </cell>
          <cell r="D2501" t="str">
            <v>181</v>
          </cell>
          <cell r="E2501" t="str">
            <v>高丽参</v>
          </cell>
          <cell r="F2501" t="str">
            <v>收购产品</v>
          </cell>
          <cell r="G2501">
            <v>7.6045999999999996</v>
          </cell>
          <cell r="H2501">
            <v>4300</v>
          </cell>
          <cell r="I2501">
            <v>32699.78</v>
          </cell>
          <cell r="J2501">
            <v>0</v>
          </cell>
          <cell r="K2501">
            <v>0</v>
          </cell>
          <cell r="L2501" t="str">
            <v>贷</v>
          </cell>
          <cell r="M2501">
            <v>85022</v>
          </cell>
          <cell r="N2501">
            <v>0</v>
          </cell>
          <cell r="O2501">
            <v>781974.44</v>
          </cell>
        </row>
        <row r="2502">
          <cell r="A2502" t="str">
            <v>10</v>
          </cell>
          <cell r="B2502" t="str">
            <v>22</v>
          </cell>
          <cell r="C2502" t="str">
            <v>记-0033</v>
          </cell>
          <cell r="D2502" t="str">
            <v>181</v>
          </cell>
          <cell r="E2502" t="str">
            <v>高丽参</v>
          </cell>
          <cell r="F2502" t="str">
            <v>收购产品</v>
          </cell>
          <cell r="G2502">
            <v>6.2188800000000004</v>
          </cell>
          <cell r="H2502">
            <v>4800</v>
          </cell>
          <cell r="I2502">
            <v>29850.6</v>
          </cell>
          <cell r="J2502">
            <v>0</v>
          </cell>
          <cell r="K2502">
            <v>0</v>
          </cell>
          <cell r="L2502" t="str">
            <v>贷</v>
          </cell>
          <cell r="M2502">
            <v>80222</v>
          </cell>
          <cell r="N2502">
            <v>0</v>
          </cell>
          <cell r="O2502">
            <v>752123.84</v>
          </cell>
        </row>
        <row r="2503">
          <cell r="A2503" t="str">
            <v>10</v>
          </cell>
          <cell r="B2503" t="str">
            <v>22</v>
          </cell>
          <cell r="C2503" t="str">
            <v>记-0033</v>
          </cell>
          <cell r="D2503" t="str">
            <v>181</v>
          </cell>
          <cell r="E2503" t="str">
            <v>高丽参</v>
          </cell>
          <cell r="F2503" t="str">
            <v>收购产品</v>
          </cell>
          <cell r="G2503">
            <v>4.9007399999999999</v>
          </cell>
          <cell r="H2503">
            <v>5500</v>
          </cell>
          <cell r="I2503">
            <v>26954.09</v>
          </cell>
          <cell r="J2503">
            <v>0</v>
          </cell>
          <cell r="K2503">
            <v>0</v>
          </cell>
          <cell r="L2503" t="str">
            <v>贷</v>
          </cell>
          <cell r="M2503">
            <v>74722</v>
          </cell>
          <cell r="N2503">
            <v>0</v>
          </cell>
          <cell r="O2503">
            <v>725169.75</v>
          </cell>
        </row>
        <row r="2504">
          <cell r="A2504" t="str">
            <v>10</v>
          </cell>
          <cell r="B2504" t="str">
            <v>22</v>
          </cell>
          <cell r="C2504" t="str">
            <v>记-0033</v>
          </cell>
          <cell r="D2504" t="str">
            <v>181</v>
          </cell>
          <cell r="E2504" t="str">
            <v>高丽参</v>
          </cell>
          <cell r="F2504" t="str">
            <v>收购产品</v>
          </cell>
          <cell r="G2504">
            <v>4.6472600000000002</v>
          </cell>
          <cell r="H2504">
            <v>4128</v>
          </cell>
          <cell r="I2504">
            <v>19183.87</v>
          </cell>
          <cell r="J2504">
            <v>0</v>
          </cell>
          <cell r="K2504">
            <v>0</v>
          </cell>
          <cell r="L2504" t="str">
            <v>贷</v>
          </cell>
          <cell r="M2504">
            <v>70594</v>
          </cell>
          <cell r="N2504">
            <v>0</v>
          </cell>
          <cell r="O2504">
            <v>705985.88</v>
          </cell>
        </row>
        <row r="2505">
          <cell r="A2505" t="str">
            <v>10</v>
          </cell>
          <cell r="B2505" t="str">
            <v>22</v>
          </cell>
          <cell r="C2505" t="str">
            <v>记-0033</v>
          </cell>
          <cell r="D2505" t="str">
            <v>181</v>
          </cell>
          <cell r="E2505" t="str">
            <v>高丽参</v>
          </cell>
          <cell r="F2505" t="str">
            <v>收购产品</v>
          </cell>
          <cell r="G2505">
            <v>4.3092699999999997</v>
          </cell>
          <cell r="H2505">
            <v>5000</v>
          </cell>
          <cell r="I2505">
            <v>21546.37</v>
          </cell>
          <cell r="J2505">
            <v>0</v>
          </cell>
          <cell r="K2505">
            <v>0</v>
          </cell>
          <cell r="L2505" t="str">
            <v>贷</v>
          </cell>
          <cell r="M2505">
            <v>65594</v>
          </cell>
          <cell r="N2505">
            <v>0</v>
          </cell>
          <cell r="O2505">
            <v>684439.51</v>
          </cell>
        </row>
        <row r="2506">
          <cell r="A2506" t="str">
            <v>10</v>
          </cell>
          <cell r="B2506" t="str">
            <v>22</v>
          </cell>
          <cell r="C2506" t="str">
            <v>记-0033</v>
          </cell>
          <cell r="D2506" t="str">
            <v>181</v>
          </cell>
          <cell r="E2506" t="str">
            <v>高丽参</v>
          </cell>
          <cell r="F2506" t="str">
            <v>收购产品</v>
          </cell>
          <cell r="G2506">
            <v>3.4643199999999998</v>
          </cell>
          <cell r="H2506">
            <v>3900</v>
          </cell>
          <cell r="I2506">
            <v>13510.84</v>
          </cell>
          <cell r="J2506">
            <v>0</v>
          </cell>
          <cell r="K2506">
            <v>0</v>
          </cell>
          <cell r="L2506" t="str">
            <v>贷</v>
          </cell>
          <cell r="M2506">
            <v>61694</v>
          </cell>
          <cell r="N2506">
            <v>0</v>
          </cell>
          <cell r="O2506">
            <v>670928.67000000004</v>
          </cell>
        </row>
        <row r="2507">
          <cell r="A2507" t="str">
            <v>10</v>
          </cell>
          <cell r="B2507" t="str">
            <v>22</v>
          </cell>
          <cell r="C2507" t="str">
            <v>记-0034</v>
          </cell>
          <cell r="D2507" t="str">
            <v>181</v>
          </cell>
          <cell r="E2507" t="str">
            <v>高丽参</v>
          </cell>
          <cell r="F2507" t="str">
            <v>收购产品</v>
          </cell>
          <cell r="G2507">
            <v>35.276910000000001</v>
          </cell>
          <cell r="H2507">
            <v>1200</v>
          </cell>
          <cell r="I2507">
            <v>42332.29</v>
          </cell>
          <cell r="J2507">
            <v>0</v>
          </cell>
          <cell r="K2507">
            <v>0</v>
          </cell>
          <cell r="L2507" t="str">
            <v>贷</v>
          </cell>
          <cell r="M2507">
            <v>60494</v>
          </cell>
          <cell r="N2507">
            <v>0</v>
          </cell>
          <cell r="O2507">
            <v>628596.38</v>
          </cell>
        </row>
        <row r="2508">
          <cell r="A2508" t="str">
            <v>10</v>
          </cell>
          <cell r="B2508" t="str">
            <v>22</v>
          </cell>
          <cell r="C2508" t="str">
            <v>记-0034</v>
          </cell>
          <cell r="D2508" t="str">
            <v>181</v>
          </cell>
          <cell r="E2508" t="str">
            <v>高丽参</v>
          </cell>
          <cell r="F2508" t="str">
            <v>收购产品</v>
          </cell>
          <cell r="G2508">
            <v>22.64481</v>
          </cell>
          <cell r="H2508">
            <v>2300</v>
          </cell>
          <cell r="I2508">
            <v>52083.07</v>
          </cell>
          <cell r="J2508">
            <v>0</v>
          </cell>
          <cell r="K2508">
            <v>0</v>
          </cell>
          <cell r="L2508" t="str">
            <v>贷</v>
          </cell>
          <cell r="M2508">
            <v>58194</v>
          </cell>
          <cell r="N2508">
            <v>0</v>
          </cell>
          <cell r="O2508">
            <v>576513.31000000006</v>
          </cell>
        </row>
        <row r="2509">
          <cell r="A2509" t="str">
            <v>10</v>
          </cell>
          <cell r="B2509" t="str">
            <v>22</v>
          </cell>
          <cell r="C2509" t="str">
            <v>记-0034</v>
          </cell>
          <cell r="D2509" t="str">
            <v>181</v>
          </cell>
          <cell r="E2509" t="str">
            <v>高丽参</v>
          </cell>
          <cell r="F2509" t="str">
            <v>收购产品</v>
          </cell>
          <cell r="G2509">
            <v>15.665480000000001</v>
          </cell>
          <cell r="H2509">
            <v>1500</v>
          </cell>
          <cell r="I2509">
            <v>23498.22</v>
          </cell>
          <cell r="J2509">
            <v>0</v>
          </cell>
          <cell r="K2509">
            <v>0</v>
          </cell>
          <cell r="L2509" t="str">
            <v>贷</v>
          </cell>
          <cell r="M2509">
            <v>56694</v>
          </cell>
          <cell r="N2509">
            <v>0</v>
          </cell>
          <cell r="O2509">
            <v>553015.09</v>
          </cell>
        </row>
        <row r="2510">
          <cell r="A2510" t="str">
            <v>10</v>
          </cell>
          <cell r="B2510" t="str">
            <v>22</v>
          </cell>
          <cell r="C2510" t="str">
            <v>记-0034</v>
          </cell>
          <cell r="D2510" t="str">
            <v>181</v>
          </cell>
          <cell r="E2510" t="str">
            <v>高丽参</v>
          </cell>
          <cell r="F2510" t="str">
            <v>收购产品</v>
          </cell>
          <cell r="G2510">
            <v>11.93078</v>
          </cell>
          <cell r="H2510">
            <v>2000</v>
          </cell>
          <cell r="I2510">
            <v>23861.55</v>
          </cell>
          <cell r="J2510">
            <v>0</v>
          </cell>
          <cell r="K2510">
            <v>0</v>
          </cell>
          <cell r="L2510" t="str">
            <v>贷</v>
          </cell>
          <cell r="M2510">
            <v>54694</v>
          </cell>
          <cell r="N2510">
            <v>0</v>
          </cell>
          <cell r="O2510">
            <v>529153.54</v>
          </cell>
        </row>
        <row r="2511">
          <cell r="A2511" t="str">
            <v>10</v>
          </cell>
          <cell r="B2511" t="str">
            <v>22</v>
          </cell>
          <cell r="C2511" t="str">
            <v>记-0034</v>
          </cell>
          <cell r="D2511" t="str">
            <v>181</v>
          </cell>
          <cell r="E2511" t="str">
            <v>高丽参</v>
          </cell>
          <cell r="F2511" t="str">
            <v>收购产品</v>
          </cell>
          <cell r="G2511">
            <v>10.350709999999999</v>
          </cell>
          <cell r="H2511">
            <v>2800</v>
          </cell>
          <cell r="I2511">
            <v>28981.98</v>
          </cell>
          <cell r="J2511">
            <v>0</v>
          </cell>
          <cell r="K2511">
            <v>0</v>
          </cell>
          <cell r="L2511" t="str">
            <v>贷</v>
          </cell>
          <cell r="M2511">
            <v>51894</v>
          </cell>
          <cell r="N2511">
            <v>0</v>
          </cell>
          <cell r="O2511">
            <v>500171.56</v>
          </cell>
        </row>
        <row r="2512">
          <cell r="A2512" t="str">
            <v>10</v>
          </cell>
          <cell r="B2512" t="str">
            <v>22</v>
          </cell>
          <cell r="C2512" t="str">
            <v>记-0034</v>
          </cell>
          <cell r="D2512" t="str">
            <v>181</v>
          </cell>
          <cell r="E2512" t="str">
            <v>高丽参</v>
          </cell>
          <cell r="F2512" t="str">
            <v>收购产品</v>
          </cell>
          <cell r="G2512">
            <v>12.446199999999999</v>
          </cell>
          <cell r="H2512">
            <v>2000</v>
          </cell>
          <cell r="I2512">
            <v>24892.400000000001</v>
          </cell>
          <cell r="J2512">
            <v>0</v>
          </cell>
          <cell r="K2512">
            <v>0</v>
          </cell>
          <cell r="L2512" t="str">
            <v>贷</v>
          </cell>
          <cell r="M2512">
            <v>49894</v>
          </cell>
          <cell r="N2512">
            <v>0</v>
          </cell>
          <cell r="O2512">
            <v>475279.16</v>
          </cell>
        </row>
        <row r="2513">
          <cell r="A2513" t="str">
            <v>10</v>
          </cell>
          <cell r="B2513" t="str">
            <v>22</v>
          </cell>
          <cell r="C2513" t="str">
            <v>记-0034</v>
          </cell>
          <cell r="D2513" t="str">
            <v>181</v>
          </cell>
          <cell r="E2513" t="str">
            <v>高丽参</v>
          </cell>
          <cell r="F2513" t="str">
            <v>收购产品</v>
          </cell>
          <cell r="G2513">
            <v>8.44956</v>
          </cell>
          <cell r="H2513">
            <v>2976</v>
          </cell>
          <cell r="I2513">
            <v>25145.88</v>
          </cell>
          <cell r="J2513">
            <v>0</v>
          </cell>
          <cell r="K2513">
            <v>0</v>
          </cell>
          <cell r="L2513" t="str">
            <v>贷</v>
          </cell>
          <cell r="M2513">
            <v>46918</v>
          </cell>
          <cell r="N2513">
            <v>0</v>
          </cell>
          <cell r="O2513">
            <v>450133.28</v>
          </cell>
        </row>
        <row r="2514">
          <cell r="A2514" t="str">
            <v>10</v>
          </cell>
          <cell r="B2514" t="str">
            <v>22</v>
          </cell>
          <cell r="C2514" t="str">
            <v>记-0034</v>
          </cell>
          <cell r="D2514" t="str">
            <v>181</v>
          </cell>
          <cell r="E2514" t="str">
            <v>高丽参</v>
          </cell>
          <cell r="F2514" t="str">
            <v>收购产品</v>
          </cell>
          <cell r="G2514">
            <v>7.6045999999999996</v>
          </cell>
          <cell r="H2514">
            <v>2000</v>
          </cell>
          <cell r="I2514">
            <v>15209.2</v>
          </cell>
          <cell r="J2514">
            <v>0</v>
          </cell>
          <cell r="K2514">
            <v>0</v>
          </cell>
          <cell r="L2514" t="str">
            <v>贷</v>
          </cell>
          <cell r="M2514">
            <v>44918</v>
          </cell>
          <cell r="N2514">
            <v>0</v>
          </cell>
          <cell r="O2514">
            <v>434924.08</v>
          </cell>
        </row>
        <row r="2515">
          <cell r="A2515" t="str">
            <v>10</v>
          </cell>
          <cell r="B2515" t="str">
            <v>22</v>
          </cell>
          <cell r="C2515" t="str">
            <v>记-0034</v>
          </cell>
          <cell r="D2515" t="str">
            <v>181</v>
          </cell>
          <cell r="E2515" t="str">
            <v>高丽参</v>
          </cell>
          <cell r="F2515" t="str">
            <v>收购产品</v>
          </cell>
          <cell r="G2515">
            <v>6.4216600000000001</v>
          </cell>
          <cell r="H2515">
            <v>4700</v>
          </cell>
          <cell r="I2515">
            <v>30181.82</v>
          </cell>
          <cell r="J2515">
            <v>0</v>
          </cell>
          <cell r="K2515">
            <v>0</v>
          </cell>
          <cell r="L2515" t="str">
            <v>贷</v>
          </cell>
          <cell r="M2515">
            <v>40218</v>
          </cell>
          <cell r="N2515">
            <v>0</v>
          </cell>
          <cell r="O2515">
            <v>404742.26</v>
          </cell>
        </row>
        <row r="2516">
          <cell r="A2516" t="str">
            <v>10</v>
          </cell>
          <cell r="B2516" t="str">
            <v>22</v>
          </cell>
          <cell r="C2516" t="str">
            <v>记-0034</v>
          </cell>
          <cell r="D2516" t="str">
            <v>181</v>
          </cell>
          <cell r="E2516" t="str">
            <v>高丽参</v>
          </cell>
          <cell r="F2516" t="str">
            <v>收购产品</v>
          </cell>
          <cell r="G2516">
            <v>6.2104200000000001</v>
          </cell>
          <cell r="H2516">
            <v>1000</v>
          </cell>
          <cell r="I2516">
            <v>6210.42</v>
          </cell>
          <cell r="J2516">
            <v>0</v>
          </cell>
          <cell r="K2516">
            <v>0</v>
          </cell>
          <cell r="L2516" t="str">
            <v>贷</v>
          </cell>
          <cell r="M2516">
            <v>39218</v>
          </cell>
          <cell r="N2516">
            <v>0</v>
          </cell>
          <cell r="O2516">
            <v>398531.84000000003</v>
          </cell>
        </row>
        <row r="2517">
          <cell r="A2517" t="str">
            <v>10</v>
          </cell>
          <cell r="B2517" t="str">
            <v>22</v>
          </cell>
          <cell r="C2517" t="str">
            <v>记-0034</v>
          </cell>
          <cell r="D2517" t="str">
            <v>181</v>
          </cell>
          <cell r="E2517" t="str">
            <v>高丽参</v>
          </cell>
          <cell r="F2517" t="str">
            <v>收购产品</v>
          </cell>
          <cell r="G2517">
            <v>4.9007399999999999</v>
          </cell>
          <cell r="H2517">
            <v>1900</v>
          </cell>
          <cell r="I2517">
            <v>9311.41</v>
          </cell>
          <cell r="J2517">
            <v>0</v>
          </cell>
          <cell r="K2517">
            <v>0</v>
          </cell>
          <cell r="L2517" t="str">
            <v>贷</v>
          </cell>
          <cell r="M2517">
            <v>37318</v>
          </cell>
          <cell r="N2517">
            <v>0</v>
          </cell>
          <cell r="O2517">
            <v>389220.43</v>
          </cell>
        </row>
        <row r="2518">
          <cell r="A2518" t="str">
            <v>10</v>
          </cell>
          <cell r="B2518" t="str">
            <v>22</v>
          </cell>
          <cell r="C2518" t="str">
            <v>记-0034</v>
          </cell>
          <cell r="D2518" t="str">
            <v>181</v>
          </cell>
          <cell r="E2518" t="str">
            <v>高丽参</v>
          </cell>
          <cell r="F2518" t="str">
            <v>收购产品</v>
          </cell>
          <cell r="G2518">
            <v>4.6472600000000002</v>
          </cell>
          <cell r="H2518">
            <v>2600</v>
          </cell>
          <cell r="I2518">
            <v>12082.87</v>
          </cell>
          <cell r="J2518">
            <v>0</v>
          </cell>
          <cell r="K2518">
            <v>0</v>
          </cell>
          <cell r="L2518" t="str">
            <v>贷</v>
          </cell>
          <cell r="M2518">
            <v>34718</v>
          </cell>
          <cell r="N2518">
            <v>0</v>
          </cell>
          <cell r="O2518">
            <v>377137.56</v>
          </cell>
        </row>
        <row r="2519">
          <cell r="A2519" t="str">
            <v>10</v>
          </cell>
          <cell r="B2519" t="str">
            <v>22</v>
          </cell>
          <cell r="C2519" t="str">
            <v>记-0034</v>
          </cell>
          <cell r="D2519" t="str">
            <v>181</v>
          </cell>
          <cell r="E2519" t="str">
            <v>高丽参</v>
          </cell>
          <cell r="F2519" t="str">
            <v>收购产品</v>
          </cell>
          <cell r="G2519">
            <v>4.39377</v>
          </cell>
          <cell r="H2519">
            <v>2000</v>
          </cell>
          <cell r="I2519">
            <v>8787.5400000000009</v>
          </cell>
          <cell r="J2519">
            <v>0</v>
          </cell>
          <cell r="K2519">
            <v>0</v>
          </cell>
          <cell r="L2519" t="str">
            <v>贷</v>
          </cell>
          <cell r="M2519">
            <v>32718</v>
          </cell>
          <cell r="N2519">
            <v>0</v>
          </cell>
          <cell r="O2519">
            <v>368350.02</v>
          </cell>
        </row>
        <row r="2520">
          <cell r="A2520" t="str">
            <v>10</v>
          </cell>
          <cell r="B2520" t="str">
            <v>22</v>
          </cell>
          <cell r="C2520" t="str">
            <v>记-0034</v>
          </cell>
          <cell r="D2520" t="str">
            <v>181</v>
          </cell>
          <cell r="E2520" t="str">
            <v>高丽参</v>
          </cell>
          <cell r="F2520" t="str">
            <v>收购产品</v>
          </cell>
          <cell r="G2520">
            <v>3.48122</v>
          </cell>
          <cell r="H2520">
            <v>1000</v>
          </cell>
          <cell r="I2520">
            <v>3481.22</v>
          </cell>
          <cell r="J2520">
            <v>0</v>
          </cell>
          <cell r="K2520">
            <v>0</v>
          </cell>
          <cell r="L2520" t="str">
            <v>贷</v>
          </cell>
          <cell r="M2520">
            <v>31718</v>
          </cell>
          <cell r="N2520">
            <v>0</v>
          </cell>
          <cell r="O2520">
            <v>364868.8</v>
          </cell>
        </row>
        <row r="2521">
          <cell r="A2521" t="str">
            <v>10</v>
          </cell>
          <cell r="B2521" t="str">
            <v>22</v>
          </cell>
          <cell r="C2521" t="str">
            <v>记-0035</v>
          </cell>
          <cell r="D2521" t="str">
            <v>181</v>
          </cell>
          <cell r="E2521" t="str">
            <v>高丽参</v>
          </cell>
          <cell r="F2521" t="str">
            <v>收购产品</v>
          </cell>
          <cell r="G2521">
            <v>6.1681800000000004</v>
          </cell>
          <cell r="H2521">
            <v>1000</v>
          </cell>
          <cell r="I2521">
            <v>6168.18</v>
          </cell>
          <cell r="J2521">
            <v>0</v>
          </cell>
          <cell r="K2521">
            <v>0</v>
          </cell>
          <cell r="L2521" t="str">
            <v>贷</v>
          </cell>
          <cell r="M2521">
            <v>30718</v>
          </cell>
          <cell r="N2521">
            <v>0</v>
          </cell>
          <cell r="O2521">
            <v>358700.62</v>
          </cell>
        </row>
        <row r="2522">
          <cell r="A2522" t="str">
            <v>10</v>
          </cell>
          <cell r="B2522" t="str">
            <v>22</v>
          </cell>
          <cell r="C2522" t="str">
            <v>记-0035</v>
          </cell>
          <cell r="D2522" t="str">
            <v>181</v>
          </cell>
          <cell r="E2522" t="str">
            <v>高丽参</v>
          </cell>
          <cell r="F2522" t="str">
            <v>收购产品</v>
          </cell>
          <cell r="G2522">
            <v>6.4554600000000004</v>
          </cell>
          <cell r="H2522">
            <v>6000</v>
          </cell>
          <cell r="I2522">
            <v>38732.769999999997</v>
          </cell>
          <cell r="J2522">
            <v>0</v>
          </cell>
          <cell r="K2522">
            <v>0</v>
          </cell>
          <cell r="L2522" t="str">
            <v>贷</v>
          </cell>
          <cell r="M2522">
            <v>24718</v>
          </cell>
          <cell r="N2522">
            <v>0</v>
          </cell>
          <cell r="O2522">
            <v>319967.84999999998</v>
          </cell>
        </row>
        <row r="2523">
          <cell r="A2523" t="str">
            <v>10</v>
          </cell>
          <cell r="B2523" t="str">
            <v>22</v>
          </cell>
          <cell r="C2523" t="str">
            <v>记-0035</v>
          </cell>
          <cell r="D2523" t="str">
            <v>181</v>
          </cell>
          <cell r="E2523" t="str">
            <v>高丽参</v>
          </cell>
          <cell r="F2523" t="str">
            <v>收购产品</v>
          </cell>
          <cell r="G2523">
            <v>7.6045999999999996</v>
          </cell>
          <cell r="H2523">
            <v>4000</v>
          </cell>
          <cell r="I2523">
            <v>30418.41</v>
          </cell>
          <cell r="J2523">
            <v>0</v>
          </cell>
          <cell r="K2523">
            <v>0</v>
          </cell>
          <cell r="L2523" t="str">
            <v>贷</v>
          </cell>
          <cell r="M2523">
            <v>20718</v>
          </cell>
          <cell r="N2523">
            <v>0</v>
          </cell>
          <cell r="O2523">
            <v>289549.44</v>
          </cell>
        </row>
        <row r="2524">
          <cell r="A2524" t="str">
            <v>10</v>
          </cell>
          <cell r="B2524" t="str">
            <v>22</v>
          </cell>
          <cell r="C2524" t="str">
            <v>记-0035</v>
          </cell>
          <cell r="D2524" t="str">
            <v>181</v>
          </cell>
          <cell r="E2524" t="str">
            <v>高丽参</v>
          </cell>
          <cell r="F2524" t="str">
            <v>收购产品</v>
          </cell>
          <cell r="G2524">
            <v>8.4492200000000004</v>
          </cell>
          <cell r="H2524">
            <v>5018</v>
          </cell>
          <cell r="I2524">
            <v>42398.19</v>
          </cell>
          <cell r="J2524">
            <v>0</v>
          </cell>
          <cell r="K2524">
            <v>0</v>
          </cell>
          <cell r="L2524" t="str">
            <v>贷</v>
          </cell>
          <cell r="M2524">
            <v>15700</v>
          </cell>
          <cell r="N2524">
            <v>0</v>
          </cell>
          <cell r="O2524">
            <v>247151.25</v>
          </cell>
        </row>
        <row r="2525">
          <cell r="A2525" t="str">
            <v>10</v>
          </cell>
          <cell r="B2525" t="str">
            <v>22</v>
          </cell>
          <cell r="C2525" t="str">
            <v>记-0035</v>
          </cell>
          <cell r="D2525" t="str">
            <v>181</v>
          </cell>
          <cell r="E2525" t="str">
            <v>高丽参</v>
          </cell>
          <cell r="F2525" t="str">
            <v>收购产品</v>
          </cell>
          <cell r="G2525">
            <v>12.446199999999999</v>
          </cell>
          <cell r="H2525">
            <v>3800</v>
          </cell>
          <cell r="I2525">
            <v>47295.55</v>
          </cell>
          <cell r="J2525">
            <v>0</v>
          </cell>
          <cell r="K2525">
            <v>0</v>
          </cell>
          <cell r="L2525" t="str">
            <v>贷</v>
          </cell>
          <cell r="M2525">
            <v>11900</v>
          </cell>
          <cell r="N2525">
            <v>0</v>
          </cell>
          <cell r="O2525">
            <v>199855.7</v>
          </cell>
        </row>
        <row r="2526">
          <cell r="A2526" t="str">
            <v>10</v>
          </cell>
          <cell r="B2526" t="str">
            <v>22</v>
          </cell>
          <cell r="C2526" t="str">
            <v>记-0035</v>
          </cell>
          <cell r="D2526" t="str">
            <v>181</v>
          </cell>
          <cell r="E2526" t="str">
            <v>高丽参</v>
          </cell>
          <cell r="F2526" t="str">
            <v>收购产品</v>
          </cell>
          <cell r="G2526">
            <v>10.350709999999999</v>
          </cell>
          <cell r="H2526">
            <v>4000</v>
          </cell>
          <cell r="I2526">
            <v>41402.83</v>
          </cell>
          <cell r="J2526">
            <v>0</v>
          </cell>
          <cell r="K2526">
            <v>0</v>
          </cell>
          <cell r="L2526" t="str">
            <v>贷</v>
          </cell>
          <cell r="M2526">
            <v>7900</v>
          </cell>
          <cell r="N2526">
            <v>0</v>
          </cell>
          <cell r="O2526">
            <v>158452.87</v>
          </cell>
        </row>
        <row r="2527">
          <cell r="A2527" t="str">
            <v>10</v>
          </cell>
          <cell r="B2527" t="str">
            <v>22</v>
          </cell>
          <cell r="C2527" t="str">
            <v>记-0035</v>
          </cell>
          <cell r="D2527" t="str">
            <v>181</v>
          </cell>
          <cell r="E2527" t="str">
            <v>高丽参</v>
          </cell>
          <cell r="F2527" t="str">
            <v>收购产品</v>
          </cell>
          <cell r="G2527">
            <v>11.93078</v>
          </cell>
          <cell r="H2527">
            <v>2500</v>
          </cell>
          <cell r="I2527">
            <v>29826.94</v>
          </cell>
          <cell r="J2527">
            <v>0</v>
          </cell>
          <cell r="K2527">
            <v>0</v>
          </cell>
          <cell r="L2527" t="str">
            <v>贷</v>
          </cell>
          <cell r="M2527">
            <v>5400</v>
          </cell>
          <cell r="N2527">
            <v>0</v>
          </cell>
          <cell r="O2527">
            <v>128625.93</v>
          </cell>
        </row>
        <row r="2528">
          <cell r="A2528" t="str">
            <v>10</v>
          </cell>
          <cell r="B2528" t="str">
            <v>22</v>
          </cell>
          <cell r="C2528" t="str">
            <v>记-0035</v>
          </cell>
          <cell r="D2528" t="str">
            <v>181</v>
          </cell>
          <cell r="E2528" t="str">
            <v>高丽参</v>
          </cell>
          <cell r="F2528" t="str">
            <v>收购产品</v>
          </cell>
          <cell r="G2528">
            <v>15.69083</v>
          </cell>
          <cell r="H2528">
            <v>2000</v>
          </cell>
          <cell r="I2528">
            <v>31381.66</v>
          </cell>
          <cell r="J2528">
            <v>0</v>
          </cell>
          <cell r="K2528">
            <v>0</v>
          </cell>
          <cell r="L2528" t="str">
            <v>贷</v>
          </cell>
          <cell r="M2528">
            <v>3400</v>
          </cell>
          <cell r="N2528">
            <v>0</v>
          </cell>
          <cell r="O2528">
            <v>97244.27</v>
          </cell>
        </row>
        <row r="2529">
          <cell r="A2529" t="str">
            <v>10</v>
          </cell>
          <cell r="B2529" t="str">
            <v>22</v>
          </cell>
          <cell r="C2529" t="str">
            <v>记-0035</v>
          </cell>
          <cell r="D2529" t="str">
            <v>181</v>
          </cell>
          <cell r="E2529" t="str">
            <v>高丽参</v>
          </cell>
          <cell r="F2529" t="str">
            <v>收购产品</v>
          </cell>
          <cell r="G2529">
            <v>22.644819999999999</v>
          </cell>
          <cell r="H2529">
            <v>1800</v>
          </cell>
          <cell r="I2529">
            <v>40760.67</v>
          </cell>
          <cell r="J2529">
            <v>0</v>
          </cell>
          <cell r="K2529">
            <v>0</v>
          </cell>
          <cell r="L2529" t="str">
            <v>贷</v>
          </cell>
          <cell r="M2529">
            <v>1600</v>
          </cell>
          <cell r="N2529">
            <v>0</v>
          </cell>
          <cell r="O2529">
            <v>56483.6</v>
          </cell>
        </row>
        <row r="2530">
          <cell r="A2530" t="str">
            <v>10</v>
          </cell>
          <cell r="B2530" t="str">
            <v>22</v>
          </cell>
          <cell r="C2530" t="str">
            <v>记-0035</v>
          </cell>
          <cell r="D2530" t="str">
            <v>181</v>
          </cell>
          <cell r="E2530" t="str">
            <v>高丽参</v>
          </cell>
          <cell r="F2530" t="str">
            <v>收购产品</v>
          </cell>
          <cell r="G2530">
            <v>35.302250000000001</v>
          </cell>
          <cell r="H2530">
            <v>1600</v>
          </cell>
          <cell r="I2530">
            <v>56483.6</v>
          </cell>
          <cell r="J2530">
            <v>0</v>
          </cell>
          <cell r="K2530">
            <v>0</v>
          </cell>
          <cell r="L2530" t="str">
            <v>平</v>
          </cell>
          <cell r="M2530">
            <v>0</v>
          </cell>
          <cell r="N2530">
            <v>0</v>
          </cell>
          <cell r="O2530">
            <v>0</v>
          </cell>
        </row>
        <row r="2531">
          <cell r="A2531" t="str">
            <v>10</v>
          </cell>
          <cell r="F2531" t="str">
            <v>本月合计</v>
          </cell>
          <cell r="G2531">
            <v>0</v>
          </cell>
          <cell r="H2531">
            <v>113449</v>
          </cell>
          <cell r="I2531">
            <v>1045949.59</v>
          </cell>
          <cell r="J2531">
            <v>113449</v>
          </cell>
          <cell r="K2531">
            <v>1045949.59</v>
          </cell>
          <cell r="L2531" t="str">
            <v>平</v>
          </cell>
          <cell r="M2531">
            <v>0</v>
          </cell>
          <cell r="N2531">
            <v>0</v>
          </cell>
          <cell r="O2531">
            <v>0</v>
          </cell>
        </row>
        <row r="2532">
          <cell r="A2532" t="str">
            <v>10</v>
          </cell>
          <cell r="E2532" t="str">
            <v>高丽参</v>
          </cell>
          <cell r="F2532" t="str">
            <v>本年累计</v>
          </cell>
          <cell r="G2532">
            <v>0</v>
          </cell>
          <cell r="H2532">
            <v>169936.2</v>
          </cell>
          <cell r="I2532">
            <v>1459034.1</v>
          </cell>
          <cell r="J2532">
            <v>169936.2</v>
          </cell>
          <cell r="K2532">
            <v>1459034.1</v>
          </cell>
          <cell r="L2532" t="str">
            <v>平</v>
          </cell>
          <cell r="M2532">
            <v>0</v>
          </cell>
          <cell r="N2532">
            <v>0</v>
          </cell>
          <cell r="O2532">
            <v>0</v>
          </cell>
        </row>
        <row r="2533">
          <cell r="A2533" t="str">
            <v>04</v>
          </cell>
          <cell r="B2533" t="str">
            <v>30</v>
          </cell>
          <cell r="C2533" t="str">
            <v>记-0032</v>
          </cell>
          <cell r="D2533" t="str">
            <v>182</v>
          </cell>
          <cell r="E2533" t="str">
            <v>高丽参(大)</v>
          </cell>
          <cell r="F2533" t="str">
            <v>收购产品</v>
          </cell>
          <cell r="G2533">
            <v>674.27439000000004</v>
          </cell>
          <cell r="H2533">
            <v>3.28</v>
          </cell>
          <cell r="I2533">
            <v>2211.62</v>
          </cell>
          <cell r="J2533">
            <v>0</v>
          </cell>
          <cell r="K2533">
            <v>0</v>
          </cell>
          <cell r="L2533" t="str">
            <v>借</v>
          </cell>
          <cell r="M2533">
            <v>3.28</v>
          </cell>
          <cell r="N2533">
            <v>0</v>
          </cell>
          <cell r="O2533">
            <v>2211.62</v>
          </cell>
        </row>
        <row r="2534">
          <cell r="A2534" t="str">
            <v>04</v>
          </cell>
          <cell r="B2534" t="str">
            <v>30</v>
          </cell>
          <cell r="C2534" t="str">
            <v>记-0050</v>
          </cell>
          <cell r="D2534" t="str">
            <v>182</v>
          </cell>
          <cell r="E2534" t="str">
            <v>高丽参(大)</v>
          </cell>
          <cell r="F2534" t="str">
            <v>转成本</v>
          </cell>
          <cell r="G2534">
            <v>674.27439000000004</v>
          </cell>
          <cell r="H2534">
            <v>0</v>
          </cell>
          <cell r="I2534">
            <v>0</v>
          </cell>
          <cell r="J2534">
            <v>3.28</v>
          </cell>
          <cell r="K2534">
            <v>2211.62</v>
          </cell>
          <cell r="L2534" t="str">
            <v>平</v>
          </cell>
          <cell r="M2534">
            <v>0</v>
          </cell>
          <cell r="N2534">
            <v>0</v>
          </cell>
          <cell r="O2534">
            <v>0</v>
          </cell>
        </row>
        <row r="2535">
          <cell r="A2535" t="str">
            <v>04</v>
          </cell>
          <cell r="F2535" t="str">
            <v>本月合计</v>
          </cell>
          <cell r="G2535">
            <v>0</v>
          </cell>
          <cell r="H2535">
            <v>3.28</v>
          </cell>
          <cell r="I2535">
            <v>2211.62</v>
          </cell>
          <cell r="J2535">
            <v>3.28</v>
          </cell>
          <cell r="K2535">
            <v>2211.62</v>
          </cell>
          <cell r="L2535" t="str">
            <v>平</v>
          </cell>
          <cell r="M2535">
            <v>0</v>
          </cell>
          <cell r="N2535">
            <v>0</v>
          </cell>
          <cell r="O2535">
            <v>0</v>
          </cell>
        </row>
        <row r="2536">
          <cell r="A2536" t="str">
            <v>04</v>
          </cell>
          <cell r="E2536" t="str">
            <v>高丽参(大)</v>
          </cell>
          <cell r="F2536" t="str">
            <v>本年累计</v>
          </cell>
          <cell r="G2536">
            <v>0</v>
          </cell>
          <cell r="H2536">
            <v>3.28</v>
          </cell>
          <cell r="I2536">
            <v>2211.62</v>
          </cell>
          <cell r="J2536">
            <v>3.28</v>
          </cell>
          <cell r="K2536">
            <v>2211.62</v>
          </cell>
          <cell r="L2536" t="str">
            <v>平</v>
          </cell>
          <cell r="M2536">
            <v>0</v>
          </cell>
          <cell r="N2536">
            <v>0</v>
          </cell>
          <cell r="O2536">
            <v>0</v>
          </cell>
        </row>
        <row r="2537">
          <cell r="A2537" t="str">
            <v>04</v>
          </cell>
          <cell r="B2537" t="str">
            <v>30</v>
          </cell>
          <cell r="C2537" t="str">
            <v>记-0032</v>
          </cell>
          <cell r="D2537" t="str">
            <v>183</v>
          </cell>
          <cell r="E2537" t="str">
            <v>花胶</v>
          </cell>
          <cell r="F2537" t="str">
            <v>收购产品</v>
          </cell>
          <cell r="G2537">
            <v>189.13489999999999</v>
          </cell>
          <cell r="H2537">
            <v>100</v>
          </cell>
          <cell r="I2537">
            <v>18913.490000000002</v>
          </cell>
          <cell r="J2537">
            <v>0</v>
          </cell>
          <cell r="K2537">
            <v>0</v>
          </cell>
          <cell r="L2537" t="str">
            <v>借</v>
          </cell>
          <cell r="M2537">
            <v>100</v>
          </cell>
          <cell r="N2537">
            <v>0</v>
          </cell>
          <cell r="O2537">
            <v>18913.490000000002</v>
          </cell>
        </row>
        <row r="2538">
          <cell r="A2538" t="str">
            <v>04</v>
          </cell>
          <cell r="B2538" t="str">
            <v>30</v>
          </cell>
          <cell r="C2538" t="str">
            <v>记-0047</v>
          </cell>
          <cell r="D2538" t="str">
            <v>183</v>
          </cell>
          <cell r="E2538" t="str">
            <v>花胶</v>
          </cell>
          <cell r="F2538" t="str">
            <v>转成本</v>
          </cell>
          <cell r="G2538">
            <v>189.13489999999999</v>
          </cell>
          <cell r="H2538">
            <v>0</v>
          </cell>
          <cell r="I2538">
            <v>0</v>
          </cell>
          <cell r="J2538">
            <v>100</v>
          </cell>
          <cell r="K2538">
            <v>18913.490000000002</v>
          </cell>
          <cell r="L2538" t="str">
            <v>平</v>
          </cell>
          <cell r="M2538">
            <v>0</v>
          </cell>
          <cell r="N2538">
            <v>0</v>
          </cell>
          <cell r="O2538">
            <v>0</v>
          </cell>
        </row>
        <row r="2539">
          <cell r="A2539" t="str">
            <v>04</v>
          </cell>
          <cell r="F2539" t="str">
            <v>本月合计</v>
          </cell>
          <cell r="G2539">
            <v>0</v>
          </cell>
          <cell r="H2539">
            <v>100</v>
          </cell>
          <cell r="I2539">
            <v>18913.490000000002</v>
          </cell>
          <cell r="J2539">
            <v>100</v>
          </cell>
          <cell r="K2539">
            <v>18913.490000000002</v>
          </cell>
          <cell r="L2539" t="str">
            <v>平</v>
          </cell>
          <cell r="M2539">
            <v>0</v>
          </cell>
          <cell r="N2539">
            <v>0</v>
          </cell>
          <cell r="O2539">
            <v>0</v>
          </cell>
        </row>
        <row r="2540">
          <cell r="A2540" t="str">
            <v>04</v>
          </cell>
          <cell r="F2540" t="str">
            <v>累    计</v>
          </cell>
          <cell r="G2540">
            <v>0</v>
          </cell>
          <cell r="H2540">
            <v>100</v>
          </cell>
          <cell r="I2540">
            <v>18913.490000000002</v>
          </cell>
          <cell r="J2540">
            <v>100</v>
          </cell>
          <cell r="K2540">
            <v>18913.490000000002</v>
          </cell>
          <cell r="L2540" t="str">
            <v>平</v>
          </cell>
          <cell r="M2540">
            <v>0</v>
          </cell>
          <cell r="N2540">
            <v>0</v>
          </cell>
          <cell r="O2540">
            <v>0</v>
          </cell>
        </row>
        <row r="2541">
          <cell r="A2541" t="str">
            <v>07</v>
          </cell>
          <cell r="B2541" t="str">
            <v>22</v>
          </cell>
          <cell r="C2541" t="str">
            <v>记-0049</v>
          </cell>
          <cell r="D2541" t="str">
            <v>183</v>
          </cell>
          <cell r="E2541" t="str">
            <v>花胶</v>
          </cell>
          <cell r="F2541" t="str">
            <v>结转成本</v>
          </cell>
          <cell r="G2541">
            <v>189.13499999999999</v>
          </cell>
          <cell r="H2541">
            <v>0</v>
          </cell>
          <cell r="I2541">
            <v>0</v>
          </cell>
          <cell r="J2541">
            <v>60</v>
          </cell>
          <cell r="K2541">
            <v>11348.1</v>
          </cell>
          <cell r="L2541" t="str">
            <v>贷</v>
          </cell>
          <cell r="M2541">
            <v>60</v>
          </cell>
          <cell r="N2541">
            <v>0</v>
          </cell>
          <cell r="O2541">
            <v>11348.1</v>
          </cell>
        </row>
        <row r="2542">
          <cell r="A2542" t="str">
            <v>07</v>
          </cell>
          <cell r="B2542" t="str">
            <v>22</v>
          </cell>
          <cell r="C2542" t="str">
            <v>记-0049</v>
          </cell>
          <cell r="D2542" t="str">
            <v>183</v>
          </cell>
          <cell r="E2542" t="str">
            <v>花胶</v>
          </cell>
          <cell r="F2542" t="str">
            <v>结转成本</v>
          </cell>
          <cell r="G2542">
            <v>189.13480000000001</v>
          </cell>
          <cell r="H2542">
            <v>0</v>
          </cell>
          <cell r="I2542">
            <v>0</v>
          </cell>
          <cell r="J2542">
            <v>50</v>
          </cell>
          <cell r="K2542">
            <v>9456.74</v>
          </cell>
          <cell r="L2542" t="str">
            <v>贷</v>
          </cell>
          <cell r="M2542">
            <v>110</v>
          </cell>
          <cell r="N2542">
            <v>0</v>
          </cell>
          <cell r="O2542">
            <v>20804.84</v>
          </cell>
        </row>
        <row r="2543">
          <cell r="A2543" t="str">
            <v>07</v>
          </cell>
          <cell r="B2543" t="str">
            <v>22</v>
          </cell>
          <cell r="C2543" t="str">
            <v>记-0056</v>
          </cell>
          <cell r="D2543" t="str">
            <v>183</v>
          </cell>
          <cell r="E2543" t="str">
            <v>花胶</v>
          </cell>
          <cell r="F2543" t="str">
            <v>收购产品</v>
          </cell>
          <cell r="G2543">
            <v>189.13499999999999</v>
          </cell>
          <cell r="H2543">
            <v>60</v>
          </cell>
          <cell r="I2543">
            <v>11348.1</v>
          </cell>
          <cell r="J2543">
            <v>0</v>
          </cell>
          <cell r="K2543">
            <v>0</v>
          </cell>
          <cell r="L2543" t="str">
            <v>贷</v>
          </cell>
          <cell r="M2543">
            <v>50</v>
          </cell>
          <cell r="N2543">
            <v>0</v>
          </cell>
          <cell r="O2543">
            <v>9456.74</v>
          </cell>
        </row>
        <row r="2544">
          <cell r="A2544" t="str">
            <v>07</v>
          </cell>
          <cell r="B2544" t="str">
            <v>22</v>
          </cell>
          <cell r="C2544" t="str">
            <v>记-0056</v>
          </cell>
          <cell r="D2544" t="str">
            <v>183</v>
          </cell>
          <cell r="E2544" t="str">
            <v>花胶</v>
          </cell>
          <cell r="F2544" t="str">
            <v>收购产品</v>
          </cell>
          <cell r="G2544">
            <v>189.13480000000001</v>
          </cell>
          <cell r="H2544">
            <v>50</v>
          </cell>
          <cell r="I2544">
            <v>9456.74</v>
          </cell>
          <cell r="J2544">
            <v>0</v>
          </cell>
          <cell r="K2544">
            <v>0</v>
          </cell>
          <cell r="L2544" t="str">
            <v>平</v>
          </cell>
          <cell r="M2544">
            <v>0</v>
          </cell>
          <cell r="N2544">
            <v>0</v>
          </cell>
          <cell r="O2544">
            <v>0</v>
          </cell>
        </row>
        <row r="2545">
          <cell r="A2545" t="str">
            <v>07</v>
          </cell>
          <cell r="F2545" t="str">
            <v>本月合计</v>
          </cell>
          <cell r="G2545">
            <v>0</v>
          </cell>
          <cell r="H2545">
            <v>110</v>
          </cell>
          <cell r="I2545">
            <v>20804.84</v>
          </cell>
          <cell r="J2545">
            <v>110</v>
          </cell>
          <cell r="K2545">
            <v>20804.84</v>
          </cell>
          <cell r="L2545" t="str">
            <v>平</v>
          </cell>
          <cell r="M2545">
            <v>0</v>
          </cell>
          <cell r="N2545">
            <v>0</v>
          </cell>
          <cell r="O2545">
            <v>0</v>
          </cell>
        </row>
        <row r="2546">
          <cell r="A2546" t="str">
            <v>07</v>
          </cell>
          <cell r="F2546" t="str">
            <v>累    计</v>
          </cell>
          <cell r="G2546">
            <v>0</v>
          </cell>
          <cell r="H2546">
            <v>210</v>
          </cell>
          <cell r="I2546">
            <v>39718.33</v>
          </cell>
          <cell r="J2546">
            <v>210</v>
          </cell>
          <cell r="K2546">
            <v>39718.33</v>
          </cell>
          <cell r="L2546" t="str">
            <v>平</v>
          </cell>
          <cell r="M2546">
            <v>0</v>
          </cell>
          <cell r="N2546">
            <v>0</v>
          </cell>
          <cell r="O2546">
            <v>0</v>
          </cell>
        </row>
        <row r="2547">
          <cell r="A2547" t="str">
            <v>08</v>
          </cell>
          <cell r="B2547" t="str">
            <v>25</v>
          </cell>
          <cell r="C2547" t="str">
            <v>记-0058</v>
          </cell>
          <cell r="D2547" t="str">
            <v>183</v>
          </cell>
          <cell r="E2547" t="str">
            <v>花胶</v>
          </cell>
          <cell r="F2547" t="str">
            <v>结转成本</v>
          </cell>
          <cell r="G2547">
            <v>198.142</v>
          </cell>
          <cell r="H2547">
            <v>0</v>
          </cell>
          <cell r="I2547">
            <v>0</v>
          </cell>
          <cell r="J2547">
            <v>60</v>
          </cell>
          <cell r="K2547">
            <v>11888.52</v>
          </cell>
          <cell r="L2547" t="str">
            <v>贷</v>
          </cell>
          <cell r="M2547">
            <v>60</v>
          </cell>
          <cell r="N2547">
            <v>0</v>
          </cell>
          <cell r="O2547">
            <v>11888.52</v>
          </cell>
        </row>
        <row r="2548">
          <cell r="A2548" t="str">
            <v>08</v>
          </cell>
          <cell r="B2548" t="str">
            <v>25</v>
          </cell>
          <cell r="C2548" t="str">
            <v>记-0065</v>
          </cell>
          <cell r="D2548" t="str">
            <v>183</v>
          </cell>
          <cell r="E2548" t="str">
            <v>花胶</v>
          </cell>
          <cell r="F2548" t="str">
            <v>收购产品</v>
          </cell>
          <cell r="G2548">
            <v>198.142</v>
          </cell>
          <cell r="H2548">
            <v>60</v>
          </cell>
          <cell r="I2548">
            <v>11888.52</v>
          </cell>
          <cell r="J2548">
            <v>0</v>
          </cell>
          <cell r="K2548">
            <v>0</v>
          </cell>
          <cell r="L2548" t="str">
            <v>平</v>
          </cell>
          <cell r="M2548">
            <v>0</v>
          </cell>
          <cell r="N2548">
            <v>0</v>
          </cell>
          <cell r="O2548">
            <v>0</v>
          </cell>
        </row>
        <row r="2549">
          <cell r="A2549" t="str">
            <v>08</v>
          </cell>
          <cell r="F2549" t="str">
            <v>本月合计</v>
          </cell>
          <cell r="G2549">
            <v>0</v>
          </cell>
          <cell r="H2549">
            <v>60</v>
          </cell>
          <cell r="I2549">
            <v>11888.52</v>
          </cell>
          <cell r="J2549">
            <v>60</v>
          </cell>
          <cell r="K2549">
            <v>11888.52</v>
          </cell>
          <cell r="L2549" t="str">
            <v>平</v>
          </cell>
          <cell r="M2549">
            <v>0</v>
          </cell>
          <cell r="N2549">
            <v>0</v>
          </cell>
          <cell r="O2549">
            <v>0</v>
          </cell>
        </row>
        <row r="2550">
          <cell r="A2550" t="str">
            <v>08</v>
          </cell>
          <cell r="F2550" t="str">
            <v>累    计</v>
          </cell>
          <cell r="G2550">
            <v>0</v>
          </cell>
          <cell r="H2550">
            <v>270</v>
          </cell>
          <cell r="I2550">
            <v>51606.85</v>
          </cell>
          <cell r="J2550">
            <v>270</v>
          </cell>
          <cell r="K2550">
            <v>51606.85</v>
          </cell>
          <cell r="L2550" t="str">
            <v>平</v>
          </cell>
          <cell r="M2550">
            <v>0</v>
          </cell>
          <cell r="N2550">
            <v>0</v>
          </cell>
          <cell r="O2550">
            <v>0</v>
          </cell>
        </row>
        <row r="2551">
          <cell r="A2551" t="str">
            <v>11</v>
          </cell>
          <cell r="B2551" t="str">
            <v>30</v>
          </cell>
          <cell r="C2551" t="str">
            <v>记-0035</v>
          </cell>
          <cell r="D2551" t="str">
            <v>183</v>
          </cell>
          <cell r="E2551" t="str">
            <v>花胶</v>
          </cell>
          <cell r="F2551" t="str">
            <v>收购产品</v>
          </cell>
          <cell r="G2551">
            <v>189.18559999999999</v>
          </cell>
          <cell r="H2551">
            <v>400</v>
          </cell>
          <cell r="I2551">
            <v>75674.240000000005</v>
          </cell>
          <cell r="J2551">
            <v>0</v>
          </cell>
          <cell r="K2551">
            <v>0</v>
          </cell>
          <cell r="L2551" t="str">
            <v>借</v>
          </cell>
          <cell r="M2551">
            <v>400</v>
          </cell>
          <cell r="N2551">
            <v>0</v>
          </cell>
          <cell r="O2551">
            <v>75674.240000000005</v>
          </cell>
        </row>
        <row r="2552">
          <cell r="A2552" t="str">
            <v>11</v>
          </cell>
          <cell r="B2552" t="str">
            <v>30</v>
          </cell>
          <cell r="C2552" t="str">
            <v>记-0036</v>
          </cell>
          <cell r="D2552" t="str">
            <v>183</v>
          </cell>
          <cell r="E2552" t="str">
            <v>花胶</v>
          </cell>
          <cell r="F2552" t="str">
            <v>结转成本</v>
          </cell>
          <cell r="G2552">
            <v>189.18559999999999</v>
          </cell>
          <cell r="H2552">
            <v>0</v>
          </cell>
          <cell r="I2552">
            <v>0</v>
          </cell>
          <cell r="J2552">
            <v>400</v>
          </cell>
          <cell r="K2552">
            <v>75674.240000000005</v>
          </cell>
          <cell r="L2552" t="str">
            <v>平</v>
          </cell>
          <cell r="M2552">
            <v>0</v>
          </cell>
          <cell r="N2552">
            <v>0</v>
          </cell>
          <cell r="O2552">
            <v>0</v>
          </cell>
        </row>
        <row r="2553">
          <cell r="A2553" t="str">
            <v>11</v>
          </cell>
          <cell r="F2553" t="str">
            <v>本月合计</v>
          </cell>
          <cell r="G2553">
            <v>0</v>
          </cell>
          <cell r="H2553">
            <v>400</v>
          </cell>
          <cell r="I2553">
            <v>75674.240000000005</v>
          </cell>
          <cell r="J2553">
            <v>400</v>
          </cell>
          <cell r="K2553">
            <v>75674.240000000005</v>
          </cell>
          <cell r="L2553" t="str">
            <v>平</v>
          </cell>
          <cell r="M2553">
            <v>0</v>
          </cell>
          <cell r="N2553">
            <v>0</v>
          </cell>
          <cell r="O2553">
            <v>0</v>
          </cell>
        </row>
        <row r="2554">
          <cell r="A2554" t="str">
            <v>11</v>
          </cell>
          <cell r="F2554" t="str">
            <v>累    计</v>
          </cell>
          <cell r="G2554">
            <v>0</v>
          </cell>
          <cell r="H2554">
            <v>670</v>
          </cell>
          <cell r="I2554">
            <v>127281.09</v>
          </cell>
          <cell r="J2554">
            <v>670</v>
          </cell>
          <cell r="K2554">
            <v>127281.09</v>
          </cell>
          <cell r="L2554" t="str">
            <v>平</v>
          </cell>
          <cell r="M2554">
            <v>0</v>
          </cell>
          <cell r="N2554">
            <v>0</v>
          </cell>
          <cell r="O2554">
            <v>0</v>
          </cell>
        </row>
        <row r="2555">
          <cell r="A2555" t="str">
            <v>12</v>
          </cell>
          <cell r="B2555" t="str">
            <v>11</v>
          </cell>
          <cell r="C2555" t="str">
            <v>记-0023</v>
          </cell>
          <cell r="D2555" t="str">
            <v>183</v>
          </cell>
          <cell r="E2555" t="str">
            <v>花胶</v>
          </cell>
          <cell r="F2555" t="str">
            <v>收购产品</v>
          </cell>
          <cell r="G2555">
            <v>198.1421</v>
          </cell>
          <cell r="H2555">
            <v>100</v>
          </cell>
          <cell r="I2555">
            <v>19814.21</v>
          </cell>
          <cell r="J2555">
            <v>0</v>
          </cell>
          <cell r="K2555">
            <v>0</v>
          </cell>
          <cell r="L2555" t="str">
            <v>借</v>
          </cell>
          <cell r="M2555">
            <v>100</v>
          </cell>
          <cell r="N2555">
            <v>0</v>
          </cell>
          <cell r="O2555">
            <v>19814.21</v>
          </cell>
        </row>
        <row r="2556">
          <cell r="A2556" t="str">
            <v>12</v>
          </cell>
          <cell r="B2556" t="str">
            <v>11</v>
          </cell>
          <cell r="C2556" t="str">
            <v>记-0023</v>
          </cell>
          <cell r="D2556" t="str">
            <v>183</v>
          </cell>
          <cell r="E2556" t="str">
            <v>花胶</v>
          </cell>
          <cell r="F2556" t="str">
            <v>收购产品</v>
          </cell>
          <cell r="G2556">
            <v>189.18559999999999</v>
          </cell>
          <cell r="H2556">
            <v>150</v>
          </cell>
          <cell r="I2556">
            <v>28377.84</v>
          </cell>
          <cell r="J2556">
            <v>0</v>
          </cell>
          <cell r="K2556">
            <v>0</v>
          </cell>
          <cell r="L2556" t="str">
            <v>借</v>
          </cell>
          <cell r="M2556">
            <v>250</v>
          </cell>
          <cell r="N2556">
            <v>0</v>
          </cell>
          <cell r="O2556">
            <v>48192.05</v>
          </cell>
        </row>
        <row r="2557">
          <cell r="A2557" t="str">
            <v>12</v>
          </cell>
          <cell r="B2557" t="str">
            <v>11</v>
          </cell>
          <cell r="C2557" t="str">
            <v>记-0023</v>
          </cell>
          <cell r="D2557" t="str">
            <v>183</v>
          </cell>
          <cell r="E2557" t="str">
            <v>花胶</v>
          </cell>
          <cell r="F2557" t="str">
            <v>收购产品</v>
          </cell>
          <cell r="G2557">
            <v>198.14213000000001</v>
          </cell>
          <cell r="H2557">
            <v>300</v>
          </cell>
          <cell r="I2557">
            <v>59442.64</v>
          </cell>
          <cell r="J2557">
            <v>0</v>
          </cell>
          <cell r="K2557">
            <v>0</v>
          </cell>
          <cell r="L2557" t="str">
            <v>借</v>
          </cell>
          <cell r="M2557">
            <v>550</v>
          </cell>
          <cell r="N2557">
            <v>0</v>
          </cell>
          <cell r="O2557">
            <v>107634.69</v>
          </cell>
        </row>
        <row r="2558">
          <cell r="A2558" t="str">
            <v>12</v>
          </cell>
          <cell r="B2558" t="str">
            <v>11</v>
          </cell>
          <cell r="C2558" t="str">
            <v>记-0032</v>
          </cell>
          <cell r="D2558" t="str">
            <v>183</v>
          </cell>
          <cell r="E2558" t="str">
            <v>花胶</v>
          </cell>
          <cell r="F2558" t="str">
            <v>结转成本</v>
          </cell>
          <cell r="G2558">
            <v>198.1421</v>
          </cell>
          <cell r="H2558">
            <v>0</v>
          </cell>
          <cell r="I2558">
            <v>0</v>
          </cell>
          <cell r="J2558">
            <v>100</v>
          </cell>
          <cell r="K2558">
            <v>19814.21</v>
          </cell>
          <cell r="L2558" t="str">
            <v>借</v>
          </cell>
          <cell r="M2558">
            <v>450</v>
          </cell>
          <cell r="N2558">
            <v>0</v>
          </cell>
          <cell r="O2558">
            <v>87820.479999999996</v>
          </cell>
        </row>
        <row r="2559">
          <cell r="A2559" t="str">
            <v>12</v>
          </cell>
          <cell r="B2559" t="str">
            <v>11</v>
          </cell>
          <cell r="C2559" t="str">
            <v>记-0032</v>
          </cell>
          <cell r="D2559" t="str">
            <v>183</v>
          </cell>
          <cell r="E2559" t="str">
            <v>花胶</v>
          </cell>
          <cell r="F2559" t="str">
            <v>结转成本</v>
          </cell>
          <cell r="G2559">
            <v>189.18559999999999</v>
          </cell>
          <cell r="H2559">
            <v>0</v>
          </cell>
          <cell r="I2559">
            <v>0</v>
          </cell>
          <cell r="J2559">
            <v>150</v>
          </cell>
          <cell r="K2559">
            <v>28377.84</v>
          </cell>
          <cell r="L2559" t="str">
            <v>借</v>
          </cell>
          <cell r="M2559">
            <v>300</v>
          </cell>
          <cell r="N2559">
            <v>0</v>
          </cell>
          <cell r="O2559">
            <v>59442.64</v>
          </cell>
        </row>
        <row r="2560">
          <cell r="A2560" t="str">
            <v>12</v>
          </cell>
          <cell r="B2560" t="str">
            <v>11</v>
          </cell>
          <cell r="C2560" t="str">
            <v>记-0032</v>
          </cell>
          <cell r="D2560" t="str">
            <v>183</v>
          </cell>
          <cell r="E2560" t="str">
            <v>花胶</v>
          </cell>
          <cell r="F2560" t="str">
            <v>结转成本</v>
          </cell>
          <cell r="G2560">
            <v>198.14213000000001</v>
          </cell>
          <cell r="H2560">
            <v>0</v>
          </cell>
          <cell r="I2560">
            <v>0</v>
          </cell>
          <cell r="J2560">
            <v>300</v>
          </cell>
          <cell r="K2560">
            <v>59442.64</v>
          </cell>
          <cell r="L2560" t="str">
            <v>平</v>
          </cell>
          <cell r="M2560">
            <v>0</v>
          </cell>
          <cell r="N2560">
            <v>0</v>
          </cell>
          <cell r="O2560">
            <v>0</v>
          </cell>
        </row>
        <row r="2561">
          <cell r="A2561" t="str">
            <v>12</v>
          </cell>
          <cell r="F2561" t="str">
            <v>本月合计</v>
          </cell>
          <cell r="G2561">
            <v>0</v>
          </cell>
          <cell r="H2561">
            <v>550</v>
          </cell>
          <cell r="I2561">
            <v>107634.69</v>
          </cell>
          <cell r="J2561">
            <v>550</v>
          </cell>
          <cell r="K2561">
            <v>107634.69</v>
          </cell>
          <cell r="L2561" t="str">
            <v>平</v>
          </cell>
          <cell r="M2561">
            <v>0</v>
          </cell>
          <cell r="N2561">
            <v>0</v>
          </cell>
          <cell r="O2561">
            <v>0</v>
          </cell>
        </row>
        <row r="2562">
          <cell r="A2562" t="str">
            <v>12</v>
          </cell>
          <cell r="E2562" t="str">
            <v>花胶</v>
          </cell>
          <cell r="F2562" t="str">
            <v>本年累计</v>
          </cell>
          <cell r="G2562">
            <v>0</v>
          </cell>
          <cell r="H2562">
            <v>1220</v>
          </cell>
          <cell r="I2562">
            <v>234915.78</v>
          </cell>
          <cell r="J2562">
            <v>1220</v>
          </cell>
          <cell r="K2562">
            <v>234915.78</v>
          </cell>
          <cell r="L2562" t="str">
            <v>平</v>
          </cell>
          <cell r="M2562">
            <v>0</v>
          </cell>
          <cell r="N2562">
            <v>0</v>
          </cell>
          <cell r="O2562">
            <v>0</v>
          </cell>
        </row>
        <row r="2563">
          <cell r="A2563" t="str">
            <v>04</v>
          </cell>
          <cell r="B2563" t="str">
            <v>30</v>
          </cell>
          <cell r="C2563" t="str">
            <v>记-0042</v>
          </cell>
          <cell r="D2563" t="str">
            <v>184</v>
          </cell>
          <cell r="E2563" t="str">
            <v>白燕丝</v>
          </cell>
          <cell r="F2563" t="str">
            <v>收购产品</v>
          </cell>
          <cell r="G2563">
            <v>22.813800000000001</v>
          </cell>
          <cell r="H2563">
            <v>100</v>
          </cell>
          <cell r="I2563">
            <v>2281.38</v>
          </cell>
          <cell r="J2563">
            <v>0</v>
          </cell>
          <cell r="K2563">
            <v>0</v>
          </cell>
          <cell r="L2563" t="str">
            <v>借</v>
          </cell>
          <cell r="M2563">
            <v>100</v>
          </cell>
          <cell r="N2563">
            <v>0</v>
          </cell>
          <cell r="O2563">
            <v>2281.38</v>
          </cell>
        </row>
        <row r="2564">
          <cell r="A2564" t="str">
            <v>04</v>
          </cell>
          <cell r="B2564" t="str">
            <v>30</v>
          </cell>
          <cell r="C2564" t="str">
            <v>记-0044</v>
          </cell>
          <cell r="D2564" t="str">
            <v>184</v>
          </cell>
          <cell r="E2564" t="str">
            <v>白燕丝</v>
          </cell>
          <cell r="F2564" t="str">
            <v>转成本</v>
          </cell>
          <cell r="G2564">
            <v>22.813800000000001</v>
          </cell>
          <cell r="H2564">
            <v>0</v>
          </cell>
          <cell r="I2564">
            <v>0</v>
          </cell>
          <cell r="J2564">
            <v>100</v>
          </cell>
          <cell r="K2564">
            <v>2281.38</v>
          </cell>
          <cell r="L2564" t="str">
            <v>平</v>
          </cell>
          <cell r="M2564">
            <v>0</v>
          </cell>
          <cell r="N2564">
            <v>0</v>
          </cell>
          <cell r="O2564">
            <v>0</v>
          </cell>
        </row>
        <row r="2565">
          <cell r="A2565" t="str">
            <v>04</v>
          </cell>
          <cell r="B2565" t="str">
            <v>30</v>
          </cell>
          <cell r="C2565" t="str">
            <v>记-0046</v>
          </cell>
          <cell r="D2565" t="str">
            <v>184</v>
          </cell>
          <cell r="E2565" t="str">
            <v>白燕丝</v>
          </cell>
          <cell r="F2565" t="str">
            <v>转成本</v>
          </cell>
          <cell r="G2565">
            <v>19.433979999999998</v>
          </cell>
          <cell r="H2565">
            <v>0</v>
          </cell>
          <cell r="I2565">
            <v>0</v>
          </cell>
          <cell r="J2565">
            <v>1000</v>
          </cell>
          <cell r="K2565">
            <v>19433.98</v>
          </cell>
          <cell r="L2565" t="str">
            <v>贷</v>
          </cell>
          <cell r="M2565">
            <v>1000</v>
          </cell>
          <cell r="N2565">
            <v>0</v>
          </cell>
          <cell r="O2565">
            <v>19433.98</v>
          </cell>
        </row>
        <row r="2566">
          <cell r="A2566" t="str">
            <v>04</v>
          </cell>
          <cell r="F2566" t="str">
            <v>本月合计</v>
          </cell>
          <cell r="G2566">
            <v>0</v>
          </cell>
          <cell r="H2566">
            <v>100</v>
          </cell>
          <cell r="I2566">
            <v>2281.38</v>
          </cell>
          <cell r="J2566">
            <v>1100</v>
          </cell>
          <cell r="K2566">
            <v>21715.360000000001</v>
          </cell>
          <cell r="L2566" t="str">
            <v>贷</v>
          </cell>
          <cell r="M2566">
            <v>1000</v>
          </cell>
          <cell r="N2566">
            <v>19.433979999999998</v>
          </cell>
          <cell r="O2566">
            <v>19433.98</v>
          </cell>
        </row>
        <row r="2567">
          <cell r="A2567" t="str">
            <v>04</v>
          </cell>
          <cell r="F2567" t="str">
            <v>累    计</v>
          </cell>
          <cell r="G2567">
            <v>0</v>
          </cell>
          <cell r="H2567">
            <v>100</v>
          </cell>
          <cell r="I2567">
            <v>2281.38</v>
          </cell>
          <cell r="J2567">
            <v>1100</v>
          </cell>
          <cell r="K2567">
            <v>21715.360000000001</v>
          </cell>
          <cell r="L2567" t="str">
            <v>贷</v>
          </cell>
          <cell r="M2567">
            <v>1000</v>
          </cell>
          <cell r="N2567">
            <v>19.433979999999998</v>
          </cell>
          <cell r="O2567">
            <v>19433.98</v>
          </cell>
        </row>
        <row r="2568">
          <cell r="A2568" t="str">
            <v>08</v>
          </cell>
          <cell r="B2568" t="str">
            <v>25</v>
          </cell>
          <cell r="C2568" t="str">
            <v>记-0059</v>
          </cell>
          <cell r="D2568" t="str">
            <v>184</v>
          </cell>
          <cell r="E2568" t="str">
            <v>白燕丝</v>
          </cell>
          <cell r="F2568" t="str">
            <v>结转成本</v>
          </cell>
          <cell r="G2568">
            <v>5982.2869799999999</v>
          </cell>
          <cell r="H2568">
            <v>0</v>
          </cell>
          <cell r="I2568">
            <v>0</v>
          </cell>
          <cell r="J2568">
            <v>19.2</v>
          </cell>
          <cell r="K2568">
            <v>114859.91</v>
          </cell>
          <cell r="L2568" t="str">
            <v>贷</v>
          </cell>
          <cell r="M2568">
            <v>1019.2</v>
          </cell>
          <cell r="N2568">
            <v>0</v>
          </cell>
          <cell r="O2568">
            <v>134293.89000000001</v>
          </cell>
        </row>
        <row r="2569">
          <cell r="A2569" t="str">
            <v>08</v>
          </cell>
          <cell r="B2569" t="str">
            <v>25</v>
          </cell>
          <cell r="C2569" t="str">
            <v>记-0066</v>
          </cell>
          <cell r="D2569" t="str">
            <v>184</v>
          </cell>
          <cell r="E2569" t="str">
            <v>白燕丝</v>
          </cell>
          <cell r="F2569" t="str">
            <v>收购产品</v>
          </cell>
          <cell r="G2569">
            <v>5982.2869799999999</v>
          </cell>
          <cell r="H2569">
            <v>19.2</v>
          </cell>
          <cell r="I2569">
            <v>114859.91</v>
          </cell>
          <cell r="J2569">
            <v>0</v>
          </cell>
          <cell r="K2569">
            <v>0</v>
          </cell>
          <cell r="L2569" t="str">
            <v>贷</v>
          </cell>
          <cell r="M2569">
            <v>1000</v>
          </cell>
          <cell r="N2569">
            <v>0</v>
          </cell>
          <cell r="O2569">
            <v>19433.98</v>
          </cell>
        </row>
        <row r="2570">
          <cell r="A2570" t="str">
            <v>08</v>
          </cell>
          <cell r="F2570" t="str">
            <v>本月合计</v>
          </cell>
          <cell r="G2570">
            <v>0</v>
          </cell>
          <cell r="H2570">
            <v>19.2</v>
          </cell>
          <cell r="I2570">
            <v>114859.91</v>
          </cell>
          <cell r="J2570">
            <v>19.2</v>
          </cell>
          <cell r="K2570">
            <v>114859.91</v>
          </cell>
          <cell r="L2570" t="str">
            <v>贷</v>
          </cell>
          <cell r="M2570">
            <v>1000</v>
          </cell>
          <cell r="N2570">
            <v>19.433979999999998</v>
          </cell>
          <cell r="O2570">
            <v>19433.98</v>
          </cell>
        </row>
        <row r="2571">
          <cell r="A2571" t="str">
            <v>08</v>
          </cell>
          <cell r="F2571" t="str">
            <v>累    计</v>
          </cell>
          <cell r="G2571">
            <v>0</v>
          </cell>
          <cell r="H2571">
            <v>119.2</v>
          </cell>
          <cell r="I2571">
            <v>117141.29</v>
          </cell>
          <cell r="J2571">
            <v>1119.2</v>
          </cell>
          <cell r="K2571">
            <v>136575.26999999999</v>
          </cell>
          <cell r="L2571" t="str">
            <v>贷</v>
          </cell>
          <cell r="M2571">
            <v>1000</v>
          </cell>
          <cell r="N2571">
            <v>19.433979999999998</v>
          </cell>
          <cell r="O2571">
            <v>19433.98</v>
          </cell>
        </row>
        <row r="2572">
          <cell r="A2572" t="str">
            <v>09</v>
          </cell>
          <cell r="B2572" t="str">
            <v>22</v>
          </cell>
          <cell r="C2572" t="str">
            <v>记-0033</v>
          </cell>
          <cell r="D2572" t="str">
            <v>184</v>
          </cell>
          <cell r="E2572" t="str">
            <v>白燕丝</v>
          </cell>
          <cell r="F2572" t="str">
            <v>结转成本</v>
          </cell>
          <cell r="G2572">
            <v>5982.2875000000004</v>
          </cell>
          <cell r="H2572">
            <v>0</v>
          </cell>
          <cell r="I2572">
            <v>0</v>
          </cell>
          <cell r="J2572">
            <v>4.8</v>
          </cell>
          <cell r="K2572">
            <v>28714.98</v>
          </cell>
          <cell r="L2572" t="str">
            <v>贷</v>
          </cell>
          <cell r="M2572">
            <v>1004.8</v>
          </cell>
          <cell r="N2572">
            <v>0</v>
          </cell>
          <cell r="O2572">
            <v>48148.959999999999</v>
          </cell>
        </row>
        <row r="2573">
          <cell r="A2573" t="str">
            <v>09</v>
          </cell>
          <cell r="B2573" t="str">
            <v>22</v>
          </cell>
          <cell r="C2573" t="str">
            <v>记-0037</v>
          </cell>
          <cell r="D2573" t="str">
            <v>184</v>
          </cell>
          <cell r="E2573" t="str">
            <v>白燕丝</v>
          </cell>
          <cell r="F2573" t="str">
            <v>收购产品</v>
          </cell>
          <cell r="G2573">
            <v>5982.2875000000004</v>
          </cell>
          <cell r="H2573">
            <v>4.8</v>
          </cell>
          <cell r="I2573">
            <v>28714.98</v>
          </cell>
          <cell r="J2573">
            <v>0</v>
          </cell>
          <cell r="K2573">
            <v>0</v>
          </cell>
          <cell r="L2573" t="str">
            <v>贷</v>
          </cell>
          <cell r="M2573">
            <v>1000</v>
          </cell>
          <cell r="N2573">
            <v>0</v>
          </cell>
          <cell r="O2573">
            <v>19433.98</v>
          </cell>
        </row>
        <row r="2574">
          <cell r="A2574" t="str">
            <v>09</v>
          </cell>
          <cell r="B2574" t="str">
            <v>22</v>
          </cell>
          <cell r="C2574" t="str">
            <v>记-0049</v>
          </cell>
          <cell r="D2574" t="str">
            <v>184</v>
          </cell>
          <cell r="E2574" t="str">
            <v>白燕丝</v>
          </cell>
          <cell r="F2574" t="str">
            <v>结转成本</v>
          </cell>
          <cell r="G2574">
            <v>15.209199999999999</v>
          </cell>
          <cell r="H2574">
            <v>0</v>
          </cell>
          <cell r="I2574">
            <v>0</v>
          </cell>
          <cell r="J2574">
            <v>100</v>
          </cell>
          <cell r="K2574">
            <v>1520.92</v>
          </cell>
          <cell r="L2574" t="str">
            <v>贷</v>
          </cell>
          <cell r="M2574">
            <v>1100</v>
          </cell>
          <cell r="N2574">
            <v>0</v>
          </cell>
          <cell r="O2574">
            <v>20954.900000000001</v>
          </cell>
        </row>
        <row r="2575">
          <cell r="A2575" t="str">
            <v>09</v>
          </cell>
          <cell r="B2575" t="str">
            <v>22</v>
          </cell>
          <cell r="C2575" t="str">
            <v>记-0052</v>
          </cell>
          <cell r="D2575" t="str">
            <v>184</v>
          </cell>
          <cell r="E2575" t="str">
            <v>白燕丝</v>
          </cell>
          <cell r="F2575" t="str">
            <v>收购产品</v>
          </cell>
          <cell r="G2575">
            <v>15.209199999999999</v>
          </cell>
          <cell r="H2575">
            <v>100</v>
          </cell>
          <cell r="I2575">
            <v>1520.92</v>
          </cell>
          <cell r="J2575">
            <v>0</v>
          </cell>
          <cell r="K2575">
            <v>0</v>
          </cell>
          <cell r="L2575" t="str">
            <v>贷</v>
          </cell>
          <cell r="M2575">
            <v>1000</v>
          </cell>
          <cell r="N2575">
            <v>0</v>
          </cell>
          <cell r="O2575">
            <v>19433.98</v>
          </cell>
        </row>
        <row r="2576">
          <cell r="A2576" t="str">
            <v>09</v>
          </cell>
          <cell r="F2576" t="str">
            <v>本月合计</v>
          </cell>
          <cell r="G2576">
            <v>0</v>
          </cell>
          <cell r="H2576">
            <v>104.8</v>
          </cell>
          <cell r="I2576">
            <v>30235.9</v>
          </cell>
          <cell r="J2576">
            <v>104.8</v>
          </cell>
          <cell r="K2576">
            <v>30235.9</v>
          </cell>
          <cell r="L2576" t="str">
            <v>贷</v>
          </cell>
          <cell r="M2576">
            <v>1000</v>
          </cell>
          <cell r="N2576">
            <v>19.433979999999998</v>
          </cell>
          <cell r="O2576">
            <v>19433.98</v>
          </cell>
        </row>
        <row r="2577">
          <cell r="A2577" t="str">
            <v>09</v>
          </cell>
          <cell r="F2577" t="str">
            <v>累    计</v>
          </cell>
          <cell r="G2577">
            <v>0</v>
          </cell>
          <cell r="H2577">
            <v>224</v>
          </cell>
          <cell r="I2577">
            <v>147377.19</v>
          </cell>
          <cell r="J2577">
            <v>1224</v>
          </cell>
          <cell r="K2577">
            <v>166811.17000000001</v>
          </cell>
          <cell r="L2577" t="str">
            <v>贷</v>
          </cell>
          <cell r="M2577">
            <v>1000</v>
          </cell>
          <cell r="N2577">
            <v>19.433979999999998</v>
          </cell>
          <cell r="O2577">
            <v>19433.98</v>
          </cell>
        </row>
        <row r="2578">
          <cell r="A2578" t="str">
            <v>12</v>
          </cell>
          <cell r="B2578" t="str">
            <v>31</v>
          </cell>
          <cell r="C2578" t="str">
            <v>记-0175</v>
          </cell>
          <cell r="D2578" t="str">
            <v>184</v>
          </cell>
          <cell r="E2578" t="str">
            <v>白燕丝</v>
          </cell>
          <cell r="F2578" t="str">
            <v>调整4月43号凭</v>
          </cell>
          <cell r="G2578">
            <v>0</v>
          </cell>
          <cell r="H2578">
            <v>0</v>
          </cell>
          <cell r="I2578">
            <v>19433.98</v>
          </cell>
          <cell r="J2578">
            <v>0</v>
          </cell>
          <cell r="K2578">
            <v>0</v>
          </cell>
          <cell r="L2578" t="str">
            <v>平</v>
          </cell>
          <cell r="M2578">
            <v>-1000</v>
          </cell>
          <cell r="N2578">
            <v>0</v>
          </cell>
          <cell r="O2578">
            <v>0</v>
          </cell>
        </row>
        <row r="2579">
          <cell r="A2579" t="str">
            <v>12</v>
          </cell>
          <cell r="F2579" t="str">
            <v>本月合计</v>
          </cell>
          <cell r="G2579">
            <v>0</v>
          </cell>
          <cell r="H2579">
            <v>0</v>
          </cell>
          <cell r="I2579">
            <v>19433.98</v>
          </cell>
          <cell r="J2579">
            <v>0</v>
          </cell>
          <cell r="K2579">
            <v>0</v>
          </cell>
          <cell r="L2579" t="str">
            <v>平</v>
          </cell>
          <cell r="M2579">
            <v>-1000</v>
          </cell>
          <cell r="N2579">
            <v>0</v>
          </cell>
          <cell r="O2579">
            <v>0</v>
          </cell>
        </row>
        <row r="2580">
          <cell r="A2580" t="str">
            <v>12</v>
          </cell>
          <cell r="E2580" t="str">
            <v>白燕丝</v>
          </cell>
          <cell r="F2580" t="str">
            <v>本年累计</v>
          </cell>
          <cell r="G2580">
            <v>0</v>
          </cell>
          <cell r="H2580">
            <v>224</v>
          </cell>
          <cell r="I2580">
            <v>166811.17000000001</v>
          </cell>
          <cell r="J2580">
            <v>1224</v>
          </cell>
          <cell r="K2580">
            <v>166811.17000000001</v>
          </cell>
          <cell r="L2580" t="str">
            <v>平</v>
          </cell>
          <cell r="M2580">
            <v>-1000</v>
          </cell>
          <cell r="N2580">
            <v>0</v>
          </cell>
          <cell r="O2580">
            <v>0</v>
          </cell>
        </row>
        <row r="2581">
          <cell r="A2581" t="str">
            <v>05</v>
          </cell>
          <cell r="B2581" t="str">
            <v>31</v>
          </cell>
          <cell r="C2581" t="str">
            <v>记-0036</v>
          </cell>
          <cell r="D2581" t="str">
            <v>185</v>
          </cell>
          <cell r="E2581" t="str">
            <v>人工去皮甘草黄</v>
          </cell>
          <cell r="F2581" t="str">
            <v>收购产品</v>
          </cell>
          <cell r="G2581">
            <v>6.8141400000000001</v>
          </cell>
          <cell r="H2581">
            <v>140</v>
          </cell>
          <cell r="I2581">
            <v>953.98</v>
          </cell>
          <cell r="J2581">
            <v>0</v>
          </cell>
          <cell r="K2581">
            <v>0</v>
          </cell>
          <cell r="L2581" t="str">
            <v>借</v>
          </cell>
          <cell r="M2581">
            <v>140</v>
          </cell>
          <cell r="N2581">
            <v>0</v>
          </cell>
          <cell r="O2581">
            <v>953.98</v>
          </cell>
        </row>
        <row r="2582">
          <cell r="A2582" t="str">
            <v>05</v>
          </cell>
          <cell r="F2582" t="str">
            <v>本月合计</v>
          </cell>
          <cell r="G2582">
            <v>0</v>
          </cell>
          <cell r="H2582">
            <v>140</v>
          </cell>
          <cell r="I2582">
            <v>953.98</v>
          </cell>
          <cell r="J2582">
            <v>0</v>
          </cell>
          <cell r="K2582">
            <v>0</v>
          </cell>
          <cell r="L2582" t="str">
            <v>借</v>
          </cell>
          <cell r="M2582">
            <v>140</v>
          </cell>
          <cell r="N2582">
            <v>6.8141400000000001</v>
          </cell>
          <cell r="O2582">
            <v>953.98</v>
          </cell>
        </row>
        <row r="2583">
          <cell r="A2583" t="str">
            <v>05</v>
          </cell>
          <cell r="F2583" t="str">
            <v>累    计</v>
          </cell>
          <cell r="G2583">
            <v>0</v>
          </cell>
          <cell r="H2583">
            <v>140</v>
          </cell>
          <cell r="I2583">
            <v>953.98</v>
          </cell>
          <cell r="J2583">
            <v>0</v>
          </cell>
          <cell r="K2583">
            <v>0</v>
          </cell>
          <cell r="L2583" t="str">
            <v>借</v>
          </cell>
          <cell r="M2583">
            <v>140</v>
          </cell>
          <cell r="N2583">
            <v>6.8141400000000001</v>
          </cell>
          <cell r="O2583">
            <v>953.98</v>
          </cell>
        </row>
        <row r="2584">
          <cell r="A2584" t="str">
            <v>11</v>
          </cell>
          <cell r="B2584" t="str">
            <v>30</v>
          </cell>
          <cell r="C2584" t="str">
            <v>记-0040</v>
          </cell>
          <cell r="D2584" t="str">
            <v>185</v>
          </cell>
          <cell r="E2584" t="str">
            <v>人工去皮甘草黄</v>
          </cell>
          <cell r="F2584" t="str">
            <v>合并名称</v>
          </cell>
          <cell r="G2584">
            <v>6.8141400000000001</v>
          </cell>
          <cell r="H2584">
            <v>0</v>
          </cell>
          <cell r="I2584">
            <v>0</v>
          </cell>
          <cell r="J2584">
            <v>140</v>
          </cell>
          <cell r="K2584">
            <v>953.98</v>
          </cell>
          <cell r="L2584" t="str">
            <v>平</v>
          </cell>
          <cell r="M2584">
            <v>0</v>
          </cell>
          <cell r="N2584">
            <v>0</v>
          </cell>
          <cell r="O2584">
            <v>0</v>
          </cell>
        </row>
        <row r="2585">
          <cell r="A2585" t="str">
            <v>11</v>
          </cell>
          <cell r="F2585" t="str">
            <v>本月合计</v>
          </cell>
          <cell r="G2585">
            <v>0</v>
          </cell>
          <cell r="H2585">
            <v>0</v>
          </cell>
          <cell r="I2585">
            <v>0</v>
          </cell>
          <cell r="J2585">
            <v>140</v>
          </cell>
          <cell r="K2585">
            <v>953.98</v>
          </cell>
          <cell r="L2585" t="str">
            <v>平</v>
          </cell>
          <cell r="M2585">
            <v>0</v>
          </cell>
          <cell r="N2585">
            <v>0</v>
          </cell>
          <cell r="O2585">
            <v>0</v>
          </cell>
        </row>
        <row r="2586">
          <cell r="A2586" t="str">
            <v>11</v>
          </cell>
          <cell r="E2586" t="str">
            <v>人工去皮甘草黄</v>
          </cell>
          <cell r="F2586" t="str">
            <v>本年累计</v>
          </cell>
          <cell r="G2586">
            <v>0</v>
          </cell>
          <cell r="H2586">
            <v>140</v>
          </cell>
          <cell r="I2586">
            <v>953.98</v>
          </cell>
          <cell r="J2586">
            <v>140</v>
          </cell>
          <cell r="K2586">
            <v>953.98</v>
          </cell>
          <cell r="L2586" t="str">
            <v>平</v>
          </cell>
          <cell r="M2586">
            <v>0</v>
          </cell>
          <cell r="N2586">
            <v>0</v>
          </cell>
          <cell r="O2586">
            <v>0</v>
          </cell>
        </row>
        <row r="2587">
          <cell r="A2587" t="str">
            <v>04</v>
          </cell>
          <cell r="B2587" t="str">
            <v>30</v>
          </cell>
          <cell r="C2587" t="str">
            <v>记-0043</v>
          </cell>
          <cell r="D2587" t="str">
            <v>186</v>
          </cell>
          <cell r="E2587" t="str">
            <v>泰国黄燕盏</v>
          </cell>
          <cell r="F2587" t="str">
            <v>收购产品</v>
          </cell>
          <cell r="G2587">
            <v>53.232219999999998</v>
          </cell>
          <cell r="H2587">
            <v>581</v>
          </cell>
          <cell r="I2587">
            <v>30927.919999999998</v>
          </cell>
          <cell r="J2587">
            <v>0</v>
          </cell>
          <cell r="K2587">
            <v>0</v>
          </cell>
          <cell r="L2587" t="str">
            <v>借</v>
          </cell>
          <cell r="M2587">
            <v>581</v>
          </cell>
          <cell r="N2587">
            <v>0</v>
          </cell>
          <cell r="O2587">
            <v>30927.919999999998</v>
          </cell>
        </row>
        <row r="2588">
          <cell r="A2588" t="str">
            <v>04</v>
          </cell>
          <cell r="F2588" t="str">
            <v>本月合计</v>
          </cell>
          <cell r="G2588">
            <v>0</v>
          </cell>
          <cell r="H2588">
            <v>581</v>
          </cell>
          <cell r="I2588">
            <v>30927.919999999998</v>
          </cell>
          <cell r="J2588">
            <v>0</v>
          </cell>
          <cell r="K2588">
            <v>0</v>
          </cell>
          <cell r="L2588" t="str">
            <v>借</v>
          </cell>
          <cell r="M2588">
            <v>581</v>
          </cell>
          <cell r="N2588">
            <v>53.232219999999998</v>
          </cell>
          <cell r="O2588">
            <v>30927.919999999998</v>
          </cell>
        </row>
        <row r="2589">
          <cell r="A2589" t="str">
            <v>04</v>
          </cell>
          <cell r="F2589" t="str">
            <v>累    计</v>
          </cell>
          <cell r="G2589">
            <v>0</v>
          </cell>
          <cell r="H2589">
            <v>581</v>
          </cell>
          <cell r="I2589">
            <v>30927.919999999998</v>
          </cell>
          <cell r="J2589">
            <v>0</v>
          </cell>
          <cell r="K2589">
            <v>0</v>
          </cell>
          <cell r="L2589" t="str">
            <v>借</v>
          </cell>
          <cell r="M2589">
            <v>581</v>
          </cell>
          <cell r="N2589">
            <v>53.232219999999998</v>
          </cell>
          <cell r="O2589">
            <v>30927.919999999998</v>
          </cell>
        </row>
        <row r="2590">
          <cell r="A2590" t="str">
            <v>12</v>
          </cell>
          <cell r="B2590" t="str">
            <v>31</v>
          </cell>
          <cell r="C2590" t="str">
            <v>记-0176</v>
          </cell>
          <cell r="D2590" t="str">
            <v>186</v>
          </cell>
          <cell r="E2590" t="str">
            <v>泰国黄燕盏</v>
          </cell>
          <cell r="F2590" t="str">
            <v>调整4月43号凭</v>
          </cell>
          <cell r="G2590">
            <v>53.232219999999998</v>
          </cell>
          <cell r="H2590">
            <v>-581</v>
          </cell>
          <cell r="I2590">
            <v>-30927.919999999998</v>
          </cell>
          <cell r="J2590">
            <v>0</v>
          </cell>
          <cell r="K2590">
            <v>0</v>
          </cell>
          <cell r="L2590" t="str">
            <v>平</v>
          </cell>
          <cell r="M2590">
            <v>0</v>
          </cell>
          <cell r="N2590">
            <v>0</v>
          </cell>
          <cell r="O2590">
            <v>0</v>
          </cell>
        </row>
        <row r="2591">
          <cell r="A2591" t="str">
            <v>12</v>
          </cell>
          <cell r="F2591" t="str">
            <v>本月合计</v>
          </cell>
          <cell r="G2591">
            <v>0</v>
          </cell>
          <cell r="H2591">
            <v>-581</v>
          </cell>
          <cell r="I2591">
            <v>-30927.919999999998</v>
          </cell>
          <cell r="J2591">
            <v>0</v>
          </cell>
          <cell r="K2591">
            <v>0</v>
          </cell>
          <cell r="L2591" t="str">
            <v>平</v>
          </cell>
          <cell r="M2591">
            <v>0</v>
          </cell>
          <cell r="N2591">
            <v>0</v>
          </cell>
          <cell r="O2591">
            <v>0</v>
          </cell>
        </row>
        <row r="2592">
          <cell r="A2592" t="str">
            <v>12</v>
          </cell>
          <cell r="E2592" t="str">
            <v>泰国黄燕盏</v>
          </cell>
          <cell r="F2592" t="str">
            <v>本年累计</v>
          </cell>
          <cell r="G2592">
            <v>0</v>
          </cell>
          <cell r="H2592">
            <v>0</v>
          </cell>
          <cell r="I2592">
            <v>0</v>
          </cell>
          <cell r="J2592">
            <v>0</v>
          </cell>
          <cell r="K2592">
            <v>0</v>
          </cell>
          <cell r="L2592" t="str">
            <v>平</v>
          </cell>
          <cell r="M2592">
            <v>0</v>
          </cell>
          <cell r="N2592">
            <v>0</v>
          </cell>
          <cell r="O2592">
            <v>0</v>
          </cell>
        </row>
        <row r="2593">
          <cell r="A2593" t="str">
            <v>04</v>
          </cell>
          <cell r="B2593" t="str">
            <v>30</v>
          </cell>
          <cell r="C2593" t="str">
            <v>记-0049</v>
          </cell>
          <cell r="D2593" t="str">
            <v>187</v>
          </cell>
          <cell r="E2593" t="str">
            <v>野生甘草甲片</v>
          </cell>
          <cell r="F2593" t="str">
            <v>转成本</v>
          </cell>
          <cell r="G2593">
            <v>48.672499999999999</v>
          </cell>
          <cell r="H2593">
            <v>0</v>
          </cell>
          <cell r="I2593">
            <v>0</v>
          </cell>
          <cell r="J2593">
            <v>3272</v>
          </cell>
          <cell r="K2593">
            <v>159256.42000000001</v>
          </cell>
          <cell r="L2593" t="str">
            <v>贷</v>
          </cell>
          <cell r="M2593">
            <v>3272</v>
          </cell>
          <cell r="N2593">
            <v>0</v>
          </cell>
          <cell r="O2593">
            <v>159256.42000000001</v>
          </cell>
        </row>
        <row r="2594">
          <cell r="A2594" t="str">
            <v>04</v>
          </cell>
          <cell r="F2594" t="str">
            <v>本月合计</v>
          </cell>
          <cell r="G2594">
            <v>0</v>
          </cell>
          <cell r="H2594">
            <v>0</v>
          </cell>
          <cell r="I2594">
            <v>0</v>
          </cell>
          <cell r="J2594">
            <v>3272</v>
          </cell>
          <cell r="K2594">
            <v>159256.42000000001</v>
          </cell>
          <cell r="L2594" t="str">
            <v>贷</v>
          </cell>
          <cell r="M2594">
            <v>3272</v>
          </cell>
          <cell r="N2594">
            <v>48.672499999999999</v>
          </cell>
          <cell r="O2594">
            <v>159256.42000000001</v>
          </cell>
        </row>
        <row r="2595">
          <cell r="A2595" t="str">
            <v>04</v>
          </cell>
          <cell r="F2595" t="str">
            <v>累    计</v>
          </cell>
          <cell r="G2595">
            <v>0</v>
          </cell>
          <cell r="H2595">
            <v>0</v>
          </cell>
          <cell r="I2595">
            <v>0</v>
          </cell>
          <cell r="J2595">
            <v>3272</v>
          </cell>
          <cell r="K2595">
            <v>159256.42000000001</v>
          </cell>
          <cell r="L2595" t="str">
            <v>贷</v>
          </cell>
          <cell r="M2595">
            <v>3272</v>
          </cell>
          <cell r="N2595">
            <v>48.672499999999999</v>
          </cell>
          <cell r="O2595">
            <v>159256.42000000001</v>
          </cell>
        </row>
        <row r="2596">
          <cell r="A2596" t="str">
            <v>11</v>
          </cell>
          <cell r="B2596" t="str">
            <v>30</v>
          </cell>
          <cell r="C2596" t="str">
            <v>记-0113</v>
          </cell>
          <cell r="D2596" t="str">
            <v>187</v>
          </cell>
          <cell r="E2596" t="str">
            <v>野生甘草甲片</v>
          </cell>
          <cell r="F2596" t="str">
            <v>合并名称</v>
          </cell>
          <cell r="G2596">
            <v>48.672499999999999</v>
          </cell>
          <cell r="H2596">
            <v>3272</v>
          </cell>
          <cell r="I2596">
            <v>159256.42000000001</v>
          </cell>
          <cell r="J2596">
            <v>0</v>
          </cell>
          <cell r="K2596">
            <v>0</v>
          </cell>
          <cell r="L2596" t="str">
            <v>平</v>
          </cell>
          <cell r="M2596">
            <v>0</v>
          </cell>
          <cell r="N2596">
            <v>0</v>
          </cell>
          <cell r="O2596">
            <v>0</v>
          </cell>
        </row>
        <row r="2597">
          <cell r="A2597" t="str">
            <v>11</v>
          </cell>
          <cell r="F2597" t="str">
            <v>本月合计</v>
          </cell>
          <cell r="G2597">
            <v>0</v>
          </cell>
          <cell r="H2597">
            <v>3272</v>
          </cell>
          <cell r="I2597">
            <v>159256.42000000001</v>
          </cell>
          <cell r="J2597">
            <v>0</v>
          </cell>
          <cell r="K2597">
            <v>0</v>
          </cell>
          <cell r="L2597" t="str">
            <v>平</v>
          </cell>
          <cell r="M2597">
            <v>0</v>
          </cell>
          <cell r="N2597">
            <v>0</v>
          </cell>
          <cell r="O2597">
            <v>0</v>
          </cell>
        </row>
        <row r="2598">
          <cell r="A2598" t="str">
            <v>11</v>
          </cell>
          <cell r="E2598" t="str">
            <v>野生甘草甲片</v>
          </cell>
          <cell r="F2598" t="str">
            <v>本年累计</v>
          </cell>
          <cell r="G2598">
            <v>0</v>
          </cell>
          <cell r="H2598">
            <v>3272</v>
          </cell>
          <cell r="I2598">
            <v>159256.42000000001</v>
          </cell>
          <cell r="J2598">
            <v>3272</v>
          </cell>
          <cell r="K2598">
            <v>159256.42000000001</v>
          </cell>
          <cell r="L2598" t="str">
            <v>平</v>
          </cell>
          <cell r="M2598">
            <v>0</v>
          </cell>
          <cell r="N2598">
            <v>0</v>
          </cell>
          <cell r="O2598">
            <v>0</v>
          </cell>
        </row>
        <row r="2599">
          <cell r="A2599" t="str">
            <v>04</v>
          </cell>
          <cell r="B2599" t="str">
            <v>30</v>
          </cell>
          <cell r="C2599" t="str">
            <v>记-0049</v>
          </cell>
          <cell r="D2599" t="str">
            <v>188</v>
          </cell>
          <cell r="E2599" t="str">
            <v>野生甘草乙片</v>
          </cell>
          <cell r="F2599" t="str">
            <v>转成本</v>
          </cell>
          <cell r="G2599">
            <v>37.17</v>
          </cell>
          <cell r="H2599">
            <v>0</v>
          </cell>
          <cell r="I2599">
            <v>0</v>
          </cell>
          <cell r="J2599">
            <v>1074</v>
          </cell>
          <cell r="K2599">
            <v>39920.58</v>
          </cell>
          <cell r="L2599" t="str">
            <v>贷</v>
          </cell>
          <cell r="M2599">
            <v>1074</v>
          </cell>
          <cell r="N2599">
            <v>0</v>
          </cell>
          <cell r="O2599">
            <v>39920.58</v>
          </cell>
        </row>
        <row r="2600">
          <cell r="A2600" t="str">
            <v>04</v>
          </cell>
          <cell r="F2600" t="str">
            <v>本月合计</v>
          </cell>
          <cell r="G2600">
            <v>0</v>
          </cell>
          <cell r="H2600">
            <v>0</v>
          </cell>
          <cell r="I2600">
            <v>0</v>
          </cell>
          <cell r="J2600">
            <v>1074</v>
          </cell>
          <cell r="K2600">
            <v>39920.58</v>
          </cell>
          <cell r="L2600" t="str">
            <v>贷</v>
          </cell>
          <cell r="M2600">
            <v>1074</v>
          </cell>
          <cell r="N2600">
            <v>37.17</v>
          </cell>
          <cell r="O2600">
            <v>39920.58</v>
          </cell>
        </row>
        <row r="2601">
          <cell r="A2601" t="str">
            <v>04</v>
          </cell>
          <cell r="F2601" t="str">
            <v>累    计</v>
          </cell>
          <cell r="G2601">
            <v>0</v>
          </cell>
          <cell r="H2601">
            <v>0</v>
          </cell>
          <cell r="I2601">
            <v>0</v>
          </cell>
          <cell r="J2601">
            <v>1074</v>
          </cell>
          <cell r="K2601">
            <v>39920.58</v>
          </cell>
          <cell r="L2601" t="str">
            <v>贷</v>
          </cell>
          <cell r="M2601">
            <v>1074</v>
          </cell>
          <cell r="N2601">
            <v>37.17</v>
          </cell>
          <cell r="O2601">
            <v>39920.58</v>
          </cell>
        </row>
        <row r="2602">
          <cell r="A2602" t="str">
            <v>11</v>
          </cell>
          <cell r="B2602" t="str">
            <v>30</v>
          </cell>
          <cell r="C2602" t="str">
            <v>记-0042</v>
          </cell>
          <cell r="D2602" t="str">
            <v>188</v>
          </cell>
          <cell r="E2602" t="str">
            <v>野生甘草乙片</v>
          </cell>
          <cell r="F2602" t="str">
            <v>合并名称</v>
          </cell>
          <cell r="G2602">
            <v>37.17</v>
          </cell>
          <cell r="H2602">
            <v>1074</v>
          </cell>
          <cell r="I2602">
            <v>39920.58</v>
          </cell>
          <cell r="J2602">
            <v>0</v>
          </cell>
          <cell r="K2602">
            <v>0</v>
          </cell>
          <cell r="L2602" t="str">
            <v>平</v>
          </cell>
          <cell r="M2602">
            <v>0</v>
          </cell>
          <cell r="N2602">
            <v>0</v>
          </cell>
          <cell r="O2602">
            <v>0</v>
          </cell>
        </row>
        <row r="2603">
          <cell r="A2603" t="str">
            <v>11</v>
          </cell>
          <cell r="F2603" t="str">
            <v>本月合计</v>
          </cell>
          <cell r="G2603">
            <v>0</v>
          </cell>
          <cell r="H2603">
            <v>1074</v>
          </cell>
          <cell r="I2603">
            <v>39920.58</v>
          </cell>
          <cell r="J2603">
            <v>0</v>
          </cell>
          <cell r="K2603">
            <v>0</v>
          </cell>
          <cell r="L2603" t="str">
            <v>平</v>
          </cell>
          <cell r="M2603">
            <v>0</v>
          </cell>
          <cell r="N2603">
            <v>0</v>
          </cell>
          <cell r="O2603">
            <v>0</v>
          </cell>
        </row>
        <row r="2604">
          <cell r="A2604" t="str">
            <v>11</v>
          </cell>
          <cell r="E2604" t="str">
            <v>野生甘草乙片</v>
          </cell>
          <cell r="F2604" t="str">
            <v>本年累计</v>
          </cell>
          <cell r="G2604">
            <v>0</v>
          </cell>
          <cell r="H2604">
            <v>1074</v>
          </cell>
          <cell r="I2604">
            <v>39920.58</v>
          </cell>
          <cell r="J2604">
            <v>1074</v>
          </cell>
          <cell r="K2604">
            <v>39920.58</v>
          </cell>
          <cell r="L2604" t="str">
            <v>平</v>
          </cell>
          <cell r="M2604">
            <v>0</v>
          </cell>
          <cell r="N2604">
            <v>0</v>
          </cell>
          <cell r="O2604">
            <v>0</v>
          </cell>
        </row>
        <row r="2605">
          <cell r="A2605" t="str">
            <v>04</v>
          </cell>
          <cell r="B2605" t="str">
            <v>30</v>
          </cell>
          <cell r="C2605" t="str">
            <v>记-0051</v>
          </cell>
          <cell r="D2605" t="str">
            <v>189</v>
          </cell>
          <cell r="E2605" t="str">
            <v>梁外带皮甘草丁</v>
          </cell>
          <cell r="F2605" t="str">
            <v>转成本</v>
          </cell>
          <cell r="G2605">
            <v>15.04429</v>
          </cell>
          <cell r="H2605">
            <v>0</v>
          </cell>
          <cell r="I2605">
            <v>0</v>
          </cell>
          <cell r="J2605">
            <v>56</v>
          </cell>
          <cell r="K2605">
            <v>842.48</v>
          </cell>
          <cell r="L2605" t="str">
            <v>贷</v>
          </cell>
          <cell r="M2605">
            <v>56</v>
          </cell>
          <cell r="N2605">
            <v>0</v>
          </cell>
          <cell r="O2605">
            <v>842.48</v>
          </cell>
        </row>
        <row r="2606">
          <cell r="A2606" t="str">
            <v>04</v>
          </cell>
          <cell r="F2606" t="str">
            <v>本月合计</v>
          </cell>
          <cell r="G2606">
            <v>0</v>
          </cell>
          <cell r="H2606">
            <v>0</v>
          </cell>
          <cell r="I2606">
            <v>0</v>
          </cell>
          <cell r="J2606">
            <v>56</v>
          </cell>
          <cell r="K2606">
            <v>842.48</v>
          </cell>
          <cell r="L2606" t="str">
            <v>贷</v>
          </cell>
          <cell r="M2606">
            <v>56</v>
          </cell>
          <cell r="N2606">
            <v>15.04429</v>
          </cell>
          <cell r="O2606">
            <v>842.48</v>
          </cell>
        </row>
        <row r="2607">
          <cell r="A2607" t="str">
            <v>04</v>
          </cell>
          <cell r="F2607" t="str">
            <v>累    计</v>
          </cell>
          <cell r="G2607">
            <v>0</v>
          </cell>
          <cell r="H2607">
            <v>0</v>
          </cell>
          <cell r="I2607">
            <v>0</v>
          </cell>
          <cell r="J2607">
            <v>56</v>
          </cell>
          <cell r="K2607">
            <v>842.48</v>
          </cell>
          <cell r="L2607" t="str">
            <v>贷</v>
          </cell>
          <cell r="M2607">
            <v>56</v>
          </cell>
          <cell r="N2607">
            <v>15.04429</v>
          </cell>
          <cell r="O2607">
            <v>842.48</v>
          </cell>
        </row>
        <row r="2608">
          <cell r="A2608" t="str">
            <v>11</v>
          </cell>
          <cell r="B2608" t="str">
            <v>30</v>
          </cell>
          <cell r="C2608" t="str">
            <v>记-0046</v>
          </cell>
          <cell r="D2608" t="str">
            <v>189</v>
          </cell>
          <cell r="E2608" t="str">
            <v>梁外带皮甘草丁</v>
          </cell>
          <cell r="F2608" t="str">
            <v>合并名称</v>
          </cell>
          <cell r="G2608">
            <v>15.04429</v>
          </cell>
          <cell r="H2608">
            <v>56</v>
          </cell>
          <cell r="I2608">
            <v>842.48</v>
          </cell>
          <cell r="J2608">
            <v>0</v>
          </cell>
          <cell r="K2608">
            <v>0</v>
          </cell>
          <cell r="L2608" t="str">
            <v>平</v>
          </cell>
          <cell r="M2608">
            <v>0</v>
          </cell>
          <cell r="N2608">
            <v>0</v>
          </cell>
          <cell r="O2608">
            <v>0</v>
          </cell>
        </row>
        <row r="2609">
          <cell r="A2609" t="str">
            <v>11</v>
          </cell>
          <cell r="F2609" t="str">
            <v>本月合计</v>
          </cell>
          <cell r="G2609">
            <v>0</v>
          </cell>
          <cell r="H2609">
            <v>56</v>
          </cell>
          <cell r="I2609">
            <v>842.48</v>
          </cell>
          <cell r="J2609">
            <v>0</v>
          </cell>
          <cell r="K2609">
            <v>0</v>
          </cell>
          <cell r="L2609" t="str">
            <v>平</v>
          </cell>
          <cell r="M2609">
            <v>0</v>
          </cell>
          <cell r="N2609">
            <v>0</v>
          </cell>
          <cell r="O2609">
            <v>0</v>
          </cell>
        </row>
        <row r="2610">
          <cell r="A2610" t="str">
            <v>11</v>
          </cell>
          <cell r="E2610" t="str">
            <v>梁外带皮甘草丁</v>
          </cell>
          <cell r="F2610" t="str">
            <v>本年累计</v>
          </cell>
          <cell r="G2610">
            <v>0</v>
          </cell>
          <cell r="H2610">
            <v>56</v>
          </cell>
          <cell r="I2610">
            <v>842.48</v>
          </cell>
          <cell r="J2610">
            <v>56</v>
          </cell>
          <cell r="K2610">
            <v>842.48</v>
          </cell>
          <cell r="L2610" t="str">
            <v>平</v>
          </cell>
          <cell r="M2610">
            <v>0</v>
          </cell>
          <cell r="N2610">
            <v>0</v>
          </cell>
          <cell r="O2610">
            <v>0</v>
          </cell>
        </row>
        <row r="2611">
          <cell r="A2611" t="str">
            <v>04</v>
          </cell>
          <cell r="B2611" t="str">
            <v>30</v>
          </cell>
          <cell r="C2611" t="str">
            <v>记-0051</v>
          </cell>
          <cell r="D2611" t="str">
            <v>190</v>
          </cell>
          <cell r="E2611" t="str">
            <v>梁外商标丁草条</v>
          </cell>
          <cell r="F2611" t="str">
            <v>转成本</v>
          </cell>
          <cell r="G2611">
            <v>10.62</v>
          </cell>
          <cell r="H2611">
            <v>0</v>
          </cell>
          <cell r="I2611">
            <v>0</v>
          </cell>
          <cell r="J2611">
            <v>14065.7</v>
          </cell>
          <cell r="K2611">
            <v>149377.73000000001</v>
          </cell>
          <cell r="L2611" t="str">
            <v>贷</v>
          </cell>
          <cell r="M2611">
            <v>14065.7</v>
          </cell>
          <cell r="N2611">
            <v>0</v>
          </cell>
          <cell r="O2611">
            <v>149377.73000000001</v>
          </cell>
        </row>
        <row r="2612">
          <cell r="A2612" t="str">
            <v>04</v>
          </cell>
          <cell r="F2612" t="str">
            <v>本月合计</v>
          </cell>
          <cell r="G2612">
            <v>0</v>
          </cell>
          <cell r="H2612">
            <v>0</v>
          </cell>
          <cell r="I2612">
            <v>0</v>
          </cell>
          <cell r="J2612">
            <v>14065.7</v>
          </cell>
          <cell r="K2612">
            <v>149377.73000000001</v>
          </cell>
          <cell r="L2612" t="str">
            <v>贷</v>
          </cell>
          <cell r="M2612">
            <v>14065.7</v>
          </cell>
          <cell r="N2612">
            <v>10.62</v>
          </cell>
          <cell r="O2612">
            <v>149377.73000000001</v>
          </cell>
        </row>
        <row r="2613">
          <cell r="A2613" t="str">
            <v>04</v>
          </cell>
          <cell r="F2613" t="str">
            <v>累    计</v>
          </cell>
          <cell r="G2613">
            <v>0</v>
          </cell>
          <cell r="H2613">
            <v>0</v>
          </cell>
          <cell r="I2613">
            <v>0</v>
          </cell>
          <cell r="J2613">
            <v>14065.7</v>
          </cell>
          <cell r="K2613">
            <v>149377.73000000001</v>
          </cell>
          <cell r="L2613" t="str">
            <v>贷</v>
          </cell>
          <cell r="M2613">
            <v>14065.7</v>
          </cell>
          <cell r="N2613">
            <v>10.62</v>
          </cell>
          <cell r="O2613">
            <v>149377.73000000001</v>
          </cell>
        </row>
        <row r="2614">
          <cell r="A2614" t="str">
            <v>11</v>
          </cell>
          <cell r="B2614" t="str">
            <v>30</v>
          </cell>
          <cell r="C2614" t="str">
            <v>记-0075</v>
          </cell>
          <cell r="D2614" t="str">
            <v>190</v>
          </cell>
          <cell r="E2614" t="str">
            <v>梁外商标丁草条</v>
          </cell>
          <cell r="F2614" t="str">
            <v>合并名称</v>
          </cell>
          <cell r="G2614">
            <v>10.62</v>
          </cell>
          <cell r="H2614">
            <v>0</v>
          </cell>
          <cell r="I2614">
            <v>0</v>
          </cell>
          <cell r="J2614">
            <v>-14065.7</v>
          </cell>
          <cell r="K2614">
            <v>-149377.73000000001</v>
          </cell>
          <cell r="L2614" t="str">
            <v>平</v>
          </cell>
          <cell r="M2614">
            <v>0</v>
          </cell>
          <cell r="N2614">
            <v>0</v>
          </cell>
          <cell r="O2614">
            <v>0</v>
          </cell>
        </row>
        <row r="2615">
          <cell r="A2615" t="str">
            <v>11</v>
          </cell>
          <cell r="F2615" t="str">
            <v>本月合计</v>
          </cell>
          <cell r="G2615">
            <v>0</v>
          </cell>
          <cell r="H2615">
            <v>0</v>
          </cell>
          <cell r="I2615">
            <v>0</v>
          </cell>
          <cell r="J2615">
            <v>-14065.7</v>
          </cell>
          <cell r="K2615">
            <v>-149377.73000000001</v>
          </cell>
          <cell r="L2615" t="str">
            <v>平</v>
          </cell>
          <cell r="M2615">
            <v>0</v>
          </cell>
          <cell r="N2615">
            <v>0</v>
          </cell>
          <cell r="O2615">
            <v>0</v>
          </cell>
        </row>
        <row r="2616">
          <cell r="A2616" t="str">
            <v>11</v>
          </cell>
          <cell r="E2616" t="str">
            <v>梁外商标丁草条</v>
          </cell>
          <cell r="F2616" t="str">
            <v>本年累计</v>
          </cell>
          <cell r="G2616">
            <v>0</v>
          </cell>
          <cell r="H2616">
            <v>0</v>
          </cell>
          <cell r="I2616">
            <v>0</v>
          </cell>
          <cell r="J2616">
            <v>0</v>
          </cell>
          <cell r="K2616">
            <v>0</v>
          </cell>
          <cell r="L2616" t="str">
            <v>平</v>
          </cell>
          <cell r="M2616">
            <v>0</v>
          </cell>
          <cell r="N2616">
            <v>0</v>
          </cell>
          <cell r="O2616">
            <v>0</v>
          </cell>
        </row>
        <row r="2617">
          <cell r="A2617" t="str">
            <v>07</v>
          </cell>
          <cell r="B2617" t="str">
            <v>22</v>
          </cell>
          <cell r="C2617" t="str">
            <v>记-0051</v>
          </cell>
          <cell r="D2617" t="str">
            <v>191</v>
          </cell>
          <cell r="E2617" t="str">
            <v>天麻</v>
          </cell>
          <cell r="F2617" t="str">
            <v>结转成本</v>
          </cell>
          <cell r="G2617">
            <v>0.67596000000000001</v>
          </cell>
          <cell r="H2617">
            <v>0</v>
          </cell>
          <cell r="I2617">
            <v>0</v>
          </cell>
          <cell r="J2617">
            <v>3000</v>
          </cell>
          <cell r="K2617">
            <v>2027.89</v>
          </cell>
          <cell r="L2617" t="str">
            <v>贷</v>
          </cell>
          <cell r="M2617">
            <v>3000</v>
          </cell>
          <cell r="N2617">
            <v>0</v>
          </cell>
          <cell r="O2617">
            <v>2027.89</v>
          </cell>
        </row>
        <row r="2618">
          <cell r="A2618" t="str">
            <v>07</v>
          </cell>
          <cell r="B2618" t="str">
            <v>22</v>
          </cell>
          <cell r="C2618" t="str">
            <v>记-0053</v>
          </cell>
          <cell r="D2618" t="str">
            <v>191</v>
          </cell>
          <cell r="E2618" t="str">
            <v>天麻</v>
          </cell>
          <cell r="F2618" t="str">
            <v>收购产品</v>
          </cell>
          <cell r="G2618">
            <v>0.67596000000000001</v>
          </cell>
          <cell r="H2618">
            <v>3000</v>
          </cell>
          <cell r="I2618">
            <v>2027.89</v>
          </cell>
          <cell r="J2618">
            <v>0</v>
          </cell>
          <cell r="K2618">
            <v>0</v>
          </cell>
          <cell r="L2618" t="str">
            <v>平</v>
          </cell>
          <cell r="M2618">
            <v>0</v>
          </cell>
          <cell r="N2618">
            <v>0</v>
          </cell>
          <cell r="O2618">
            <v>0</v>
          </cell>
        </row>
        <row r="2619">
          <cell r="A2619" t="str">
            <v>07</v>
          </cell>
          <cell r="F2619" t="str">
            <v>本月合计</v>
          </cell>
          <cell r="G2619">
            <v>0</v>
          </cell>
          <cell r="H2619">
            <v>3000</v>
          </cell>
          <cell r="I2619">
            <v>2027.89</v>
          </cell>
          <cell r="J2619">
            <v>3000</v>
          </cell>
          <cell r="K2619">
            <v>2027.89</v>
          </cell>
          <cell r="L2619" t="str">
            <v>平</v>
          </cell>
          <cell r="M2619">
            <v>0</v>
          </cell>
          <cell r="N2619">
            <v>0</v>
          </cell>
          <cell r="O2619">
            <v>0</v>
          </cell>
        </row>
        <row r="2620">
          <cell r="A2620" t="str">
            <v>07</v>
          </cell>
          <cell r="E2620" t="str">
            <v>天麻</v>
          </cell>
          <cell r="F2620" t="str">
            <v>本年累计</v>
          </cell>
          <cell r="G2620">
            <v>0</v>
          </cell>
          <cell r="H2620">
            <v>3000</v>
          </cell>
          <cell r="I2620">
            <v>2027.89</v>
          </cell>
          <cell r="J2620">
            <v>3000</v>
          </cell>
          <cell r="K2620">
            <v>2027.89</v>
          </cell>
          <cell r="L2620" t="str">
            <v>平</v>
          </cell>
          <cell r="M2620">
            <v>0</v>
          </cell>
          <cell r="N2620">
            <v>0</v>
          </cell>
          <cell r="O2620">
            <v>0</v>
          </cell>
        </row>
        <row r="2621">
          <cell r="A2621" t="str">
            <v>07</v>
          </cell>
          <cell r="B2621" t="str">
            <v>22</v>
          </cell>
          <cell r="C2621" t="str">
            <v>记-0052</v>
          </cell>
          <cell r="D2621" t="str">
            <v>192</v>
          </cell>
          <cell r="E2621" t="str">
            <v>宫燕盏</v>
          </cell>
          <cell r="F2621" t="str">
            <v>结转成本</v>
          </cell>
          <cell r="G2621">
            <v>64.216639999999998</v>
          </cell>
          <cell r="H2621">
            <v>0</v>
          </cell>
          <cell r="I2621">
            <v>0</v>
          </cell>
          <cell r="J2621">
            <v>800</v>
          </cell>
          <cell r="K2621">
            <v>51373.31</v>
          </cell>
          <cell r="L2621" t="str">
            <v>贷</v>
          </cell>
          <cell r="M2621">
            <v>800</v>
          </cell>
          <cell r="N2621">
            <v>0</v>
          </cell>
          <cell r="O2621">
            <v>51373.31</v>
          </cell>
        </row>
        <row r="2622">
          <cell r="A2622" t="str">
            <v>07</v>
          </cell>
          <cell r="B2622" t="str">
            <v>22</v>
          </cell>
          <cell r="C2622" t="str">
            <v>记-0054</v>
          </cell>
          <cell r="D2622" t="str">
            <v>192</v>
          </cell>
          <cell r="E2622" t="str">
            <v>宫燕盏</v>
          </cell>
          <cell r="F2622" t="str">
            <v>收购产品</v>
          </cell>
          <cell r="G2622">
            <v>64.216639999999998</v>
          </cell>
          <cell r="H2622">
            <v>800</v>
          </cell>
          <cell r="I2622">
            <v>51373.31</v>
          </cell>
          <cell r="J2622">
            <v>0</v>
          </cell>
          <cell r="K2622">
            <v>0</v>
          </cell>
          <cell r="L2622" t="str">
            <v>平</v>
          </cell>
          <cell r="M2622">
            <v>0</v>
          </cell>
          <cell r="N2622">
            <v>0</v>
          </cell>
          <cell r="O2622">
            <v>0</v>
          </cell>
        </row>
        <row r="2623">
          <cell r="A2623" t="str">
            <v>07</v>
          </cell>
          <cell r="F2623" t="str">
            <v>本月合计</v>
          </cell>
          <cell r="G2623">
            <v>0</v>
          </cell>
          <cell r="H2623">
            <v>800</v>
          </cell>
          <cell r="I2623">
            <v>51373.31</v>
          </cell>
          <cell r="J2623">
            <v>800</v>
          </cell>
          <cell r="K2623">
            <v>51373.31</v>
          </cell>
          <cell r="L2623" t="str">
            <v>平</v>
          </cell>
          <cell r="M2623">
            <v>0</v>
          </cell>
          <cell r="N2623">
            <v>0</v>
          </cell>
          <cell r="O2623">
            <v>0</v>
          </cell>
        </row>
        <row r="2624">
          <cell r="A2624" t="str">
            <v>07</v>
          </cell>
          <cell r="E2624" t="str">
            <v>宫燕盏</v>
          </cell>
          <cell r="F2624" t="str">
            <v>本年累计</v>
          </cell>
          <cell r="G2624">
            <v>0</v>
          </cell>
          <cell r="H2624">
            <v>800</v>
          </cell>
          <cell r="I2624">
            <v>51373.31</v>
          </cell>
          <cell r="J2624">
            <v>800</v>
          </cell>
          <cell r="K2624">
            <v>51373.31</v>
          </cell>
          <cell r="L2624" t="str">
            <v>平</v>
          </cell>
          <cell r="M2624">
            <v>0</v>
          </cell>
          <cell r="N2624">
            <v>0</v>
          </cell>
          <cell r="O2624">
            <v>0</v>
          </cell>
        </row>
        <row r="2625">
          <cell r="A2625" t="str">
            <v>05</v>
          </cell>
          <cell r="B2625" t="str">
            <v>31</v>
          </cell>
          <cell r="C2625" t="str">
            <v>记-0036</v>
          </cell>
          <cell r="D2625" t="str">
            <v>195</v>
          </cell>
          <cell r="E2625" t="str">
            <v>人工去皮甘草黄</v>
          </cell>
          <cell r="F2625" t="str">
            <v>收购产品</v>
          </cell>
          <cell r="G2625">
            <v>8.4070900000000002</v>
          </cell>
          <cell r="H2625">
            <v>594</v>
          </cell>
          <cell r="I2625">
            <v>4993.8100000000004</v>
          </cell>
          <cell r="J2625">
            <v>0</v>
          </cell>
          <cell r="K2625">
            <v>0</v>
          </cell>
          <cell r="L2625" t="str">
            <v>借</v>
          </cell>
          <cell r="M2625">
            <v>594</v>
          </cell>
          <cell r="N2625">
            <v>0</v>
          </cell>
          <cell r="O2625">
            <v>4993.8100000000004</v>
          </cell>
        </row>
        <row r="2626">
          <cell r="A2626" t="str">
            <v>05</v>
          </cell>
          <cell r="F2626" t="str">
            <v>本月合计</v>
          </cell>
          <cell r="G2626">
            <v>0</v>
          </cell>
          <cell r="H2626">
            <v>594</v>
          </cell>
          <cell r="I2626">
            <v>4993.8100000000004</v>
          </cell>
          <cell r="J2626">
            <v>0</v>
          </cell>
          <cell r="K2626">
            <v>0</v>
          </cell>
          <cell r="L2626" t="str">
            <v>借</v>
          </cell>
          <cell r="M2626">
            <v>594</v>
          </cell>
          <cell r="N2626">
            <v>8.4070900000000002</v>
          </cell>
          <cell r="O2626">
            <v>4993.8100000000004</v>
          </cell>
        </row>
        <row r="2627">
          <cell r="A2627" t="str">
            <v>05</v>
          </cell>
          <cell r="F2627" t="str">
            <v>累    计</v>
          </cell>
          <cell r="G2627">
            <v>0</v>
          </cell>
          <cell r="H2627">
            <v>594</v>
          </cell>
          <cell r="I2627">
            <v>4993.8100000000004</v>
          </cell>
          <cell r="J2627">
            <v>0</v>
          </cell>
          <cell r="K2627">
            <v>0</v>
          </cell>
          <cell r="L2627" t="str">
            <v>借</v>
          </cell>
          <cell r="M2627">
            <v>594</v>
          </cell>
          <cell r="N2627">
            <v>8.4070900000000002</v>
          </cell>
          <cell r="O2627">
            <v>4993.8100000000004</v>
          </cell>
        </row>
        <row r="2628">
          <cell r="A2628" t="str">
            <v>11</v>
          </cell>
          <cell r="B2628" t="str">
            <v>30</v>
          </cell>
          <cell r="C2628" t="str">
            <v>记-0111</v>
          </cell>
          <cell r="D2628" t="str">
            <v>195</v>
          </cell>
          <cell r="E2628" t="str">
            <v>人工去皮甘草黄</v>
          </cell>
          <cell r="F2628" t="str">
            <v>0321</v>
          </cell>
          <cell r="G2628">
            <v>8.4070900000000002</v>
          </cell>
          <cell r="H2628">
            <v>-594</v>
          </cell>
          <cell r="I2628">
            <v>-4993.8100000000004</v>
          </cell>
          <cell r="J2628">
            <v>0</v>
          </cell>
          <cell r="K2628">
            <v>0</v>
          </cell>
          <cell r="L2628" t="str">
            <v>平</v>
          </cell>
          <cell r="M2628">
            <v>0</v>
          </cell>
          <cell r="N2628">
            <v>0</v>
          </cell>
          <cell r="O2628">
            <v>0</v>
          </cell>
        </row>
        <row r="2629">
          <cell r="A2629" t="str">
            <v>11</v>
          </cell>
          <cell r="F2629" t="str">
            <v>本月合计</v>
          </cell>
          <cell r="G2629">
            <v>0</v>
          </cell>
          <cell r="H2629">
            <v>-594</v>
          </cell>
          <cell r="I2629">
            <v>-4993.8100000000004</v>
          </cell>
          <cell r="J2629">
            <v>0</v>
          </cell>
          <cell r="K2629">
            <v>0</v>
          </cell>
          <cell r="L2629" t="str">
            <v>平</v>
          </cell>
          <cell r="M2629">
            <v>0</v>
          </cell>
          <cell r="N2629">
            <v>0</v>
          </cell>
          <cell r="O2629">
            <v>0</v>
          </cell>
        </row>
        <row r="2630">
          <cell r="A2630" t="str">
            <v>11</v>
          </cell>
          <cell r="E2630" t="str">
            <v>人工去皮甘草黄</v>
          </cell>
          <cell r="F2630" t="str">
            <v>本年累计</v>
          </cell>
          <cell r="G2630">
            <v>0</v>
          </cell>
          <cell r="H2630">
            <v>0</v>
          </cell>
          <cell r="I2630">
            <v>0</v>
          </cell>
          <cell r="J2630">
            <v>0</v>
          </cell>
          <cell r="K2630">
            <v>0</v>
          </cell>
          <cell r="L2630" t="str">
            <v>平</v>
          </cell>
          <cell r="M2630">
            <v>0</v>
          </cell>
          <cell r="N2630">
            <v>0</v>
          </cell>
          <cell r="O2630">
            <v>0</v>
          </cell>
        </row>
        <row r="2631">
          <cell r="A2631" t="str">
            <v>05</v>
          </cell>
          <cell r="B2631" t="str">
            <v>31</v>
          </cell>
          <cell r="C2631" t="str">
            <v>记-0036</v>
          </cell>
          <cell r="D2631" t="str">
            <v>196</v>
          </cell>
          <cell r="E2631" t="str">
            <v>人工去皮甘草片</v>
          </cell>
          <cell r="F2631" t="str">
            <v>收购产品</v>
          </cell>
          <cell r="G2631">
            <v>10.61947</v>
          </cell>
          <cell r="H2631">
            <v>76</v>
          </cell>
          <cell r="I2631">
            <v>807.08</v>
          </cell>
          <cell r="J2631">
            <v>0</v>
          </cell>
          <cell r="K2631">
            <v>0</v>
          </cell>
          <cell r="L2631" t="str">
            <v>借</v>
          </cell>
          <cell r="M2631">
            <v>76</v>
          </cell>
          <cell r="N2631">
            <v>0</v>
          </cell>
          <cell r="O2631">
            <v>807.08</v>
          </cell>
        </row>
        <row r="2632">
          <cell r="A2632" t="str">
            <v>05</v>
          </cell>
          <cell r="F2632" t="str">
            <v>本月合计</v>
          </cell>
          <cell r="G2632">
            <v>0</v>
          </cell>
          <cell r="H2632">
            <v>76</v>
          </cell>
          <cell r="I2632">
            <v>807.08</v>
          </cell>
          <cell r="J2632">
            <v>0</v>
          </cell>
          <cell r="K2632">
            <v>0</v>
          </cell>
          <cell r="L2632" t="str">
            <v>借</v>
          </cell>
          <cell r="M2632">
            <v>76</v>
          </cell>
          <cell r="N2632">
            <v>10.61947</v>
          </cell>
          <cell r="O2632">
            <v>807.08</v>
          </cell>
        </row>
        <row r="2633">
          <cell r="A2633" t="str">
            <v>05</v>
          </cell>
          <cell r="F2633" t="str">
            <v>累    计</v>
          </cell>
          <cell r="G2633">
            <v>0</v>
          </cell>
          <cell r="H2633">
            <v>76</v>
          </cell>
          <cell r="I2633">
            <v>807.08</v>
          </cell>
          <cell r="J2633">
            <v>0</v>
          </cell>
          <cell r="K2633">
            <v>0</v>
          </cell>
          <cell r="L2633" t="str">
            <v>借</v>
          </cell>
          <cell r="M2633">
            <v>76</v>
          </cell>
          <cell r="N2633">
            <v>10.61947</v>
          </cell>
          <cell r="O2633">
            <v>807.08</v>
          </cell>
        </row>
        <row r="2634">
          <cell r="A2634" t="str">
            <v>11</v>
          </cell>
          <cell r="B2634" t="str">
            <v>30</v>
          </cell>
          <cell r="C2634" t="str">
            <v>记-0039</v>
          </cell>
          <cell r="D2634" t="str">
            <v>196</v>
          </cell>
          <cell r="E2634" t="str">
            <v>人工去皮甘草片</v>
          </cell>
          <cell r="F2634" t="str">
            <v>合并名称</v>
          </cell>
          <cell r="G2634">
            <v>10.61947</v>
          </cell>
          <cell r="H2634">
            <v>0</v>
          </cell>
          <cell r="I2634">
            <v>0</v>
          </cell>
          <cell r="J2634">
            <v>76</v>
          </cell>
          <cell r="K2634">
            <v>807.08</v>
          </cell>
          <cell r="L2634" t="str">
            <v>平</v>
          </cell>
          <cell r="M2634">
            <v>0</v>
          </cell>
          <cell r="N2634">
            <v>0</v>
          </cell>
          <cell r="O2634">
            <v>0</v>
          </cell>
        </row>
        <row r="2635">
          <cell r="A2635" t="str">
            <v>11</v>
          </cell>
          <cell r="F2635" t="str">
            <v>本月合计</v>
          </cell>
          <cell r="G2635">
            <v>0</v>
          </cell>
          <cell r="H2635">
            <v>0</v>
          </cell>
          <cell r="I2635">
            <v>0</v>
          </cell>
          <cell r="J2635">
            <v>76</v>
          </cell>
          <cell r="K2635">
            <v>807.08</v>
          </cell>
          <cell r="L2635" t="str">
            <v>平</v>
          </cell>
          <cell r="M2635">
            <v>0</v>
          </cell>
          <cell r="N2635">
            <v>0</v>
          </cell>
          <cell r="O2635">
            <v>0</v>
          </cell>
        </row>
        <row r="2636">
          <cell r="A2636" t="str">
            <v>11</v>
          </cell>
          <cell r="E2636" t="str">
            <v>人工去皮甘草片</v>
          </cell>
          <cell r="F2636" t="str">
            <v>本年累计</v>
          </cell>
          <cell r="G2636">
            <v>0</v>
          </cell>
          <cell r="H2636">
            <v>76</v>
          </cell>
          <cell r="I2636">
            <v>807.08</v>
          </cell>
          <cell r="J2636">
            <v>76</v>
          </cell>
          <cell r="K2636">
            <v>807.08</v>
          </cell>
          <cell r="L2636" t="str">
            <v>平</v>
          </cell>
          <cell r="M2636">
            <v>0</v>
          </cell>
          <cell r="N2636">
            <v>0</v>
          </cell>
          <cell r="O2636">
            <v>0</v>
          </cell>
        </row>
        <row r="2637">
          <cell r="A2637" t="str">
            <v>05</v>
          </cell>
          <cell r="B2637" t="str">
            <v>31</v>
          </cell>
          <cell r="C2637" t="str">
            <v>记-0036</v>
          </cell>
          <cell r="D2637" t="str">
            <v>197</v>
          </cell>
          <cell r="E2637" t="str">
            <v>野生带皮甘草片</v>
          </cell>
          <cell r="F2637" t="str">
            <v>收购产品</v>
          </cell>
          <cell r="G2637">
            <v>22.123889999999999</v>
          </cell>
          <cell r="H2637">
            <v>1008</v>
          </cell>
          <cell r="I2637">
            <v>22300.880000000001</v>
          </cell>
          <cell r="J2637">
            <v>0</v>
          </cell>
          <cell r="K2637">
            <v>0</v>
          </cell>
          <cell r="L2637" t="str">
            <v>借</v>
          </cell>
          <cell r="M2637">
            <v>1008</v>
          </cell>
          <cell r="N2637">
            <v>0</v>
          </cell>
          <cell r="O2637">
            <v>22300.880000000001</v>
          </cell>
        </row>
        <row r="2638">
          <cell r="A2638" t="str">
            <v>05</v>
          </cell>
          <cell r="B2638" t="str">
            <v>31</v>
          </cell>
          <cell r="C2638" t="str">
            <v>记-0036</v>
          </cell>
          <cell r="D2638" t="str">
            <v>197</v>
          </cell>
          <cell r="E2638" t="str">
            <v>野生带皮甘草片</v>
          </cell>
          <cell r="F2638" t="str">
            <v>收购产品</v>
          </cell>
          <cell r="G2638">
            <v>22.123889999999999</v>
          </cell>
          <cell r="H2638">
            <v>4828</v>
          </cell>
          <cell r="I2638">
            <v>106814.16</v>
          </cell>
          <cell r="J2638">
            <v>0</v>
          </cell>
          <cell r="K2638">
            <v>0</v>
          </cell>
          <cell r="L2638" t="str">
            <v>借</v>
          </cell>
          <cell r="M2638">
            <v>5836</v>
          </cell>
          <cell r="N2638">
            <v>0</v>
          </cell>
          <cell r="O2638">
            <v>129115.04</v>
          </cell>
        </row>
        <row r="2639">
          <cell r="A2639" t="str">
            <v>05</v>
          </cell>
          <cell r="F2639" t="str">
            <v>本月合计</v>
          </cell>
          <cell r="G2639">
            <v>0</v>
          </cell>
          <cell r="H2639">
            <v>5836</v>
          </cell>
          <cell r="I2639">
            <v>129115.04</v>
          </cell>
          <cell r="J2639">
            <v>0</v>
          </cell>
          <cell r="K2639">
            <v>0</v>
          </cell>
          <cell r="L2639" t="str">
            <v>借</v>
          </cell>
          <cell r="M2639">
            <v>5836</v>
          </cell>
          <cell r="N2639">
            <v>22.123889999999999</v>
          </cell>
          <cell r="O2639">
            <v>129115.04</v>
          </cell>
        </row>
        <row r="2640">
          <cell r="A2640" t="str">
            <v>05</v>
          </cell>
          <cell r="F2640" t="str">
            <v>累    计</v>
          </cell>
          <cell r="G2640">
            <v>0</v>
          </cell>
          <cell r="H2640">
            <v>5836</v>
          </cell>
          <cell r="I2640">
            <v>129115.04</v>
          </cell>
          <cell r="J2640">
            <v>0</v>
          </cell>
          <cell r="K2640">
            <v>0</v>
          </cell>
          <cell r="L2640" t="str">
            <v>借</v>
          </cell>
          <cell r="M2640">
            <v>5836</v>
          </cell>
          <cell r="N2640">
            <v>22.123889999999999</v>
          </cell>
          <cell r="O2640">
            <v>129115.04</v>
          </cell>
        </row>
        <row r="2641">
          <cell r="A2641" t="str">
            <v>11</v>
          </cell>
          <cell r="B2641" t="str">
            <v>30</v>
          </cell>
          <cell r="C2641" t="str">
            <v>记-0044</v>
          </cell>
          <cell r="D2641" t="str">
            <v>197</v>
          </cell>
          <cell r="E2641" t="str">
            <v>野生带皮甘草片</v>
          </cell>
          <cell r="F2641" t="str">
            <v>合并名称</v>
          </cell>
          <cell r="G2641">
            <v>22.123889999999999</v>
          </cell>
          <cell r="H2641">
            <v>-5836</v>
          </cell>
          <cell r="I2641">
            <v>-129115.04</v>
          </cell>
          <cell r="J2641">
            <v>0</v>
          </cell>
          <cell r="K2641">
            <v>0</v>
          </cell>
          <cell r="L2641" t="str">
            <v>平</v>
          </cell>
          <cell r="M2641">
            <v>0</v>
          </cell>
          <cell r="N2641">
            <v>0</v>
          </cell>
          <cell r="O2641">
            <v>0</v>
          </cell>
        </row>
        <row r="2642">
          <cell r="A2642" t="str">
            <v>11</v>
          </cell>
          <cell r="F2642" t="str">
            <v>本月合计</v>
          </cell>
          <cell r="G2642">
            <v>0</v>
          </cell>
          <cell r="H2642">
            <v>-5836</v>
          </cell>
          <cell r="I2642">
            <v>-129115.04</v>
          </cell>
          <cell r="J2642">
            <v>0</v>
          </cell>
          <cell r="K2642">
            <v>0</v>
          </cell>
          <cell r="L2642" t="str">
            <v>平</v>
          </cell>
          <cell r="M2642">
            <v>0</v>
          </cell>
          <cell r="N2642">
            <v>0</v>
          </cell>
          <cell r="O2642">
            <v>0</v>
          </cell>
        </row>
        <row r="2643">
          <cell r="A2643" t="str">
            <v>11</v>
          </cell>
          <cell r="F2643" t="str">
            <v>本年累计</v>
          </cell>
          <cell r="G2643">
            <v>0</v>
          </cell>
          <cell r="H2643">
            <v>0</v>
          </cell>
          <cell r="I2643">
            <v>0</v>
          </cell>
          <cell r="J2643">
            <v>0</v>
          </cell>
          <cell r="K2643">
            <v>0</v>
          </cell>
          <cell r="L2643" t="str">
            <v>平</v>
          </cell>
          <cell r="M2643">
            <v>0</v>
          </cell>
          <cell r="N2643">
            <v>0</v>
          </cell>
          <cell r="O2643">
            <v>0</v>
          </cell>
        </row>
        <row r="2644">
          <cell r="A2644" t="str">
            <v>05</v>
          </cell>
          <cell r="B2644" t="str">
            <v>31</v>
          </cell>
          <cell r="C2644" t="str">
            <v>记-0036</v>
          </cell>
          <cell r="D2644" t="str">
            <v>198</v>
          </cell>
          <cell r="E2644" t="str">
            <v>野生带皮甘草丁</v>
          </cell>
          <cell r="F2644" t="str">
            <v>收购产品</v>
          </cell>
          <cell r="G2644">
            <v>15.04425</v>
          </cell>
          <cell r="H2644">
            <v>784</v>
          </cell>
          <cell r="I2644">
            <v>11794.69</v>
          </cell>
          <cell r="J2644">
            <v>0</v>
          </cell>
          <cell r="K2644">
            <v>0</v>
          </cell>
          <cell r="L2644" t="str">
            <v>借</v>
          </cell>
          <cell r="M2644">
            <v>784</v>
          </cell>
          <cell r="N2644">
            <v>0</v>
          </cell>
          <cell r="O2644">
            <v>11794.69</v>
          </cell>
        </row>
        <row r="2645">
          <cell r="A2645" t="str">
            <v>05</v>
          </cell>
          <cell r="F2645" t="str">
            <v>本月合计</v>
          </cell>
          <cell r="G2645">
            <v>0</v>
          </cell>
          <cell r="H2645">
            <v>784</v>
          </cell>
          <cell r="I2645">
            <v>11794.69</v>
          </cell>
          <cell r="J2645">
            <v>0</v>
          </cell>
          <cell r="K2645">
            <v>0</v>
          </cell>
          <cell r="L2645" t="str">
            <v>借</v>
          </cell>
          <cell r="M2645">
            <v>784</v>
          </cell>
          <cell r="N2645">
            <v>15.04425</v>
          </cell>
          <cell r="O2645">
            <v>11794.69</v>
          </cell>
        </row>
        <row r="2646">
          <cell r="A2646" t="str">
            <v>05</v>
          </cell>
          <cell r="F2646" t="str">
            <v>累    计</v>
          </cell>
          <cell r="G2646">
            <v>0</v>
          </cell>
          <cell r="H2646">
            <v>784</v>
          </cell>
          <cell r="I2646">
            <v>11794.69</v>
          </cell>
          <cell r="J2646">
            <v>0</v>
          </cell>
          <cell r="K2646">
            <v>0</v>
          </cell>
          <cell r="L2646" t="str">
            <v>借</v>
          </cell>
          <cell r="M2646">
            <v>784</v>
          </cell>
          <cell r="N2646">
            <v>15.04425</v>
          </cell>
          <cell r="O2646">
            <v>11794.69</v>
          </cell>
        </row>
        <row r="2647">
          <cell r="A2647" t="str">
            <v>11</v>
          </cell>
          <cell r="B2647" t="str">
            <v>30</v>
          </cell>
          <cell r="C2647" t="str">
            <v>记-0045</v>
          </cell>
          <cell r="D2647" t="str">
            <v>198</v>
          </cell>
          <cell r="E2647" t="str">
            <v>野生带皮甘草丁</v>
          </cell>
          <cell r="F2647" t="str">
            <v>合并名称</v>
          </cell>
          <cell r="G2647">
            <v>15.04425</v>
          </cell>
          <cell r="H2647">
            <v>-784</v>
          </cell>
          <cell r="I2647">
            <v>-11794.69</v>
          </cell>
          <cell r="J2647">
            <v>0</v>
          </cell>
          <cell r="K2647">
            <v>0</v>
          </cell>
          <cell r="L2647" t="str">
            <v>平</v>
          </cell>
          <cell r="M2647">
            <v>0</v>
          </cell>
          <cell r="N2647">
            <v>0</v>
          </cell>
          <cell r="O2647">
            <v>0</v>
          </cell>
        </row>
        <row r="2648">
          <cell r="A2648" t="str">
            <v>11</v>
          </cell>
          <cell r="F2648" t="str">
            <v>本月合计</v>
          </cell>
          <cell r="G2648">
            <v>0</v>
          </cell>
          <cell r="H2648">
            <v>-784</v>
          </cell>
          <cell r="I2648">
            <v>-11794.69</v>
          </cell>
          <cell r="J2648">
            <v>0</v>
          </cell>
          <cell r="K2648">
            <v>0</v>
          </cell>
          <cell r="L2648" t="str">
            <v>平</v>
          </cell>
          <cell r="M2648">
            <v>0</v>
          </cell>
          <cell r="N2648">
            <v>0</v>
          </cell>
          <cell r="O2648">
            <v>0</v>
          </cell>
        </row>
        <row r="2649">
          <cell r="A2649" t="str">
            <v>11</v>
          </cell>
          <cell r="E2649" t="str">
            <v>野生带皮甘草丁</v>
          </cell>
          <cell r="F2649" t="str">
            <v>本年累计</v>
          </cell>
          <cell r="G2649">
            <v>0</v>
          </cell>
          <cell r="H2649">
            <v>0</v>
          </cell>
          <cell r="I2649">
            <v>0</v>
          </cell>
          <cell r="J2649">
            <v>0</v>
          </cell>
          <cell r="K2649">
            <v>0</v>
          </cell>
          <cell r="L2649" t="str">
            <v>平</v>
          </cell>
          <cell r="M2649">
            <v>0</v>
          </cell>
          <cell r="N2649">
            <v>0</v>
          </cell>
          <cell r="O2649">
            <v>0</v>
          </cell>
        </row>
        <row r="2650">
          <cell r="A2650" t="str">
            <v>05</v>
          </cell>
          <cell r="B2650" t="str">
            <v>31</v>
          </cell>
          <cell r="C2650" t="str">
            <v>记-0082</v>
          </cell>
          <cell r="D2650" t="str">
            <v>200</v>
          </cell>
          <cell r="E2650" t="str">
            <v>枸杞</v>
          </cell>
          <cell r="F2650" t="str">
            <v>收购产品</v>
          </cell>
          <cell r="G2650">
            <v>66210.045660000003</v>
          </cell>
          <cell r="H2650">
            <v>13.14</v>
          </cell>
          <cell r="I2650">
            <v>870000</v>
          </cell>
          <cell r="J2650">
            <v>0</v>
          </cell>
          <cell r="K2650">
            <v>0</v>
          </cell>
          <cell r="L2650" t="str">
            <v>借</v>
          </cell>
          <cell r="M2650">
            <v>13.14</v>
          </cell>
          <cell r="N2650">
            <v>0</v>
          </cell>
          <cell r="O2650">
            <v>870000</v>
          </cell>
        </row>
        <row r="2651">
          <cell r="A2651" t="str">
            <v>05</v>
          </cell>
          <cell r="B2651" t="str">
            <v>31</v>
          </cell>
          <cell r="C2651" t="str">
            <v>记-0083</v>
          </cell>
          <cell r="D2651" t="str">
            <v>200</v>
          </cell>
          <cell r="E2651" t="str">
            <v>枸杞</v>
          </cell>
          <cell r="F2651" t="str">
            <v>转成本</v>
          </cell>
          <cell r="G2651">
            <v>66210.045660000003</v>
          </cell>
          <cell r="H2651">
            <v>0</v>
          </cell>
          <cell r="I2651">
            <v>0</v>
          </cell>
          <cell r="J2651">
            <v>13.14</v>
          </cell>
          <cell r="K2651">
            <v>870000</v>
          </cell>
          <cell r="L2651" t="str">
            <v>平</v>
          </cell>
          <cell r="M2651">
            <v>0</v>
          </cell>
          <cell r="N2651">
            <v>0</v>
          </cell>
          <cell r="O2651">
            <v>0</v>
          </cell>
        </row>
        <row r="2652">
          <cell r="A2652" t="str">
            <v>05</v>
          </cell>
          <cell r="F2652" t="str">
            <v>本月合计</v>
          </cell>
          <cell r="G2652">
            <v>0</v>
          </cell>
          <cell r="H2652">
            <v>13.14</v>
          </cell>
          <cell r="I2652">
            <v>870000</v>
          </cell>
          <cell r="J2652">
            <v>13.14</v>
          </cell>
          <cell r="K2652">
            <v>870000</v>
          </cell>
          <cell r="L2652" t="str">
            <v>平</v>
          </cell>
          <cell r="M2652">
            <v>0</v>
          </cell>
          <cell r="N2652">
            <v>0</v>
          </cell>
          <cell r="O2652">
            <v>0</v>
          </cell>
        </row>
        <row r="2653">
          <cell r="A2653" t="str">
            <v>05</v>
          </cell>
          <cell r="F2653" t="str">
            <v>累    计</v>
          </cell>
          <cell r="G2653">
            <v>0</v>
          </cell>
          <cell r="H2653">
            <v>13.14</v>
          </cell>
          <cell r="I2653">
            <v>870000</v>
          </cell>
          <cell r="J2653">
            <v>13.14</v>
          </cell>
          <cell r="K2653">
            <v>870000</v>
          </cell>
          <cell r="L2653" t="str">
            <v>平</v>
          </cell>
          <cell r="M2653">
            <v>0</v>
          </cell>
          <cell r="N2653">
            <v>0</v>
          </cell>
          <cell r="O2653">
            <v>0</v>
          </cell>
        </row>
        <row r="2654">
          <cell r="A2654" t="str">
            <v>06</v>
          </cell>
          <cell r="B2654" t="str">
            <v>24</v>
          </cell>
          <cell r="C2654" t="str">
            <v>记-0057</v>
          </cell>
          <cell r="D2654" t="str">
            <v>200</v>
          </cell>
          <cell r="E2654" t="str">
            <v>枸杞</v>
          </cell>
          <cell r="F2654" t="str">
            <v>购入商品</v>
          </cell>
          <cell r="G2654">
            <v>13.05</v>
          </cell>
          <cell r="H2654">
            <v>200000</v>
          </cell>
          <cell r="I2654">
            <v>2610000</v>
          </cell>
          <cell r="J2654">
            <v>0</v>
          </cell>
          <cell r="K2654">
            <v>0</v>
          </cell>
          <cell r="L2654" t="str">
            <v>借</v>
          </cell>
          <cell r="M2654">
            <v>200000</v>
          </cell>
          <cell r="N2654">
            <v>0</v>
          </cell>
          <cell r="O2654">
            <v>2610000</v>
          </cell>
        </row>
        <row r="2655">
          <cell r="A2655" t="str">
            <v>06</v>
          </cell>
          <cell r="B2655" t="str">
            <v>24</v>
          </cell>
          <cell r="C2655" t="str">
            <v>记-0066</v>
          </cell>
          <cell r="D2655" t="str">
            <v>200</v>
          </cell>
          <cell r="E2655" t="str">
            <v>枸杞</v>
          </cell>
          <cell r="F2655" t="str">
            <v>转成本</v>
          </cell>
          <cell r="G2655">
            <v>13.05</v>
          </cell>
          <cell r="H2655">
            <v>0</v>
          </cell>
          <cell r="I2655">
            <v>0</v>
          </cell>
          <cell r="J2655">
            <v>200000</v>
          </cell>
          <cell r="K2655">
            <v>2610000</v>
          </cell>
          <cell r="L2655" t="str">
            <v>平</v>
          </cell>
          <cell r="M2655">
            <v>0</v>
          </cell>
          <cell r="N2655">
            <v>0</v>
          </cell>
          <cell r="O2655">
            <v>0</v>
          </cell>
        </row>
        <row r="2656">
          <cell r="A2656" t="str">
            <v>06</v>
          </cell>
          <cell r="F2656" t="str">
            <v>本月合计</v>
          </cell>
          <cell r="G2656">
            <v>0</v>
          </cell>
          <cell r="H2656">
            <v>200000</v>
          </cell>
          <cell r="I2656">
            <v>2610000</v>
          </cell>
          <cell r="J2656">
            <v>200000</v>
          </cell>
          <cell r="K2656">
            <v>2610000</v>
          </cell>
          <cell r="L2656" t="str">
            <v>平</v>
          </cell>
          <cell r="M2656">
            <v>0</v>
          </cell>
          <cell r="N2656">
            <v>0</v>
          </cell>
          <cell r="O2656">
            <v>0</v>
          </cell>
        </row>
        <row r="2657">
          <cell r="A2657" t="str">
            <v>06</v>
          </cell>
          <cell r="E2657" t="str">
            <v>枸杞</v>
          </cell>
          <cell r="F2657" t="str">
            <v>本年累计</v>
          </cell>
          <cell r="G2657">
            <v>0</v>
          </cell>
          <cell r="H2657">
            <v>200013.14</v>
          </cell>
          <cell r="I2657">
            <v>3480000</v>
          </cell>
          <cell r="J2657">
            <v>200013.14</v>
          </cell>
          <cell r="K2657">
            <v>3480000</v>
          </cell>
          <cell r="L2657" t="str">
            <v>平</v>
          </cell>
          <cell r="M2657">
            <v>0</v>
          </cell>
          <cell r="N2657">
            <v>0</v>
          </cell>
          <cell r="O2657">
            <v>0</v>
          </cell>
        </row>
        <row r="2658">
          <cell r="A2658" t="str">
            <v>05</v>
          </cell>
          <cell r="B2658" t="str">
            <v>31</v>
          </cell>
          <cell r="C2658" t="str">
            <v>记-0087</v>
          </cell>
          <cell r="D2658" t="str">
            <v>201</v>
          </cell>
          <cell r="E2658" t="str">
            <v>野生带皮丁片</v>
          </cell>
          <cell r="F2658" t="str">
            <v>转成本</v>
          </cell>
          <cell r="G2658">
            <v>23.01</v>
          </cell>
          <cell r="H2658">
            <v>0</v>
          </cell>
          <cell r="I2658">
            <v>0</v>
          </cell>
          <cell r="J2658">
            <v>2314</v>
          </cell>
          <cell r="K2658">
            <v>53245.14</v>
          </cell>
          <cell r="L2658" t="str">
            <v>贷</v>
          </cell>
          <cell r="M2658">
            <v>2314</v>
          </cell>
          <cell r="N2658">
            <v>0</v>
          </cell>
          <cell r="O2658">
            <v>53245.14</v>
          </cell>
        </row>
        <row r="2659">
          <cell r="A2659" t="str">
            <v>05</v>
          </cell>
          <cell r="F2659" t="str">
            <v>本月合计</v>
          </cell>
          <cell r="G2659">
            <v>0</v>
          </cell>
          <cell r="H2659">
            <v>0</v>
          </cell>
          <cell r="I2659">
            <v>0</v>
          </cell>
          <cell r="J2659">
            <v>2314</v>
          </cell>
          <cell r="K2659">
            <v>53245.14</v>
          </cell>
          <cell r="L2659" t="str">
            <v>贷</v>
          </cell>
          <cell r="M2659">
            <v>2314</v>
          </cell>
          <cell r="N2659">
            <v>23.01</v>
          </cell>
          <cell r="O2659">
            <v>53245.14</v>
          </cell>
        </row>
        <row r="2660">
          <cell r="A2660" t="str">
            <v>05</v>
          </cell>
          <cell r="F2660" t="str">
            <v>累    计</v>
          </cell>
          <cell r="G2660">
            <v>0</v>
          </cell>
          <cell r="H2660">
            <v>0</v>
          </cell>
          <cell r="I2660">
            <v>0</v>
          </cell>
          <cell r="J2660">
            <v>2314</v>
          </cell>
          <cell r="K2660">
            <v>53245.14</v>
          </cell>
          <cell r="L2660" t="str">
            <v>贷</v>
          </cell>
          <cell r="M2660">
            <v>2314</v>
          </cell>
          <cell r="N2660">
            <v>23.01</v>
          </cell>
          <cell r="O2660">
            <v>53245.14</v>
          </cell>
        </row>
        <row r="2661">
          <cell r="A2661" t="str">
            <v>11</v>
          </cell>
          <cell r="B2661" t="str">
            <v>30</v>
          </cell>
          <cell r="C2661" t="str">
            <v>记-0048</v>
          </cell>
          <cell r="D2661" t="str">
            <v>201</v>
          </cell>
          <cell r="E2661" t="str">
            <v>野生带皮丁片</v>
          </cell>
          <cell r="F2661" t="str">
            <v>合并名称</v>
          </cell>
          <cell r="G2661">
            <v>23.01</v>
          </cell>
          <cell r="H2661">
            <v>2314</v>
          </cell>
          <cell r="I2661">
            <v>53245.14</v>
          </cell>
          <cell r="J2661">
            <v>0</v>
          </cell>
          <cell r="K2661">
            <v>0</v>
          </cell>
          <cell r="L2661" t="str">
            <v>平</v>
          </cell>
          <cell r="M2661">
            <v>0</v>
          </cell>
          <cell r="N2661">
            <v>0</v>
          </cell>
          <cell r="O2661">
            <v>0</v>
          </cell>
        </row>
        <row r="2662">
          <cell r="A2662" t="str">
            <v>11</v>
          </cell>
          <cell r="F2662" t="str">
            <v>本月合计</v>
          </cell>
          <cell r="G2662">
            <v>0</v>
          </cell>
          <cell r="H2662">
            <v>2314</v>
          </cell>
          <cell r="I2662">
            <v>53245.14</v>
          </cell>
          <cell r="J2662">
            <v>0</v>
          </cell>
          <cell r="K2662">
            <v>0</v>
          </cell>
          <cell r="L2662" t="str">
            <v>平</v>
          </cell>
          <cell r="M2662">
            <v>0</v>
          </cell>
          <cell r="N2662">
            <v>0</v>
          </cell>
          <cell r="O2662">
            <v>0</v>
          </cell>
        </row>
        <row r="2663">
          <cell r="A2663" t="str">
            <v>11</v>
          </cell>
          <cell r="E2663" t="str">
            <v>野生带皮丁片</v>
          </cell>
          <cell r="F2663" t="str">
            <v>本年累计</v>
          </cell>
          <cell r="G2663">
            <v>0</v>
          </cell>
          <cell r="H2663">
            <v>2314</v>
          </cell>
          <cell r="I2663">
            <v>53245.14</v>
          </cell>
          <cell r="J2663">
            <v>2314</v>
          </cell>
          <cell r="K2663">
            <v>53245.14</v>
          </cell>
          <cell r="L2663" t="str">
            <v>平</v>
          </cell>
          <cell r="M2663">
            <v>0</v>
          </cell>
          <cell r="N2663">
            <v>0</v>
          </cell>
          <cell r="O2663">
            <v>0</v>
          </cell>
        </row>
        <row r="2664">
          <cell r="A2664" t="str">
            <v>11</v>
          </cell>
          <cell r="B2664" t="str">
            <v>30</v>
          </cell>
          <cell r="C2664" t="str">
            <v>记-0034</v>
          </cell>
          <cell r="D2664" t="str">
            <v>203</v>
          </cell>
          <cell r="E2664" t="str">
            <v>香附</v>
          </cell>
          <cell r="F2664" t="str">
            <v>收购产品</v>
          </cell>
          <cell r="G2664">
            <v>5.4076700000000004</v>
          </cell>
          <cell r="H2664">
            <v>30</v>
          </cell>
          <cell r="I2664">
            <v>162.22999999999999</v>
          </cell>
          <cell r="J2664">
            <v>0</v>
          </cell>
          <cell r="K2664">
            <v>0</v>
          </cell>
          <cell r="L2664" t="str">
            <v>借</v>
          </cell>
          <cell r="M2664">
            <v>30</v>
          </cell>
          <cell r="N2664">
            <v>0</v>
          </cell>
          <cell r="O2664">
            <v>162.22999999999999</v>
          </cell>
        </row>
        <row r="2665">
          <cell r="A2665" t="str">
            <v>11</v>
          </cell>
          <cell r="B2665" t="str">
            <v>30</v>
          </cell>
          <cell r="C2665" t="str">
            <v>记-0037</v>
          </cell>
          <cell r="D2665" t="str">
            <v>203</v>
          </cell>
          <cell r="E2665" t="str">
            <v>香附</v>
          </cell>
          <cell r="F2665" t="str">
            <v>结转成本</v>
          </cell>
          <cell r="G2665">
            <v>5.4076700000000004</v>
          </cell>
          <cell r="H2665">
            <v>0</v>
          </cell>
          <cell r="I2665">
            <v>0</v>
          </cell>
          <cell r="J2665">
            <v>30</v>
          </cell>
          <cell r="K2665">
            <v>162.22999999999999</v>
          </cell>
          <cell r="L2665" t="str">
            <v>平</v>
          </cell>
          <cell r="M2665">
            <v>0</v>
          </cell>
          <cell r="N2665">
            <v>0</v>
          </cell>
          <cell r="O2665">
            <v>0</v>
          </cell>
        </row>
        <row r="2666">
          <cell r="A2666" t="str">
            <v>11</v>
          </cell>
          <cell r="F2666" t="str">
            <v>本月合计</v>
          </cell>
          <cell r="G2666">
            <v>0</v>
          </cell>
          <cell r="H2666">
            <v>30</v>
          </cell>
          <cell r="I2666">
            <v>162.22999999999999</v>
          </cell>
          <cell r="J2666">
            <v>30</v>
          </cell>
          <cell r="K2666">
            <v>162.22999999999999</v>
          </cell>
          <cell r="L2666" t="str">
            <v>平</v>
          </cell>
          <cell r="M2666">
            <v>0</v>
          </cell>
          <cell r="N2666">
            <v>0</v>
          </cell>
          <cell r="O2666">
            <v>0</v>
          </cell>
        </row>
        <row r="2667">
          <cell r="A2667" t="str">
            <v>11</v>
          </cell>
          <cell r="E2667" t="str">
            <v>香附</v>
          </cell>
          <cell r="F2667" t="str">
            <v>本年累计</v>
          </cell>
          <cell r="G2667">
            <v>0</v>
          </cell>
          <cell r="H2667">
            <v>30</v>
          </cell>
          <cell r="I2667">
            <v>162.22999999999999</v>
          </cell>
          <cell r="J2667">
            <v>30</v>
          </cell>
          <cell r="K2667">
            <v>162.22999999999999</v>
          </cell>
          <cell r="L2667" t="str">
            <v>平</v>
          </cell>
          <cell r="M2667">
            <v>0</v>
          </cell>
          <cell r="N2667">
            <v>0</v>
          </cell>
          <cell r="O2667">
            <v>0</v>
          </cell>
        </row>
        <row r="2668">
          <cell r="A2668" t="str">
            <v>11</v>
          </cell>
          <cell r="B2668" t="str">
            <v>30</v>
          </cell>
          <cell r="C2668" t="str">
            <v>记-0034</v>
          </cell>
          <cell r="D2668" t="str">
            <v>204</v>
          </cell>
          <cell r="E2668" t="str">
            <v>莲须</v>
          </cell>
          <cell r="F2668" t="str">
            <v>收购产品</v>
          </cell>
          <cell r="G2668">
            <v>34.220669999999998</v>
          </cell>
          <cell r="H2668">
            <v>30</v>
          </cell>
          <cell r="I2668">
            <v>1026.6199999999999</v>
          </cell>
          <cell r="J2668">
            <v>0</v>
          </cell>
          <cell r="K2668">
            <v>0</v>
          </cell>
          <cell r="L2668" t="str">
            <v>借</v>
          </cell>
          <cell r="M2668">
            <v>30</v>
          </cell>
          <cell r="N2668">
            <v>0</v>
          </cell>
          <cell r="O2668">
            <v>1026.6199999999999</v>
          </cell>
        </row>
        <row r="2669">
          <cell r="A2669" t="str">
            <v>11</v>
          </cell>
          <cell r="B2669" t="str">
            <v>30</v>
          </cell>
          <cell r="C2669" t="str">
            <v>记-0037</v>
          </cell>
          <cell r="D2669" t="str">
            <v>204</v>
          </cell>
          <cell r="E2669" t="str">
            <v>莲须</v>
          </cell>
          <cell r="F2669" t="str">
            <v>结转成本</v>
          </cell>
          <cell r="G2669">
            <v>34.220669999999998</v>
          </cell>
          <cell r="H2669">
            <v>0</v>
          </cell>
          <cell r="I2669">
            <v>0</v>
          </cell>
          <cell r="J2669">
            <v>30</v>
          </cell>
          <cell r="K2669">
            <v>1026.6199999999999</v>
          </cell>
          <cell r="L2669" t="str">
            <v>平</v>
          </cell>
          <cell r="M2669">
            <v>0</v>
          </cell>
          <cell r="N2669">
            <v>0</v>
          </cell>
          <cell r="O2669">
            <v>0</v>
          </cell>
        </row>
        <row r="2670">
          <cell r="A2670" t="str">
            <v>11</v>
          </cell>
          <cell r="F2670" t="str">
            <v>本月合计</v>
          </cell>
          <cell r="G2670">
            <v>0</v>
          </cell>
          <cell r="H2670">
            <v>30</v>
          </cell>
          <cell r="I2670">
            <v>1026.6199999999999</v>
          </cell>
          <cell r="J2670">
            <v>30</v>
          </cell>
          <cell r="K2670">
            <v>1026.6199999999999</v>
          </cell>
          <cell r="L2670" t="str">
            <v>平</v>
          </cell>
          <cell r="M2670">
            <v>0</v>
          </cell>
          <cell r="N2670">
            <v>0</v>
          </cell>
          <cell r="O2670">
            <v>0</v>
          </cell>
        </row>
        <row r="2671">
          <cell r="A2671" t="str">
            <v>11</v>
          </cell>
          <cell r="E2671" t="str">
            <v>莲须</v>
          </cell>
          <cell r="F2671" t="str">
            <v>本年累计</v>
          </cell>
          <cell r="G2671">
            <v>0</v>
          </cell>
          <cell r="H2671">
            <v>30</v>
          </cell>
          <cell r="I2671">
            <v>1026.6199999999999</v>
          </cell>
          <cell r="J2671">
            <v>30</v>
          </cell>
          <cell r="K2671">
            <v>1026.6199999999999</v>
          </cell>
          <cell r="L2671" t="str">
            <v>平</v>
          </cell>
          <cell r="M2671">
            <v>0</v>
          </cell>
          <cell r="N2671">
            <v>0</v>
          </cell>
          <cell r="O2671">
            <v>0</v>
          </cell>
        </row>
        <row r="2672">
          <cell r="A2672" t="str">
            <v>11</v>
          </cell>
          <cell r="B2672" t="str">
            <v>30</v>
          </cell>
          <cell r="C2672" t="str">
            <v>记-0034</v>
          </cell>
          <cell r="D2672" t="str">
            <v>205</v>
          </cell>
          <cell r="E2672" t="str">
            <v>桑螵蛸</v>
          </cell>
          <cell r="F2672" t="str">
            <v>收购产品</v>
          </cell>
          <cell r="G2672">
            <v>49.43</v>
          </cell>
          <cell r="H2672">
            <v>30</v>
          </cell>
          <cell r="I2672">
            <v>1482.9</v>
          </cell>
          <cell r="J2672">
            <v>0</v>
          </cell>
          <cell r="K2672">
            <v>0</v>
          </cell>
          <cell r="L2672" t="str">
            <v>借</v>
          </cell>
          <cell r="M2672">
            <v>30</v>
          </cell>
          <cell r="N2672">
            <v>0</v>
          </cell>
          <cell r="O2672">
            <v>1482.9</v>
          </cell>
        </row>
        <row r="2673">
          <cell r="A2673" t="str">
            <v>11</v>
          </cell>
          <cell r="B2673" t="str">
            <v>30</v>
          </cell>
          <cell r="C2673" t="str">
            <v>记-0037</v>
          </cell>
          <cell r="D2673" t="str">
            <v>205</v>
          </cell>
          <cell r="E2673" t="str">
            <v>桑螵蛸</v>
          </cell>
          <cell r="F2673" t="str">
            <v>结转成本</v>
          </cell>
          <cell r="G2673">
            <v>49.43</v>
          </cell>
          <cell r="H2673">
            <v>0</v>
          </cell>
          <cell r="I2673">
            <v>0</v>
          </cell>
          <cell r="J2673">
            <v>30</v>
          </cell>
          <cell r="K2673">
            <v>1482.9</v>
          </cell>
          <cell r="L2673" t="str">
            <v>平</v>
          </cell>
          <cell r="M2673">
            <v>0</v>
          </cell>
          <cell r="N2673">
            <v>0</v>
          </cell>
          <cell r="O2673">
            <v>0</v>
          </cell>
        </row>
        <row r="2674">
          <cell r="A2674" t="str">
            <v>11</v>
          </cell>
          <cell r="F2674" t="str">
            <v>本月合计</v>
          </cell>
          <cell r="G2674">
            <v>0</v>
          </cell>
          <cell r="H2674">
            <v>30</v>
          </cell>
          <cell r="I2674">
            <v>1482.9</v>
          </cell>
          <cell r="J2674">
            <v>30</v>
          </cell>
          <cell r="K2674">
            <v>1482.9</v>
          </cell>
          <cell r="L2674" t="str">
            <v>平</v>
          </cell>
          <cell r="M2674">
            <v>0</v>
          </cell>
          <cell r="N2674">
            <v>0</v>
          </cell>
          <cell r="O2674">
            <v>0</v>
          </cell>
        </row>
        <row r="2675">
          <cell r="A2675" t="str">
            <v>11</v>
          </cell>
          <cell r="E2675" t="str">
            <v>桑螵蛸</v>
          </cell>
          <cell r="F2675" t="str">
            <v>本年累计</v>
          </cell>
          <cell r="G2675">
            <v>0</v>
          </cell>
          <cell r="H2675">
            <v>30</v>
          </cell>
          <cell r="I2675">
            <v>1482.9</v>
          </cell>
          <cell r="J2675">
            <v>30</v>
          </cell>
          <cell r="K2675">
            <v>1482.9</v>
          </cell>
          <cell r="L2675" t="str">
            <v>平</v>
          </cell>
          <cell r="M2675">
            <v>0</v>
          </cell>
          <cell r="N2675">
            <v>0</v>
          </cell>
          <cell r="O2675">
            <v>0</v>
          </cell>
        </row>
        <row r="2676">
          <cell r="A2676" t="str">
            <v>06</v>
          </cell>
          <cell r="B2676" t="str">
            <v>24</v>
          </cell>
          <cell r="C2676" t="str">
            <v>记-0018</v>
          </cell>
          <cell r="D2676" t="str">
            <v>206</v>
          </cell>
          <cell r="E2676" t="str">
            <v>大节子</v>
          </cell>
          <cell r="F2676" t="str">
            <v>结转成本</v>
          </cell>
          <cell r="G2676">
            <v>9.57</v>
          </cell>
          <cell r="H2676">
            <v>0</v>
          </cell>
          <cell r="I2676">
            <v>0</v>
          </cell>
          <cell r="J2676">
            <v>580</v>
          </cell>
          <cell r="K2676">
            <v>5550.6</v>
          </cell>
          <cell r="L2676" t="str">
            <v>贷</v>
          </cell>
          <cell r="M2676">
            <v>580</v>
          </cell>
          <cell r="N2676">
            <v>0</v>
          </cell>
          <cell r="O2676">
            <v>5550.6</v>
          </cell>
        </row>
        <row r="2677">
          <cell r="A2677" t="str">
            <v>06</v>
          </cell>
          <cell r="B2677" t="str">
            <v>24</v>
          </cell>
          <cell r="C2677" t="str">
            <v>记-0018</v>
          </cell>
          <cell r="D2677" t="str">
            <v>206</v>
          </cell>
          <cell r="E2677" t="str">
            <v>大节子</v>
          </cell>
          <cell r="F2677" t="str">
            <v>结转成本</v>
          </cell>
          <cell r="G2677">
            <v>9.57</v>
          </cell>
          <cell r="H2677">
            <v>0</v>
          </cell>
          <cell r="I2677">
            <v>0</v>
          </cell>
          <cell r="J2677">
            <v>2755</v>
          </cell>
          <cell r="K2677">
            <v>26365.35</v>
          </cell>
          <cell r="L2677" t="str">
            <v>贷</v>
          </cell>
          <cell r="M2677">
            <v>3335</v>
          </cell>
          <cell r="N2677">
            <v>0</v>
          </cell>
          <cell r="O2677">
            <v>31915.95</v>
          </cell>
        </row>
        <row r="2678">
          <cell r="A2678" t="str">
            <v>06</v>
          </cell>
          <cell r="B2678" t="str">
            <v>24</v>
          </cell>
          <cell r="C2678" t="str">
            <v>记-0019</v>
          </cell>
          <cell r="D2678" t="str">
            <v>206</v>
          </cell>
          <cell r="E2678" t="str">
            <v>大节子</v>
          </cell>
          <cell r="F2678" t="str">
            <v>收购产品</v>
          </cell>
          <cell r="G2678">
            <v>9.57</v>
          </cell>
          <cell r="H2678">
            <v>2755</v>
          </cell>
          <cell r="I2678">
            <v>26365.35</v>
          </cell>
          <cell r="J2678">
            <v>0</v>
          </cell>
          <cell r="K2678">
            <v>0</v>
          </cell>
          <cell r="L2678" t="str">
            <v>贷</v>
          </cell>
          <cell r="M2678">
            <v>580</v>
          </cell>
          <cell r="N2678">
            <v>0</v>
          </cell>
          <cell r="O2678">
            <v>5550.6</v>
          </cell>
        </row>
        <row r="2679">
          <cell r="A2679" t="str">
            <v>06</v>
          </cell>
          <cell r="F2679" t="str">
            <v>本月合计</v>
          </cell>
          <cell r="G2679">
            <v>0</v>
          </cell>
          <cell r="H2679">
            <v>2755</v>
          </cell>
          <cell r="I2679">
            <v>26365.35</v>
          </cell>
          <cell r="J2679">
            <v>3335</v>
          </cell>
          <cell r="K2679">
            <v>31915.95</v>
          </cell>
          <cell r="L2679" t="str">
            <v>贷</v>
          </cell>
          <cell r="M2679">
            <v>580</v>
          </cell>
          <cell r="N2679">
            <v>9.57</v>
          </cell>
          <cell r="O2679">
            <v>5550.6</v>
          </cell>
        </row>
        <row r="2680">
          <cell r="A2680" t="str">
            <v>06</v>
          </cell>
          <cell r="F2680" t="str">
            <v>累    计</v>
          </cell>
          <cell r="G2680">
            <v>0</v>
          </cell>
          <cell r="H2680">
            <v>2755</v>
          </cell>
          <cell r="I2680">
            <v>26365.35</v>
          </cell>
          <cell r="J2680">
            <v>3335</v>
          </cell>
          <cell r="K2680">
            <v>31915.95</v>
          </cell>
          <cell r="L2680" t="str">
            <v>贷</v>
          </cell>
          <cell r="M2680">
            <v>580</v>
          </cell>
          <cell r="N2680">
            <v>9.57</v>
          </cell>
          <cell r="O2680">
            <v>5550.6</v>
          </cell>
        </row>
        <row r="2681">
          <cell r="A2681" t="str">
            <v>10</v>
          </cell>
          <cell r="B2681" t="str">
            <v>22</v>
          </cell>
          <cell r="C2681" t="str">
            <v>记-0068</v>
          </cell>
          <cell r="D2681" t="str">
            <v>206</v>
          </cell>
          <cell r="E2681" t="str">
            <v>大节子</v>
          </cell>
          <cell r="F2681" t="str">
            <v>结转成本</v>
          </cell>
          <cell r="G2681">
            <v>9.57</v>
          </cell>
          <cell r="H2681">
            <v>0</v>
          </cell>
          <cell r="I2681">
            <v>0</v>
          </cell>
          <cell r="J2681">
            <v>13530</v>
          </cell>
          <cell r="K2681">
            <v>129482.1</v>
          </cell>
          <cell r="L2681" t="str">
            <v>贷</v>
          </cell>
          <cell r="M2681">
            <v>14110</v>
          </cell>
          <cell r="N2681">
            <v>0</v>
          </cell>
          <cell r="O2681">
            <v>135032.70000000001</v>
          </cell>
        </row>
        <row r="2682">
          <cell r="A2682" t="str">
            <v>10</v>
          </cell>
          <cell r="F2682" t="str">
            <v>本月合计</v>
          </cell>
          <cell r="G2682">
            <v>0</v>
          </cell>
          <cell r="H2682">
            <v>0</v>
          </cell>
          <cell r="I2682">
            <v>0</v>
          </cell>
          <cell r="J2682">
            <v>13530</v>
          </cell>
          <cell r="K2682">
            <v>129482.1</v>
          </cell>
          <cell r="L2682" t="str">
            <v>贷</v>
          </cell>
          <cell r="M2682">
            <v>14110</v>
          </cell>
          <cell r="N2682">
            <v>9.57</v>
          </cell>
          <cell r="O2682">
            <v>135032.70000000001</v>
          </cell>
        </row>
        <row r="2683">
          <cell r="A2683" t="str">
            <v>10</v>
          </cell>
          <cell r="F2683" t="str">
            <v>累    计</v>
          </cell>
          <cell r="G2683">
            <v>0</v>
          </cell>
          <cell r="H2683">
            <v>2755</v>
          </cell>
          <cell r="I2683">
            <v>26365.35</v>
          </cell>
          <cell r="J2683">
            <v>16865</v>
          </cell>
          <cell r="K2683">
            <v>161398.04999999999</v>
          </cell>
          <cell r="L2683" t="str">
            <v>贷</v>
          </cell>
          <cell r="M2683">
            <v>14110</v>
          </cell>
          <cell r="N2683">
            <v>9.57</v>
          </cell>
          <cell r="O2683">
            <v>135032.70000000001</v>
          </cell>
        </row>
        <row r="2684">
          <cell r="A2684" t="str">
            <v>11</v>
          </cell>
          <cell r="B2684" t="str">
            <v>30</v>
          </cell>
          <cell r="C2684" t="str">
            <v>记-0086</v>
          </cell>
          <cell r="D2684" t="str">
            <v>206</v>
          </cell>
          <cell r="E2684" t="str">
            <v>大节子</v>
          </cell>
          <cell r="F2684" t="str">
            <v>合并名称</v>
          </cell>
          <cell r="G2684">
            <v>9.57</v>
          </cell>
          <cell r="H2684">
            <v>0</v>
          </cell>
          <cell r="I2684">
            <v>0</v>
          </cell>
          <cell r="J2684">
            <v>-14110</v>
          </cell>
          <cell r="K2684">
            <v>-135032.70000000001</v>
          </cell>
          <cell r="L2684" t="str">
            <v>平</v>
          </cell>
          <cell r="M2684">
            <v>0</v>
          </cell>
          <cell r="N2684">
            <v>0</v>
          </cell>
          <cell r="O2684">
            <v>0</v>
          </cell>
        </row>
        <row r="2685">
          <cell r="A2685" t="str">
            <v>11</v>
          </cell>
          <cell r="F2685" t="str">
            <v>本月合计</v>
          </cell>
          <cell r="G2685">
            <v>0</v>
          </cell>
          <cell r="H2685">
            <v>0</v>
          </cell>
          <cell r="I2685">
            <v>0</v>
          </cell>
          <cell r="J2685">
            <v>-14110</v>
          </cell>
          <cell r="K2685">
            <v>-135032.70000000001</v>
          </cell>
          <cell r="L2685" t="str">
            <v>平</v>
          </cell>
          <cell r="M2685">
            <v>0</v>
          </cell>
          <cell r="N2685">
            <v>0</v>
          </cell>
          <cell r="O2685">
            <v>0</v>
          </cell>
        </row>
        <row r="2686">
          <cell r="A2686" t="str">
            <v>11</v>
          </cell>
          <cell r="E2686" t="str">
            <v>大节子</v>
          </cell>
          <cell r="F2686" t="str">
            <v>本年累计</v>
          </cell>
          <cell r="G2686">
            <v>0</v>
          </cell>
          <cell r="H2686">
            <v>2755</v>
          </cell>
          <cell r="I2686">
            <v>26365.35</v>
          </cell>
          <cell r="J2686">
            <v>2755</v>
          </cell>
          <cell r="K2686">
            <v>26365.35</v>
          </cell>
          <cell r="L2686" t="str">
            <v>平</v>
          </cell>
          <cell r="M2686">
            <v>0</v>
          </cell>
          <cell r="N2686">
            <v>0</v>
          </cell>
          <cell r="O2686">
            <v>0</v>
          </cell>
        </row>
        <row r="2687">
          <cell r="A2687" t="str">
            <v>06</v>
          </cell>
          <cell r="B2687" t="str">
            <v>24</v>
          </cell>
          <cell r="C2687" t="str">
            <v>记-0018</v>
          </cell>
          <cell r="D2687" t="str">
            <v>207</v>
          </cell>
          <cell r="E2687" t="str">
            <v>混节</v>
          </cell>
          <cell r="F2687" t="str">
            <v>结转成本</v>
          </cell>
          <cell r="G2687">
            <v>6.96</v>
          </cell>
          <cell r="H2687">
            <v>0</v>
          </cell>
          <cell r="I2687">
            <v>0</v>
          </cell>
          <cell r="J2687">
            <v>272</v>
          </cell>
          <cell r="K2687">
            <v>1893.12</v>
          </cell>
          <cell r="L2687" t="str">
            <v>贷</v>
          </cell>
          <cell r="M2687">
            <v>272</v>
          </cell>
          <cell r="N2687">
            <v>0</v>
          </cell>
          <cell r="O2687">
            <v>1893.12</v>
          </cell>
        </row>
        <row r="2688">
          <cell r="A2688" t="str">
            <v>06</v>
          </cell>
          <cell r="B2688" t="str">
            <v>24</v>
          </cell>
          <cell r="C2688" t="str">
            <v>记-0019</v>
          </cell>
          <cell r="D2688" t="str">
            <v>207</v>
          </cell>
          <cell r="E2688" t="str">
            <v>混节</v>
          </cell>
          <cell r="F2688" t="str">
            <v>收购产品</v>
          </cell>
          <cell r="G2688">
            <v>6.96</v>
          </cell>
          <cell r="H2688">
            <v>272</v>
          </cell>
          <cell r="I2688">
            <v>1893.12</v>
          </cell>
          <cell r="J2688">
            <v>0</v>
          </cell>
          <cell r="K2688">
            <v>0</v>
          </cell>
          <cell r="L2688" t="str">
            <v>平</v>
          </cell>
          <cell r="M2688">
            <v>0</v>
          </cell>
          <cell r="N2688">
            <v>0</v>
          </cell>
          <cell r="O2688">
            <v>0</v>
          </cell>
        </row>
        <row r="2689">
          <cell r="A2689" t="str">
            <v>06</v>
          </cell>
          <cell r="F2689" t="str">
            <v>本月合计</v>
          </cell>
          <cell r="G2689">
            <v>0</v>
          </cell>
          <cell r="H2689">
            <v>272</v>
          </cell>
          <cell r="I2689">
            <v>1893.12</v>
          </cell>
          <cell r="J2689">
            <v>272</v>
          </cell>
          <cell r="K2689">
            <v>1893.12</v>
          </cell>
          <cell r="L2689" t="str">
            <v>平</v>
          </cell>
          <cell r="M2689">
            <v>0</v>
          </cell>
          <cell r="N2689">
            <v>0</v>
          </cell>
          <cell r="O2689">
            <v>0</v>
          </cell>
        </row>
        <row r="2690">
          <cell r="A2690" t="str">
            <v>06</v>
          </cell>
          <cell r="E2690" t="str">
            <v>混节</v>
          </cell>
          <cell r="F2690" t="str">
            <v>本年累计</v>
          </cell>
          <cell r="G2690">
            <v>0</v>
          </cell>
          <cell r="H2690">
            <v>272</v>
          </cell>
          <cell r="I2690">
            <v>1893.12</v>
          </cell>
          <cell r="J2690">
            <v>272</v>
          </cell>
          <cell r="K2690">
            <v>1893.12</v>
          </cell>
          <cell r="L2690" t="str">
            <v>平</v>
          </cell>
          <cell r="M2690">
            <v>0</v>
          </cell>
          <cell r="N2690">
            <v>0</v>
          </cell>
          <cell r="O2690">
            <v>0</v>
          </cell>
        </row>
        <row r="2691">
          <cell r="A2691" t="str">
            <v>06</v>
          </cell>
          <cell r="B2691" t="str">
            <v>24</v>
          </cell>
          <cell r="C2691" t="str">
            <v>记-0020</v>
          </cell>
          <cell r="D2691" t="str">
            <v>208</v>
          </cell>
          <cell r="E2691" t="str">
            <v>野生大丁</v>
          </cell>
          <cell r="F2691" t="str">
            <v>收购产品</v>
          </cell>
          <cell r="G2691">
            <v>7.83</v>
          </cell>
          <cell r="H2691">
            <v>481</v>
          </cell>
          <cell r="I2691">
            <v>3766.23</v>
          </cell>
          <cell r="J2691">
            <v>0</v>
          </cell>
          <cell r="K2691">
            <v>0</v>
          </cell>
          <cell r="L2691" t="str">
            <v>借</v>
          </cell>
          <cell r="M2691">
            <v>481</v>
          </cell>
          <cell r="N2691">
            <v>0</v>
          </cell>
          <cell r="O2691">
            <v>3766.23</v>
          </cell>
        </row>
        <row r="2692">
          <cell r="A2692" t="str">
            <v>06</v>
          </cell>
          <cell r="F2692" t="str">
            <v>本月合计</v>
          </cell>
          <cell r="G2692">
            <v>0</v>
          </cell>
          <cell r="H2692">
            <v>481</v>
          </cell>
          <cell r="I2692">
            <v>3766.23</v>
          </cell>
          <cell r="J2692">
            <v>0</v>
          </cell>
          <cell r="K2692">
            <v>0</v>
          </cell>
          <cell r="L2692" t="str">
            <v>借</v>
          </cell>
          <cell r="M2692">
            <v>481</v>
          </cell>
          <cell r="N2692">
            <v>7.83</v>
          </cell>
          <cell r="O2692">
            <v>3766.23</v>
          </cell>
        </row>
        <row r="2693">
          <cell r="A2693" t="str">
            <v>06</v>
          </cell>
          <cell r="F2693" t="str">
            <v>累    计</v>
          </cell>
          <cell r="G2693">
            <v>0</v>
          </cell>
          <cell r="H2693">
            <v>481</v>
          </cell>
          <cell r="I2693">
            <v>3766.23</v>
          </cell>
          <cell r="J2693">
            <v>0</v>
          </cell>
          <cell r="K2693">
            <v>0</v>
          </cell>
          <cell r="L2693" t="str">
            <v>借</v>
          </cell>
          <cell r="M2693">
            <v>481</v>
          </cell>
          <cell r="N2693">
            <v>7.83</v>
          </cell>
          <cell r="O2693">
            <v>3766.23</v>
          </cell>
        </row>
        <row r="2694">
          <cell r="A2694" t="str">
            <v>11</v>
          </cell>
          <cell r="B2694" t="str">
            <v>30</v>
          </cell>
          <cell r="C2694" t="str">
            <v>记-0110</v>
          </cell>
          <cell r="D2694" t="str">
            <v>208</v>
          </cell>
          <cell r="E2694" t="str">
            <v>野生大丁</v>
          </cell>
          <cell r="F2694" t="str">
            <v>合并名称</v>
          </cell>
          <cell r="G2694">
            <v>7.83</v>
          </cell>
          <cell r="H2694">
            <v>-481</v>
          </cell>
          <cell r="I2694">
            <v>-3766.23</v>
          </cell>
          <cell r="J2694">
            <v>0</v>
          </cell>
          <cell r="K2694">
            <v>0</v>
          </cell>
          <cell r="L2694" t="str">
            <v>平</v>
          </cell>
          <cell r="M2694">
            <v>0</v>
          </cell>
          <cell r="N2694">
            <v>0</v>
          </cell>
          <cell r="O2694">
            <v>0</v>
          </cell>
        </row>
        <row r="2695">
          <cell r="A2695" t="str">
            <v>11</v>
          </cell>
          <cell r="F2695" t="str">
            <v>本月合计</v>
          </cell>
          <cell r="G2695">
            <v>0</v>
          </cell>
          <cell r="H2695">
            <v>-481</v>
          </cell>
          <cell r="I2695">
            <v>-3766.23</v>
          </cell>
          <cell r="J2695">
            <v>0</v>
          </cell>
          <cell r="K2695">
            <v>0</v>
          </cell>
          <cell r="L2695" t="str">
            <v>平</v>
          </cell>
          <cell r="M2695">
            <v>0</v>
          </cell>
          <cell r="N2695">
            <v>0</v>
          </cell>
          <cell r="O2695">
            <v>0</v>
          </cell>
        </row>
        <row r="2696">
          <cell r="A2696" t="str">
            <v>11</v>
          </cell>
          <cell r="E2696" t="str">
            <v>野生大丁</v>
          </cell>
          <cell r="F2696" t="str">
            <v>本年累计</v>
          </cell>
          <cell r="G2696">
            <v>0</v>
          </cell>
          <cell r="H2696">
            <v>0</v>
          </cell>
          <cell r="I2696">
            <v>0</v>
          </cell>
          <cell r="J2696">
            <v>0</v>
          </cell>
          <cell r="K2696">
            <v>0</v>
          </cell>
          <cell r="L2696" t="str">
            <v>平</v>
          </cell>
          <cell r="M2696">
            <v>0</v>
          </cell>
          <cell r="N2696">
            <v>0</v>
          </cell>
          <cell r="O2696">
            <v>0</v>
          </cell>
        </row>
        <row r="2697">
          <cell r="A2697" t="str">
            <v>06</v>
          </cell>
          <cell r="B2697" t="str">
            <v>24</v>
          </cell>
          <cell r="C2697" t="str">
            <v>记-0020</v>
          </cell>
          <cell r="D2697" t="str">
            <v>209</v>
          </cell>
          <cell r="E2697" t="str">
            <v>野生毛丁</v>
          </cell>
          <cell r="F2697" t="str">
            <v>收购产品</v>
          </cell>
          <cell r="G2697">
            <v>6.0900100000000004</v>
          </cell>
          <cell r="H2697">
            <v>566.79999999999995</v>
          </cell>
          <cell r="I2697">
            <v>3451.82</v>
          </cell>
          <cell r="J2697">
            <v>0</v>
          </cell>
          <cell r="K2697">
            <v>0</v>
          </cell>
          <cell r="L2697" t="str">
            <v>借</v>
          </cell>
          <cell r="M2697">
            <v>566.79999999999995</v>
          </cell>
          <cell r="N2697">
            <v>0</v>
          </cell>
          <cell r="O2697">
            <v>3451.82</v>
          </cell>
        </row>
        <row r="2698">
          <cell r="A2698" t="str">
            <v>06</v>
          </cell>
          <cell r="F2698" t="str">
            <v>本月合计</v>
          </cell>
          <cell r="G2698">
            <v>0</v>
          </cell>
          <cell r="H2698">
            <v>566.79999999999995</v>
          </cell>
          <cell r="I2698">
            <v>3451.82</v>
          </cell>
          <cell r="J2698">
            <v>0</v>
          </cell>
          <cell r="K2698">
            <v>0</v>
          </cell>
          <cell r="L2698" t="str">
            <v>借</v>
          </cell>
          <cell r="M2698">
            <v>566.79999999999995</v>
          </cell>
          <cell r="N2698">
            <v>6.0900100000000004</v>
          </cell>
          <cell r="O2698">
            <v>3451.82</v>
          </cell>
        </row>
        <row r="2699">
          <cell r="A2699" t="str">
            <v>06</v>
          </cell>
          <cell r="F2699" t="str">
            <v>累    计</v>
          </cell>
          <cell r="G2699">
            <v>0</v>
          </cell>
          <cell r="H2699">
            <v>566.79999999999995</v>
          </cell>
          <cell r="I2699">
            <v>3451.82</v>
          </cell>
          <cell r="J2699">
            <v>0</v>
          </cell>
          <cell r="K2699">
            <v>0</v>
          </cell>
          <cell r="L2699" t="str">
            <v>借</v>
          </cell>
          <cell r="M2699">
            <v>566.79999999999995</v>
          </cell>
          <cell r="N2699">
            <v>6.0900100000000004</v>
          </cell>
          <cell r="O2699">
            <v>3451.82</v>
          </cell>
        </row>
        <row r="2700">
          <cell r="A2700" t="str">
            <v>11</v>
          </cell>
          <cell r="B2700" t="str">
            <v>30</v>
          </cell>
          <cell r="C2700" t="str">
            <v>记-0102</v>
          </cell>
          <cell r="D2700" t="str">
            <v>209</v>
          </cell>
          <cell r="E2700" t="str">
            <v>野生毛丁</v>
          </cell>
          <cell r="F2700" t="str">
            <v>合并名称</v>
          </cell>
          <cell r="G2700">
            <v>6.0900100000000004</v>
          </cell>
          <cell r="H2700">
            <v>-566.79999999999995</v>
          </cell>
          <cell r="I2700">
            <v>-3451.82</v>
          </cell>
          <cell r="J2700">
            <v>0</v>
          </cell>
          <cell r="K2700">
            <v>0</v>
          </cell>
          <cell r="L2700" t="str">
            <v>平</v>
          </cell>
          <cell r="M2700">
            <v>0</v>
          </cell>
          <cell r="N2700">
            <v>0</v>
          </cell>
          <cell r="O2700">
            <v>0</v>
          </cell>
        </row>
        <row r="2701">
          <cell r="A2701" t="str">
            <v>11</v>
          </cell>
          <cell r="F2701" t="str">
            <v>本月合计</v>
          </cell>
          <cell r="G2701">
            <v>0</v>
          </cell>
          <cell r="H2701">
            <v>-566.79999999999995</v>
          </cell>
          <cell r="I2701">
            <v>-3451.82</v>
          </cell>
          <cell r="J2701">
            <v>0</v>
          </cell>
          <cell r="K2701">
            <v>0</v>
          </cell>
          <cell r="L2701" t="str">
            <v>平</v>
          </cell>
          <cell r="M2701">
            <v>0</v>
          </cell>
          <cell r="N2701">
            <v>0</v>
          </cell>
          <cell r="O2701">
            <v>0</v>
          </cell>
        </row>
        <row r="2702">
          <cell r="A2702" t="str">
            <v>11</v>
          </cell>
          <cell r="E2702" t="str">
            <v>野生毛丁</v>
          </cell>
          <cell r="F2702" t="str">
            <v>本年累计</v>
          </cell>
          <cell r="G2702">
            <v>0</v>
          </cell>
          <cell r="H2702">
            <v>0</v>
          </cell>
          <cell r="I2702">
            <v>0</v>
          </cell>
          <cell r="J2702">
            <v>0</v>
          </cell>
          <cell r="K2702">
            <v>0</v>
          </cell>
          <cell r="L2702" t="str">
            <v>平</v>
          </cell>
          <cell r="M2702">
            <v>0</v>
          </cell>
          <cell r="N2702">
            <v>0</v>
          </cell>
          <cell r="O2702">
            <v>0</v>
          </cell>
        </row>
        <row r="2703">
          <cell r="A2703" t="str">
            <v>06</v>
          </cell>
          <cell r="B2703" t="str">
            <v>24</v>
          </cell>
          <cell r="C2703" t="str">
            <v>记-0021</v>
          </cell>
          <cell r="D2703" t="str">
            <v>210</v>
          </cell>
          <cell r="E2703" t="str">
            <v>燕丝盏</v>
          </cell>
          <cell r="F2703" t="str">
            <v>收购产品</v>
          </cell>
          <cell r="G2703">
            <v>5982.28683</v>
          </cell>
          <cell r="H2703">
            <v>37.200000000000003</v>
          </cell>
          <cell r="I2703">
            <v>222541.07</v>
          </cell>
          <cell r="J2703">
            <v>0</v>
          </cell>
          <cell r="K2703">
            <v>0</v>
          </cell>
          <cell r="L2703" t="str">
            <v>借</v>
          </cell>
          <cell r="M2703">
            <v>37.200000000000003</v>
          </cell>
          <cell r="N2703">
            <v>0</v>
          </cell>
          <cell r="O2703">
            <v>222541.07</v>
          </cell>
        </row>
        <row r="2704">
          <cell r="A2704" t="str">
            <v>06</v>
          </cell>
          <cell r="B2704" t="str">
            <v>24</v>
          </cell>
          <cell r="C2704" t="str">
            <v>记-0029</v>
          </cell>
          <cell r="D2704" t="str">
            <v>210</v>
          </cell>
          <cell r="E2704" t="str">
            <v>燕丝盏</v>
          </cell>
          <cell r="F2704" t="str">
            <v>转成本</v>
          </cell>
          <cell r="G2704">
            <v>5982.28683</v>
          </cell>
          <cell r="H2704">
            <v>0</v>
          </cell>
          <cell r="I2704">
            <v>0</v>
          </cell>
          <cell r="J2704">
            <v>37.200000000000003</v>
          </cell>
          <cell r="K2704">
            <v>222541.07</v>
          </cell>
          <cell r="L2704" t="str">
            <v>平</v>
          </cell>
          <cell r="M2704">
            <v>0</v>
          </cell>
          <cell r="N2704">
            <v>0</v>
          </cell>
          <cell r="O2704">
            <v>0</v>
          </cell>
        </row>
        <row r="2705">
          <cell r="A2705" t="str">
            <v>06</v>
          </cell>
          <cell r="F2705" t="str">
            <v>本月合计</v>
          </cell>
          <cell r="G2705">
            <v>0</v>
          </cell>
          <cell r="H2705">
            <v>37.200000000000003</v>
          </cell>
          <cell r="I2705">
            <v>222541.07</v>
          </cell>
          <cell r="J2705">
            <v>37.200000000000003</v>
          </cell>
          <cell r="K2705">
            <v>222541.07</v>
          </cell>
          <cell r="L2705" t="str">
            <v>平</v>
          </cell>
          <cell r="M2705">
            <v>0</v>
          </cell>
          <cell r="N2705">
            <v>0</v>
          </cell>
          <cell r="O2705">
            <v>0</v>
          </cell>
        </row>
        <row r="2706">
          <cell r="A2706" t="str">
            <v>06</v>
          </cell>
          <cell r="E2706" t="str">
            <v>燕丝盏</v>
          </cell>
          <cell r="F2706" t="str">
            <v>本年累计</v>
          </cell>
          <cell r="G2706">
            <v>0</v>
          </cell>
          <cell r="H2706">
            <v>37.200000000000003</v>
          </cell>
          <cell r="I2706">
            <v>222541.07</v>
          </cell>
          <cell r="J2706">
            <v>37.200000000000003</v>
          </cell>
          <cell r="K2706">
            <v>222541.07</v>
          </cell>
          <cell r="L2706" t="str">
            <v>平</v>
          </cell>
          <cell r="M2706">
            <v>0</v>
          </cell>
          <cell r="N2706">
            <v>0</v>
          </cell>
          <cell r="O2706">
            <v>0</v>
          </cell>
        </row>
        <row r="2707">
          <cell r="A2707" t="str">
            <v>06</v>
          </cell>
          <cell r="B2707" t="str">
            <v>24</v>
          </cell>
          <cell r="C2707" t="str">
            <v>记-0021</v>
          </cell>
          <cell r="D2707" t="str">
            <v>211</v>
          </cell>
          <cell r="E2707" t="str">
            <v>燕盏</v>
          </cell>
          <cell r="F2707" t="str">
            <v>收购产品</v>
          </cell>
          <cell r="G2707">
            <v>13003.86944</v>
          </cell>
          <cell r="H2707">
            <v>7.2</v>
          </cell>
          <cell r="I2707">
            <v>93627.86</v>
          </cell>
          <cell r="J2707">
            <v>0</v>
          </cell>
          <cell r="K2707">
            <v>0</v>
          </cell>
          <cell r="L2707" t="str">
            <v>借</v>
          </cell>
          <cell r="M2707">
            <v>7.2</v>
          </cell>
          <cell r="N2707">
            <v>0</v>
          </cell>
          <cell r="O2707">
            <v>93627.86</v>
          </cell>
        </row>
        <row r="2708">
          <cell r="A2708" t="str">
            <v>06</v>
          </cell>
          <cell r="B2708" t="str">
            <v>24</v>
          </cell>
          <cell r="C2708" t="str">
            <v>记-0029</v>
          </cell>
          <cell r="D2708" t="str">
            <v>211</v>
          </cell>
          <cell r="E2708" t="str">
            <v>燕盏</v>
          </cell>
          <cell r="F2708" t="str">
            <v>转成本</v>
          </cell>
          <cell r="G2708">
            <v>13003.86944</v>
          </cell>
          <cell r="H2708">
            <v>0</v>
          </cell>
          <cell r="I2708">
            <v>0</v>
          </cell>
          <cell r="J2708">
            <v>7.2</v>
          </cell>
          <cell r="K2708">
            <v>93627.86</v>
          </cell>
          <cell r="L2708" t="str">
            <v>平</v>
          </cell>
          <cell r="M2708">
            <v>0</v>
          </cell>
          <cell r="N2708">
            <v>0</v>
          </cell>
          <cell r="O2708">
            <v>0</v>
          </cell>
        </row>
        <row r="2709">
          <cell r="A2709" t="str">
            <v>06</v>
          </cell>
          <cell r="F2709" t="str">
            <v>本月合计</v>
          </cell>
          <cell r="G2709">
            <v>0</v>
          </cell>
          <cell r="H2709">
            <v>7.2</v>
          </cell>
          <cell r="I2709">
            <v>93627.86</v>
          </cell>
          <cell r="J2709">
            <v>7.2</v>
          </cell>
          <cell r="K2709">
            <v>93627.86</v>
          </cell>
          <cell r="L2709" t="str">
            <v>平</v>
          </cell>
          <cell r="M2709">
            <v>0</v>
          </cell>
          <cell r="N2709">
            <v>0</v>
          </cell>
          <cell r="O2709">
            <v>0</v>
          </cell>
        </row>
        <row r="2710">
          <cell r="A2710" t="str">
            <v>06</v>
          </cell>
          <cell r="F2710" t="str">
            <v>累    计</v>
          </cell>
          <cell r="G2710">
            <v>0</v>
          </cell>
          <cell r="H2710">
            <v>7.2</v>
          </cell>
          <cell r="I2710">
            <v>93627.86</v>
          </cell>
          <cell r="J2710">
            <v>7.2</v>
          </cell>
          <cell r="K2710">
            <v>93627.86</v>
          </cell>
          <cell r="L2710" t="str">
            <v>平</v>
          </cell>
          <cell r="M2710">
            <v>0</v>
          </cell>
          <cell r="N2710">
            <v>0</v>
          </cell>
          <cell r="O2710">
            <v>0</v>
          </cell>
        </row>
        <row r="2711">
          <cell r="A2711" t="str">
            <v>08</v>
          </cell>
          <cell r="B2711" t="str">
            <v>25</v>
          </cell>
          <cell r="C2711" t="str">
            <v>记-0053</v>
          </cell>
          <cell r="D2711" t="str">
            <v>211</v>
          </cell>
          <cell r="E2711" t="str">
            <v>燕盏</v>
          </cell>
          <cell r="F2711" t="str">
            <v>结转成本</v>
          </cell>
          <cell r="G2711">
            <v>13176.24</v>
          </cell>
          <cell r="H2711">
            <v>0</v>
          </cell>
          <cell r="I2711">
            <v>0</v>
          </cell>
          <cell r="J2711">
            <v>7</v>
          </cell>
          <cell r="K2711">
            <v>92233.68</v>
          </cell>
          <cell r="L2711" t="str">
            <v>贷</v>
          </cell>
          <cell r="M2711">
            <v>7</v>
          </cell>
          <cell r="N2711">
            <v>0</v>
          </cell>
          <cell r="O2711">
            <v>92233.68</v>
          </cell>
        </row>
        <row r="2712">
          <cell r="A2712" t="str">
            <v>08</v>
          </cell>
          <cell r="B2712" t="str">
            <v>25</v>
          </cell>
          <cell r="C2712" t="str">
            <v>记-0060</v>
          </cell>
          <cell r="D2712" t="str">
            <v>211</v>
          </cell>
          <cell r="E2712" t="str">
            <v>燕盏</v>
          </cell>
          <cell r="F2712" t="str">
            <v>收购产品</v>
          </cell>
          <cell r="G2712">
            <v>13176.24</v>
          </cell>
          <cell r="H2712">
            <v>7</v>
          </cell>
          <cell r="I2712">
            <v>92233.68</v>
          </cell>
          <cell r="J2712">
            <v>0</v>
          </cell>
          <cell r="K2712">
            <v>0</v>
          </cell>
          <cell r="L2712" t="str">
            <v>平</v>
          </cell>
          <cell r="M2712">
            <v>0</v>
          </cell>
          <cell r="N2712">
            <v>0</v>
          </cell>
          <cell r="O2712">
            <v>0</v>
          </cell>
        </row>
        <row r="2713">
          <cell r="A2713" t="str">
            <v>08</v>
          </cell>
          <cell r="F2713" t="str">
            <v>本月合计</v>
          </cell>
          <cell r="G2713">
            <v>0</v>
          </cell>
          <cell r="H2713">
            <v>7</v>
          </cell>
          <cell r="I2713">
            <v>92233.68</v>
          </cell>
          <cell r="J2713">
            <v>7</v>
          </cell>
          <cell r="K2713">
            <v>92233.68</v>
          </cell>
          <cell r="L2713" t="str">
            <v>平</v>
          </cell>
          <cell r="M2713">
            <v>0</v>
          </cell>
          <cell r="N2713">
            <v>0</v>
          </cell>
          <cell r="O2713">
            <v>0</v>
          </cell>
        </row>
        <row r="2714">
          <cell r="A2714" t="str">
            <v>08</v>
          </cell>
          <cell r="F2714" t="str">
            <v>累    计</v>
          </cell>
          <cell r="G2714">
            <v>0</v>
          </cell>
          <cell r="H2714">
            <v>14.2</v>
          </cell>
          <cell r="I2714">
            <v>185861.54</v>
          </cell>
          <cell r="J2714">
            <v>14.2</v>
          </cell>
          <cell r="K2714">
            <v>185861.54</v>
          </cell>
          <cell r="L2714" t="str">
            <v>平</v>
          </cell>
          <cell r="M2714">
            <v>0</v>
          </cell>
          <cell r="N2714">
            <v>0</v>
          </cell>
          <cell r="O2714">
            <v>0</v>
          </cell>
        </row>
        <row r="2715">
          <cell r="A2715" t="str">
            <v>11</v>
          </cell>
          <cell r="B2715" t="str">
            <v>30</v>
          </cell>
          <cell r="C2715" t="str">
            <v>记-0130</v>
          </cell>
          <cell r="D2715" t="str">
            <v>211</v>
          </cell>
          <cell r="E2715" t="str">
            <v>燕盏</v>
          </cell>
          <cell r="F2715" t="str">
            <v>收购产品</v>
          </cell>
          <cell r="G2715">
            <v>60900</v>
          </cell>
          <cell r="H2715">
            <v>2</v>
          </cell>
          <cell r="I2715">
            <v>121800</v>
          </cell>
          <cell r="J2715">
            <v>0</v>
          </cell>
          <cell r="K2715">
            <v>0</v>
          </cell>
          <cell r="L2715" t="str">
            <v>借</v>
          </cell>
          <cell r="M2715">
            <v>2</v>
          </cell>
          <cell r="N2715">
            <v>0</v>
          </cell>
          <cell r="O2715">
            <v>121800</v>
          </cell>
        </row>
        <row r="2716">
          <cell r="A2716" t="str">
            <v>11</v>
          </cell>
          <cell r="B2716" t="str">
            <v>30</v>
          </cell>
          <cell r="C2716" t="str">
            <v>记-0136</v>
          </cell>
          <cell r="D2716" t="str">
            <v>211</v>
          </cell>
          <cell r="E2716" t="str">
            <v>燕盏</v>
          </cell>
          <cell r="F2716" t="str">
            <v>结转成本</v>
          </cell>
          <cell r="G2716">
            <v>60900</v>
          </cell>
          <cell r="H2716">
            <v>0</v>
          </cell>
          <cell r="I2716">
            <v>0</v>
          </cell>
          <cell r="J2716">
            <v>2</v>
          </cell>
          <cell r="K2716">
            <v>121800</v>
          </cell>
          <cell r="L2716" t="str">
            <v>平</v>
          </cell>
          <cell r="M2716">
            <v>0</v>
          </cell>
          <cell r="N2716">
            <v>0</v>
          </cell>
          <cell r="O2716">
            <v>0</v>
          </cell>
        </row>
        <row r="2717">
          <cell r="A2717" t="str">
            <v>11</v>
          </cell>
          <cell r="F2717" t="str">
            <v>本月合计</v>
          </cell>
          <cell r="G2717">
            <v>0</v>
          </cell>
          <cell r="H2717">
            <v>2</v>
          </cell>
          <cell r="I2717">
            <v>121800</v>
          </cell>
          <cell r="J2717">
            <v>2</v>
          </cell>
          <cell r="K2717">
            <v>121800</v>
          </cell>
          <cell r="L2717" t="str">
            <v>平</v>
          </cell>
          <cell r="M2717">
            <v>0</v>
          </cell>
          <cell r="N2717">
            <v>0</v>
          </cell>
          <cell r="O2717">
            <v>0</v>
          </cell>
        </row>
        <row r="2718">
          <cell r="A2718" t="str">
            <v>11</v>
          </cell>
          <cell r="E2718" t="str">
            <v>燕盏</v>
          </cell>
          <cell r="F2718" t="str">
            <v>本年累计</v>
          </cell>
          <cell r="G2718">
            <v>0</v>
          </cell>
          <cell r="H2718">
            <v>16.2</v>
          </cell>
          <cell r="I2718">
            <v>307661.53999999998</v>
          </cell>
          <cell r="J2718">
            <v>16.2</v>
          </cell>
          <cell r="K2718">
            <v>307661.53999999998</v>
          </cell>
          <cell r="L2718" t="str">
            <v>平</v>
          </cell>
          <cell r="M2718">
            <v>0</v>
          </cell>
          <cell r="N2718">
            <v>0</v>
          </cell>
          <cell r="O2718">
            <v>0</v>
          </cell>
        </row>
        <row r="2719">
          <cell r="A2719" t="str">
            <v>06</v>
          </cell>
          <cell r="B2719" t="str">
            <v>24</v>
          </cell>
          <cell r="C2719" t="str">
            <v>记-0021</v>
          </cell>
          <cell r="D2719" t="str">
            <v>212</v>
          </cell>
          <cell r="E2719" t="str">
            <v>金丝黄燕盏</v>
          </cell>
          <cell r="F2719" t="str">
            <v>收购产品</v>
          </cell>
          <cell r="G2719">
            <v>16335.80833</v>
          </cell>
          <cell r="H2719">
            <v>13.2</v>
          </cell>
          <cell r="I2719">
            <v>215632.67</v>
          </cell>
          <cell r="J2719">
            <v>0</v>
          </cell>
          <cell r="K2719">
            <v>0</v>
          </cell>
          <cell r="L2719" t="str">
            <v>借</v>
          </cell>
          <cell r="M2719">
            <v>13.2</v>
          </cell>
          <cell r="N2719">
            <v>0</v>
          </cell>
          <cell r="O2719">
            <v>215632.67</v>
          </cell>
        </row>
        <row r="2720">
          <cell r="A2720" t="str">
            <v>06</v>
          </cell>
          <cell r="B2720" t="str">
            <v>24</v>
          </cell>
          <cell r="C2720" t="str">
            <v>记-0029</v>
          </cell>
          <cell r="D2720" t="str">
            <v>212</v>
          </cell>
          <cell r="E2720" t="str">
            <v>金丝黄燕盏</v>
          </cell>
          <cell r="F2720" t="str">
            <v>转成本</v>
          </cell>
          <cell r="G2720">
            <v>16335.80833</v>
          </cell>
          <cell r="H2720">
            <v>0</v>
          </cell>
          <cell r="I2720">
            <v>0</v>
          </cell>
          <cell r="J2720">
            <v>13.2</v>
          </cell>
          <cell r="K2720">
            <v>215632.67</v>
          </cell>
          <cell r="L2720" t="str">
            <v>平</v>
          </cell>
          <cell r="M2720">
            <v>0</v>
          </cell>
          <cell r="N2720">
            <v>0</v>
          </cell>
          <cell r="O2720">
            <v>0</v>
          </cell>
        </row>
        <row r="2721">
          <cell r="A2721" t="str">
            <v>06</v>
          </cell>
          <cell r="F2721" t="str">
            <v>本月合计</v>
          </cell>
          <cell r="G2721">
            <v>0</v>
          </cell>
          <cell r="H2721">
            <v>13.2</v>
          </cell>
          <cell r="I2721">
            <v>215632.67</v>
          </cell>
          <cell r="J2721">
            <v>13.2</v>
          </cell>
          <cell r="K2721">
            <v>215632.67</v>
          </cell>
          <cell r="L2721" t="str">
            <v>平</v>
          </cell>
          <cell r="M2721">
            <v>0</v>
          </cell>
          <cell r="N2721">
            <v>0</v>
          </cell>
          <cell r="O2721">
            <v>0</v>
          </cell>
        </row>
        <row r="2722">
          <cell r="A2722" t="str">
            <v>06</v>
          </cell>
          <cell r="E2722" t="str">
            <v>金丝黄燕盏</v>
          </cell>
          <cell r="F2722" t="str">
            <v>本年累计</v>
          </cell>
          <cell r="G2722">
            <v>0</v>
          </cell>
          <cell r="H2722">
            <v>13.2</v>
          </cell>
          <cell r="I2722">
            <v>215632.67</v>
          </cell>
          <cell r="J2722">
            <v>13.2</v>
          </cell>
          <cell r="K2722">
            <v>215632.67</v>
          </cell>
          <cell r="L2722" t="str">
            <v>平</v>
          </cell>
          <cell r="M2722">
            <v>0</v>
          </cell>
          <cell r="N2722">
            <v>0</v>
          </cell>
          <cell r="O2722">
            <v>0</v>
          </cell>
        </row>
        <row r="2723">
          <cell r="A2723" t="str">
            <v>06</v>
          </cell>
          <cell r="B2723" t="str">
            <v>24</v>
          </cell>
          <cell r="C2723" t="str">
            <v>记-0022</v>
          </cell>
          <cell r="D2723" t="str">
            <v>213</v>
          </cell>
          <cell r="E2723" t="str">
            <v>玫瑰花</v>
          </cell>
          <cell r="F2723" t="str">
            <v>收购产品</v>
          </cell>
          <cell r="G2723">
            <v>22.560559999999999</v>
          </cell>
          <cell r="H2723">
            <v>18</v>
          </cell>
          <cell r="I2723">
            <v>406.09</v>
          </cell>
          <cell r="J2723">
            <v>0</v>
          </cell>
          <cell r="K2723">
            <v>0</v>
          </cell>
          <cell r="L2723" t="str">
            <v>借</v>
          </cell>
          <cell r="M2723">
            <v>18</v>
          </cell>
          <cell r="N2723">
            <v>0</v>
          </cell>
          <cell r="O2723">
            <v>406.09</v>
          </cell>
        </row>
        <row r="2724">
          <cell r="A2724" t="str">
            <v>06</v>
          </cell>
          <cell r="B2724" t="str">
            <v>24</v>
          </cell>
          <cell r="C2724" t="str">
            <v>记-0032</v>
          </cell>
          <cell r="D2724" t="str">
            <v>213</v>
          </cell>
          <cell r="E2724" t="str">
            <v>玫瑰花</v>
          </cell>
          <cell r="F2724" t="str">
            <v>转成本</v>
          </cell>
          <cell r="G2724">
            <v>22.560559999999999</v>
          </cell>
          <cell r="H2724">
            <v>0</v>
          </cell>
          <cell r="I2724">
            <v>0</v>
          </cell>
          <cell r="J2724">
            <v>18</v>
          </cell>
          <cell r="K2724">
            <v>406.09</v>
          </cell>
          <cell r="L2724" t="str">
            <v>平</v>
          </cell>
          <cell r="M2724">
            <v>0</v>
          </cell>
          <cell r="N2724">
            <v>0</v>
          </cell>
          <cell r="O2724">
            <v>0</v>
          </cell>
        </row>
        <row r="2725">
          <cell r="A2725" t="str">
            <v>06</v>
          </cell>
          <cell r="F2725" t="str">
            <v>本月合计</v>
          </cell>
          <cell r="G2725">
            <v>0</v>
          </cell>
          <cell r="H2725">
            <v>18</v>
          </cell>
          <cell r="I2725">
            <v>406.09</v>
          </cell>
          <cell r="J2725">
            <v>18</v>
          </cell>
          <cell r="K2725">
            <v>406.09</v>
          </cell>
          <cell r="L2725" t="str">
            <v>平</v>
          </cell>
          <cell r="M2725">
            <v>0</v>
          </cell>
          <cell r="N2725">
            <v>0</v>
          </cell>
          <cell r="O2725">
            <v>0</v>
          </cell>
        </row>
        <row r="2726">
          <cell r="A2726" t="str">
            <v>06</v>
          </cell>
          <cell r="E2726" t="str">
            <v>玫瑰花</v>
          </cell>
          <cell r="F2726" t="str">
            <v>本年累计</v>
          </cell>
          <cell r="G2726">
            <v>0</v>
          </cell>
          <cell r="H2726">
            <v>18</v>
          </cell>
          <cell r="I2726">
            <v>406.09</v>
          </cell>
          <cell r="J2726">
            <v>18</v>
          </cell>
          <cell r="K2726">
            <v>406.09</v>
          </cell>
          <cell r="L2726" t="str">
            <v>平</v>
          </cell>
          <cell r="M2726">
            <v>0</v>
          </cell>
          <cell r="N2726">
            <v>0</v>
          </cell>
          <cell r="O2726">
            <v>0</v>
          </cell>
        </row>
        <row r="2727">
          <cell r="A2727" t="str">
            <v>06</v>
          </cell>
          <cell r="B2727" t="str">
            <v>24</v>
          </cell>
          <cell r="C2727" t="str">
            <v>记-0025</v>
          </cell>
          <cell r="D2727" t="str">
            <v>214</v>
          </cell>
          <cell r="E2727" t="str">
            <v>鱼干</v>
          </cell>
          <cell r="F2727" t="str">
            <v>收购产品</v>
          </cell>
          <cell r="G2727">
            <v>490.0745</v>
          </cell>
          <cell r="H2727">
            <v>20</v>
          </cell>
          <cell r="I2727">
            <v>9801.49</v>
          </cell>
          <cell r="J2727">
            <v>0</v>
          </cell>
          <cell r="K2727">
            <v>0</v>
          </cell>
          <cell r="L2727" t="str">
            <v>借</v>
          </cell>
          <cell r="M2727">
            <v>20</v>
          </cell>
          <cell r="N2727">
            <v>0</v>
          </cell>
          <cell r="O2727">
            <v>9801.49</v>
          </cell>
        </row>
        <row r="2728">
          <cell r="A2728" t="str">
            <v>06</v>
          </cell>
          <cell r="B2728" t="str">
            <v>24</v>
          </cell>
          <cell r="C2728" t="str">
            <v>记-0025</v>
          </cell>
          <cell r="D2728" t="str">
            <v>214</v>
          </cell>
          <cell r="E2728" t="str">
            <v>鱼干</v>
          </cell>
          <cell r="F2728" t="str">
            <v>收购产品</v>
          </cell>
          <cell r="G2728">
            <v>477.4</v>
          </cell>
          <cell r="H2728">
            <v>6</v>
          </cell>
          <cell r="I2728">
            <v>2864.4</v>
          </cell>
          <cell r="J2728">
            <v>0</v>
          </cell>
          <cell r="K2728">
            <v>0</v>
          </cell>
          <cell r="L2728" t="str">
            <v>借</v>
          </cell>
          <cell r="M2728">
            <v>26</v>
          </cell>
          <cell r="N2728">
            <v>0</v>
          </cell>
          <cell r="O2728">
            <v>12665.89</v>
          </cell>
        </row>
        <row r="2729">
          <cell r="A2729" t="str">
            <v>06</v>
          </cell>
          <cell r="B2729" t="str">
            <v>24</v>
          </cell>
          <cell r="C2729" t="str">
            <v>记-0026</v>
          </cell>
          <cell r="D2729" t="str">
            <v>214</v>
          </cell>
          <cell r="E2729" t="str">
            <v>鱼干</v>
          </cell>
          <cell r="F2729" t="str">
            <v>转成本</v>
          </cell>
          <cell r="G2729">
            <v>490.0745</v>
          </cell>
          <cell r="H2729">
            <v>0</v>
          </cell>
          <cell r="I2729">
            <v>0</v>
          </cell>
          <cell r="J2729">
            <v>20</v>
          </cell>
          <cell r="K2729">
            <v>9801.49</v>
          </cell>
          <cell r="L2729" t="str">
            <v>借</v>
          </cell>
          <cell r="M2729">
            <v>6</v>
          </cell>
          <cell r="N2729">
            <v>0</v>
          </cell>
          <cell r="O2729">
            <v>2864.4</v>
          </cell>
        </row>
        <row r="2730">
          <cell r="A2730" t="str">
            <v>06</v>
          </cell>
          <cell r="B2730" t="str">
            <v>24</v>
          </cell>
          <cell r="C2730" t="str">
            <v>记-0026</v>
          </cell>
          <cell r="D2730" t="str">
            <v>214</v>
          </cell>
          <cell r="E2730" t="str">
            <v>鱼干</v>
          </cell>
          <cell r="F2730" t="str">
            <v>转成本</v>
          </cell>
          <cell r="G2730">
            <v>477.4</v>
          </cell>
          <cell r="H2730">
            <v>0</v>
          </cell>
          <cell r="I2730">
            <v>0</v>
          </cell>
          <cell r="J2730">
            <v>6</v>
          </cell>
          <cell r="K2730">
            <v>2864.4</v>
          </cell>
          <cell r="L2730" t="str">
            <v>平</v>
          </cell>
          <cell r="M2730">
            <v>0</v>
          </cell>
          <cell r="N2730">
            <v>0</v>
          </cell>
          <cell r="O2730">
            <v>0</v>
          </cell>
        </row>
        <row r="2731">
          <cell r="A2731" t="str">
            <v>06</v>
          </cell>
          <cell r="F2731" t="str">
            <v>本月合计</v>
          </cell>
          <cell r="G2731">
            <v>0</v>
          </cell>
          <cell r="H2731">
            <v>26</v>
          </cell>
          <cell r="I2731">
            <v>12665.89</v>
          </cell>
          <cell r="J2731">
            <v>26</v>
          </cell>
          <cell r="K2731">
            <v>12665.89</v>
          </cell>
          <cell r="L2731" t="str">
            <v>平</v>
          </cell>
          <cell r="M2731">
            <v>0</v>
          </cell>
          <cell r="N2731">
            <v>0</v>
          </cell>
          <cell r="O2731">
            <v>0</v>
          </cell>
        </row>
        <row r="2732">
          <cell r="A2732" t="str">
            <v>06</v>
          </cell>
          <cell r="F2732" t="str">
            <v>累    计</v>
          </cell>
          <cell r="G2732">
            <v>0</v>
          </cell>
          <cell r="H2732">
            <v>26</v>
          </cell>
          <cell r="I2732">
            <v>12665.89</v>
          </cell>
          <cell r="J2732">
            <v>26</v>
          </cell>
          <cell r="K2732">
            <v>12665.89</v>
          </cell>
          <cell r="L2732" t="str">
            <v>平</v>
          </cell>
          <cell r="M2732">
            <v>0</v>
          </cell>
          <cell r="N2732">
            <v>0</v>
          </cell>
          <cell r="O2732">
            <v>0</v>
          </cell>
        </row>
        <row r="2733">
          <cell r="A2733" t="str">
            <v>08</v>
          </cell>
          <cell r="B2733" t="str">
            <v>25</v>
          </cell>
          <cell r="C2733" t="str">
            <v>记-0059</v>
          </cell>
          <cell r="D2733" t="str">
            <v>214</v>
          </cell>
          <cell r="E2733" t="str">
            <v>鱼干</v>
          </cell>
          <cell r="F2733" t="str">
            <v>结转成本</v>
          </cell>
          <cell r="G2733">
            <v>363.33100000000002</v>
          </cell>
          <cell r="H2733">
            <v>0</v>
          </cell>
          <cell r="I2733">
            <v>0</v>
          </cell>
          <cell r="J2733">
            <v>20</v>
          </cell>
          <cell r="K2733">
            <v>7266.62</v>
          </cell>
          <cell r="L2733" t="str">
            <v>贷</v>
          </cell>
          <cell r="M2733">
            <v>20</v>
          </cell>
          <cell r="N2733">
            <v>0</v>
          </cell>
          <cell r="O2733">
            <v>7266.62</v>
          </cell>
        </row>
        <row r="2734">
          <cell r="A2734" t="str">
            <v>08</v>
          </cell>
          <cell r="B2734" t="str">
            <v>25</v>
          </cell>
          <cell r="C2734" t="str">
            <v>记-0066</v>
          </cell>
          <cell r="D2734" t="str">
            <v>214</v>
          </cell>
          <cell r="E2734" t="str">
            <v>鱼干</v>
          </cell>
          <cell r="F2734" t="str">
            <v>收购产品</v>
          </cell>
          <cell r="G2734">
            <v>363.33100000000002</v>
          </cell>
          <cell r="H2734">
            <v>20</v>
          </cell>
          <cell r="I2734">
            <v>7266.62</v>
          </cell>
          <cell r="J2734">
            <v>0</v>
          </cell>
          <cell r="K2734">
            <v>0</v>
          </cell>
          <cell r="L2734" t="str">
            <v>平</v>
          </cell>
          <cell r="M2734">
            <v>0</v>
          </cell>
          <cell r="N2734">
            <v>0</v>
          </cell>
          <cell r="O2734">
            <v>0</v>
          </cell>
        </row>
        <row r="2735">
          <cell r="A2735" t="str">
            <v>08</v>
          </cell>
          <cell r="F2735" t="str">
            <v>本月合计</v>
          </cell>
          <cell r="G2735">
            <v>0</v>
          </cell>
          <cell r="H2735">
            <v>20</v>
          </cell>
          <cell r="I2735">
            <v>7266.62</v>
          </cell>
          <cell r="J2735">
            <v>20</v>
          </cell>
          <cell r="K2735">
            <v>7266.62</v>
          </cell>
          <cell r="L2735" t="str">
            <v>平</v>
          </cell>
          <cell r="M2735">
            <v>0</v>
          </cell>
          <cell r="N2735">
            <v>0</v>
          </cell>
          <cell r="O2735">
            <v>0</v>
          </cell>
        </row>
        <row r="2736">
          <cell r="A2736" t="str">
            <v>08</v>
          </cell>
          <cell r="E2736" t="str">
            <v>鱼干</v>
          </cell>
          <cell r="F2736" t="str">
            <v>本年累计</v>
          </cell>
          <cell r="G2736">
            <v>0</v>
          </cell>
          <cell r="H2736">
            <v>46</v>
          </cell>
          <cell r="I2736">
            <v>19932.509999999998</v>
          </cell>
          <cell r="J2736">
            <v>46</v>
          </cell>
          <cell r="K2736">
            <v>19932.509999999998</v>
          </cell>
          <cell r="L2736" t="str">
            <v>平</v>
          </cell>
          <cell r="M2736">
            <v>0</v>
          </cell>
          <cell r="N2736">
            <v>0</v>
          </cell>
          <cell r="O2736">
            <v>0</v>
          </cell>
        </row>
        <row r="2737">
          <cell r="A2737" t="str">
            <v>06</v>
          </cell>
          <cell r="B2737" t="str">
            <v>24</v>
          </cell>
          <cell r="C2737" t="str">
            <v>记-0061</v>
          </cell>
          <cell r="D2737" t="str">
            <v>215</v>
          </cell>
          <cell r="E2737" t="str">
            <v>黄芩</v>
          </cell>
          <cell r="F2737" t="str">
            <v>购入商品</v>
          </cell>
          <cell r="G2737">
            <v>12.18</v>
          </cell>
          <cell r="H2737">
            <v>100000</v>
          </cell>
          <cell r="I2737">
            <v>1218000</v>
          </cell>
          <cell r="J2737">
            <v>0</v>
          </cell>
          <cell r="K2737">
            <v>0</v>
          </cell>
          <cell r="L2737" t="str">
            <v>借</v>
          </cell>
          <cell r="M2737">
            <v>100000</v>
          </cell>
          <cell r="N2737">
            <v>0</v>
          </cell>
          <cell r="O2737">
            <v>1218000</v>
          </cell>
        </row>
        <row r="2738">
          <cell r="A2738" t="str">
            <v>06</v>
          </cell>
          <cell r="B2738" t="str">
            <v>24</v>
          </cell>
          <cell r="C2738" t="str">
            <v>记-0062</v>
          </cell>
          <cell r="D2738" t="str">
            <v>215</v>
          </cell>
          <cell r="E2738" t="str">
            <v>黄芩</v>
          </cell>
          <cell r="F2738" t="str">
            <v>转成本</v>
          </cell>
          <cell r="G2738">
            <v>12.18</v>
          </cell>
          <cell r="H2738">
            <v>0</v>
          </cell>
          <cell r="I2738">
            <v>0</v>
          </cell>
          <cell r="J2738">
            <v>100000</v>
          </cell>
          <cell r="K2738">
            <v>1218000</v>
          </cell>
          <cell r="L2738" t="str">
            <v>平</v>
          </cell>
          <cell r="M2738">
            <v>0</v>
          </cell>
          <cell r="N2738">
            <v>0</v>
          </cell>
          <cell r="O2738">
            <v>0</v>
          </cell>
        </row>
        <row r="2739">
          <cell r="A2739" t="str">
            <v>06</v>
          </cell>
          <cell r="F2739" t="str">
            <v>本月合计</v>
          </cell>
          <cell r="G2739">
            <v>0</v>
          </cell>
          <cell r="H2739">
            <v>100000</v>
          </cell>
          <cell r="I2739">
            <v>1218000</v>
          </cell>
          <cell r="J2739">
            <v>100000</v>
          </cell>
          <cell r="K2739">
            <v>1218000</v>
          </cell>
          <cell r="L2739" t="str">
            <v>平</v>
          </cell>
          <cell r="M2739">
            <v>0</v>
          </cell>
          <cell r="N2739">
            <v>0</v>
          </cell>
          <cell r="O2739">
            <v>0</v>
          </cell>
        </row>
        <row r="2740">
          <cell r="A2740" t="str">
            <v>06</v>
          </cell>
          <cell r="E2740" t="str">
            <v>黄芩</v>
          </cell>
          <cell r="F2740" t="str">
            <v>本年累计</v>
          </cell>
          <cell r="G2740">
            <v>0</v>
          </cell>
          <cell r="H2740">
            <v>100000</v>
          </cell>
          <cell r="I2740">
            <v>1218000</v>
          </cell>
          <cell r="J2740">
            <v>100000</v>
          </cell>
          <cell r="K2740">
            <v>1218000</v>
          </cell>
          <cell r="L2740" t="str">
            <v>平</v>
          </cell>
          <cell r="M2740">
            <v>0</v>
          </cell>
          <cell r="N2740">
            <v>0</v>
          </cell>
          <cell r="O2740">
            <v>0</v>
          </cell>
        </row>
        <row r="2741">
          <cell r="A2741" t="str">
            <v>08</v>
          </cell>
          <cell r="B2741" t="str">
            <v>25</v>
          </cell>
          <cell r="C2741" t="str">
            <v>记-0054</v>
          </cell>
          <cell r="D2741" t="str">
            <v>216</v>
          </cell>
          <cell r="E2741" t="str">
            <v>雪蛤油</v>
          </cell>
          <cell r="F2741" t="str">
            <v>结转成本</v>
          </cell>
          <cell r="G2741">
            <v>2915.0973300000001</v>
          </cell>
          <cell r="H2741">
            <v>0</v>
          </cell>
          <cell r="I2741">
            <v>0</v>
          </cell>
          <cell r="J2741">
            <v>43.77</v>
          </cell>
          <cell r="K2741">
            <v>127593.81</v>
          </cell>
          <cell r="L2741" t="str">
            <v>贷</v>
          </cell>
          <cell r="M2741">
            <v>43.77</v>
          </cell>
          <cell r="N2741">
            <v>0</v>
          </cell>
          <cell r="O2741">
            <v>127593.81</v>
          </cell>
        </row>
        <row r="2742">
          <cell r="A2742" t="str">
            <v>08</v>
          </cell>
          <cell r="B2742" t="str">
            <v>25</v>
          </cell>
          <cell r="C2742" t="str">
            <v>记-0061</v>
          </cell>
          <cell r="D2742" t="str">
            <v>216</v>
          </cell>
          <cell r="E2742" t="str">
            <v>雪蛤油</v>
          </cell>
          <cell r="F2742" t="str">
            <v>收购产品</v>
          </cell>
          <cell r="G2742">
            <v>2915.0973300000001</v>
          </cell>
          <cell r="H2742">
            <v>43.77</v>
          </cell>
          <cell r="I2742">
            <v>127593.81</v>
          </cell>
          <cell r="J2742">
            <v>0</v>
          </cell>
          <cell r="K2742">
            <v>0</v>
          </cell>
          <cell r="L2742" t="str">
            <v>平</v>
          </cell>
          <cell r="M2742">
            <v>0</v>
          </cell>
          <cell r="N2742">
            <v>0</v>
          </cell>
          <cell r="O2742">
            <v>0</v>
          </cell>
        </row>
        <row r="2743">
          <cell r="A2743" t="str">
            <v>08</v>
          </cell>
          <cell r="F2743" t="str">
            <v>本月合计</v>
          </cell>
          <cell r="G2743">
            <v>0</v>
          </cell>
          <cell r="H2743">
            <v>43.77</v>
          </cell>
          <cell r="I2743">
            <v>127593.81</v>
          </cell>
          <cell r="J2743">
            <v>43.77</v>
          </cell>
          <cell r="K2743">
            <v>127593.81</v>
          </cell>
          <cell r="L2743" t="str">
            <v>平</v>
          </cell>
          <cell r="M2743">
            <v>0</v>
          </cell>
          <cell r="N2743">
            <v>0</v>
          </cell>
          <cell r="O2743">
            <v>0</v>
          </cell>
        </row>
        <row r="2744">
          <cell r="A2744" t="str">
            <v>08</v>
          </cell>
          <cell r="F2744" t="str">
            <v>累    计</v>
          </cell>
          <cell r="G2744">
            <v>0</v>
          </cell>
          <cell r="H2744">
            <v>43.77</v>
          </cell>
          <cell r="I2744">
            <v>127593.81</v>
          </cell>
          <cell r="J2744">
            <v>43.77</v>
          </cell>
          <cell r="K2744">
            <v>127593.81</v>
          </cell>
          <cell r="L2744" t="str">
            <v>平</v>
          </cell>
          <cell r="M2744">
            <v>0</v>
          </cell>
          <cell r="N2744">
            <v>0</v>
          </cell>
          <cell r="O2744">
            <v>0</v>
          </cell>
        </row>
        <row r="2745">
          <cell r="A2745" t="str">
            <v>09</v>
          </cell>
          <cell r="B2745" t="str">
            <v>22</v>
          </cell>
          <cell r="C2745" t="str">
            <v>记-0041</v>
          </cell>
          <cell r="D2745" t="str">
            <v>216</v>
          </cell>
          <cell r="E2745" t="str">
            <v>雪蛤油</v>
          </cell>
          <cell r="F2745" t="str">
            <v>结转成本</v>
          </cell>
          <cell r="G2745">
            <v>3175.5000199999999</v>
          </cell>
          <cell r="H2745">
            <v>0</v>
          </cell>
          <cell r="I2745">
            <v>0</v>
          </cell>
          <cell r="J2745">
            <v>201.39</v>
          </cell>
          <cell r="K2745">
            <v>639513.94999999995</v>
          </cell>
          <cell r="L2745" t="str">
            <v>贷</v>
          </cell>
          <cell r="M2745">
            <v>201.39</v>
          </cell>
          <cell r="N2745">
            <v>0</v>
          </cell>
          <cell r="O2745">
            <v>639513.94999999995</v>
          </cell>
        </row>
        <row r="2746">
          <cell r="A2746" t="str">
            <v>09</v>
          </cell>
          <cell r="B2746" t="str">
            <v>22</v>
          </cell>
          <cell r="C2746" t="str">
            <v>记-0042</v>
          </cell>
          <cell r="D2746" t="str">
            <v>216</v>
          </cell>
          <cell r="E2746" t="str">
            <v>雪蛤油</v>
          </cell>
          <cell r="F2746" t="str">
            <v>结转成本</v>
          </cell>
          <cell r="G2746">
            <v>3175.5000300000002</v>
          </cell>
          <cell r="H2746">
            <v>0</v>
          </cell>
          <cell r="I2746">
            <v>0</v>
          </cell>
          <cell r="J2746">
            <v>180.35</v>
          </cell>
          <cell r="K2746">
            <v>572701.43000000005</v>
          </cell>
          <cell r="L2746" t="str">
            <v>贷</v>
          </cell>
          <cell r="M2746">
            <v>381.74</v>
          </cell>
          <cell r="N2746">
            <v>0</v>
          </cell>
          <cell r="O2746">
            <v>1212215.3799999999</v>
          </cell>
        </row>
        <row r="2747">
          <cell r="A2747" t="str">
            <v>09</v>
          </cell>
          <cell r="B2747" t="str">
            <v>22</v>
          </cell>
          <cell r="C2747" t="str">
            <v>记-0043</v>
          </cell>
          <cell r="D2747" t="str">
            <v>216</v>
          </cell>
          <cell r="E2747" t="str">
            <v>雪蛤油</v>
          </cell>
          <cell r="F2747" t="str">
            <v>收购产品</v>
          </cell>
          <cell r="G2747">
            <v>3175.5000300000002</v>
          </cell>
          <cell r="H2747">
            <v>180.35</v>
          </cell>
          <cell r="I2747">
            <v>572701.43000000005</v>
          </cell>
          <cell r="J2747">
            <v>0</v>
          </cell>
          <cell r="K2747">
            <v>0</v>
          </cell>
          <cell r="L2747" t="str">
            <v>贷</v>
          </cell>
          <cell r="M2747">
            <v>201.39</v>
          </cell>
          <cell r="N2747">
            <v>0</v>
          </cell>
          <cell r="O2747">
            <v>639513.94999999995</v>
          </cell>
        </row>
        <row r="2748">
          <cell r="A2748" t="str">
            <v>09</v>
          </cell>
          <cell r="B2748" t="str">
            <v>22</v>
          </cell>
          <cell r="C2748" t="str">
            <v>记-0044</v>
          </cell>
          <cell r="D2748" t="str">
            <v>216</v>
          </cell>
          <cell r="E2748" t="str">
            <v>雪蛤油</v>
          </cell>
          <cell r="F2748" t="str">
            <v>收购产品</v>
          </cell>
          <cell r="G2748">
            <v>3175.4999800000001</v>
          </cell>
          <cell r="H2748">
            <v>201.39</v>
          </cell>
          <cell r="I2748">
            <v>639513.93999999994</v>
          </cell>
          <cell r="J2748">
            <v>0</v>
          </cell>
          <cell r="K2748">
            <v>0</v>
          </cell>
          <cell r="L2748" t="str">
            <v>贷</v>
          </cell>
          <cell r="M2748">
            <v>0</v>
          </cell>
          <cell r="N2748">
            <v>0</v>
          </cell>
          <cell r="O2748">
            <v>0.01</v>
          </cell>
        </row>
        <row r="2749">
          <cell r="A2749" t="str">
            <v>09</v>
          </cell>
          <cell r="B2749" t="str">
            <v>22</v>
          </cell>
          <cell r="C2749" t="str">
            <v>记-0077</v>
          </cell>
          <cell r="D2749" t="str">
            <v>216</v>
          </cell>
          <cell r="E2749" t="str">
            <v>雪蛤油</v>
          </cell>
          <cell r="F2749" t="str">
            <v>结转成本</v>
          </cell>
          <cell r="G2749">
            <v>3084.0884999999998</v>
          </cell>
          <cell r="H2749">
            <v>0</v>
          </cell>
          <cell r="I2749">
            <v>0</v>
          </cell>
          <cell r="J2749">
            <v>200</v>
          </cell>
          <cell r="K2749">
            <v>616817.69999999995</v>
          </cell>
          <cell r="L2749" t="str">
            <v>贷</v>
          </cell>
          <cell r="M2749">
            <v>200</v>
          </cell>
          <cell r="N2749">
            <v>0</v>
          </cell>
          <cell r="O2749">
            <v>616817.71</v>
          </cell>
        </row>
        <row r="2750">
          <cell r="A2750" t="str">
            <v>09</v>
          </cell>
          <cell r="B2750" t="str">
            <v>22</v>
          </cell>
          <cell r="C2750" t="str">
            <v>记-0078</v>
          </cell>
          <cell r="D2750" t="str">
            <v>216</v>
          </cell>
          <cell r="E2750" t="str">
            <v>雪蛤油</v>
          </cell>
          <cell r="F2750" t="str">
            <v>收购产品</v>
          </cell>
          <cell r="G2750">
            <v>3084.0884999999998</v>
          </cell>
          <cell r="H2750">
            <v>200</v>
          </cell>
          <cell r="I2750">
            <v>616817.69999999995</v>
          </cell>
          <cell r="J2750">
            <v>0</v>
          </cell>
          <cell r="K2750">
            <v>0</v>
          </cell>
          <cell r="L2750" t="str">
            <v>贷</v>
          </cell>
          <cell r="M2750">
            <v>0</v>
          </cell>
          <cell r="N2750">
            <v>0</v>
          </cell>
          <cell r="O2750">
            <v>0.01</v>
          </cell>
        </row>
        <row r="2751">
          <cell r="A2751" t="str">
            <v>09</v>
          </cell>
          <cell r="F2751" t="str">
            <v>本月合计</v>
          </cell>
          <cell r="G2751">
            <v>0</v>
          </cell>
          <cell r="H2751">
            <v>581.74</v>
          </cell>
          <cell r="I2751">
            <v>1829033.07</v>
          </cell>
          <cell r="J2751">
            <v>581.74</v>
          </cell>
          <cell r="K2751">
            <v>1829033.08</v>
          </cell>
          <cell r="L2751" t="str">
            <v>贷</v>
          </cell>
          <cell r="M2751">
            <v>0</v>
          </cell>
          <cell r="N2751">
            <v>351843720888.32001</v>
          </cell>
          <cell r="O2751">
            <v>0.01</v>
          </cell>
        </row>
        <row r="2752">
          <cell r="A2752" t="str">
            <v>09</v>
          </cell>
          <cell r="F2752" t="str">
            <v>累    计</v>
          </cell>
          <cell r="G2752">
            <v>0</v>
          </cell>
          <cell r="H2752">
            <v>625.51</v>
          </cell>
          <cell r="I2752">
            <v>1956626.88</v>
          </cell>
          <cell r="J2752">
            <v>625.51</v>
          </cell>
          <cell r="K2752">
            <v>1956626.89</v>
          </cell>
          <cell r="L2752" t="str">
            <v>贷</v>
          </cell>
          <cell r="M2752">
            <v>0</v>
          </cell>
          <cell r="N2752">
            <v>351843720888.32001</v>
          </cell>
          <cell r="O2752">
            <v>0.01</v>
          </cell>
        </row>
        <row r="2753">
          <cell r="A2753" t="str">
            <v>10</v>
          </cell>
          <cell r="B2753" t="str">
            <v>22</v>
          </cell>
          <cell r="C2753" t="str">
            <v>记-0024</v>
          </cell>
          <cell r="D2753" t="str">
            <v>216</v>
          </cell>
          <cell r="E2753" t="str">
            <v>雪蛤油</v>
          </cell>
          <cell r="F2753" t="str">
            <v>结转成本</v>
          </cell>
          <cell r="G2753">
            <v>3084.0884599999999</v>
          </cell>
          <cell r="H2753">
            <v>0</v>
          </cell>
          <cell r="I2753">
            <v>0</v>
          </cell>
          <cell r="J2753">
            <v>189.36</v>
          </cell>
          <cell r="K2753">
            <v>584002.99</v>
          </cell>
          <cell r="L2753" t="str">
            <v>贷</v>
          </cell>
          <cell r="M2753">
            <v>189.36</v>
          </cell>
          <cell r="N2753">
            <v>0</v>
          </cell>
          <cell r="O2753">
            <v>584003</v>
          </cell>
        </row>
        <row r="2754">
          <cell r="A2754" t="str">
            <v>10</v>
          </cell>
          <cell r="F2754" t="str">
            <v>本月合计</v>
          </cell>
          <cell r="G2754">
            <v>0</v>
          </cell>
          <cell r="H2754">
            <v>0</v>
          </cell>
          <cell r="I2754">
            <v>0</v>
          </cell>
          <cell r="J2754">
            <v>189.36</v>
          </cell>
          <cell r="K2754">
            <v>584002.99</v>
          </cell>
          <cell r="L2754" t="str">
            <v>贷</v>
          </cell>
          <cell r="M2754">
            <v>189.36</v>
          </cell>
          <cell r="N2754">
            <v>3084.08851</v>
          </cell>
          <cell r="O2754">
            <v>584003</v>
          </cell>
        </row>
        <row r="2755">
          <cell r="A2755" t="str">
            <v>10</v>
          </cell>
          <cell r="F2755" t="str">
            <v>累    计</v>
          </cell>
          <cell r="G2755">
            <v>0</v>
          </cell>
          <cell r="H2755">
            <v>625.51</v>
          </cell>
          <cell r="I2755">
            <v>1956626.88</v>
          </cell>
          <cell r="J2755">
            <v>814.87</v>
          </cell>
          <cell r="K2755">
            <v>2540629.88</v>
          </cell>
          <cell r="L2755" t="str">
            <v>贷</v>
          </cell>
          <cell r="M2755">
            <v>189.36</v>
          </cell>
          <cell r="N2755">
            <v>3084.08851</v>
          </cell>
          <cell r="O2755">
            <v>584003</v>
          </cell>
        </row>
        <row r="2756">
          <cell r="A2756" t="str">
            <v>11</v>
          </cell>
          <cell r="B2756" t="str">
            <v>18</v>
          </cell>
          <cell r="C2756" t="str">
            <v>记-0003</v>
          </cell>
          <cell r="D2756" t="str">
            <v>216</v>
          </cell>
          <cell r="E2756" t="str">
            <v>雪蛤油</v>
          </cell>
          <cell r="F2756" t="str">
            <v>收购产品</v>
          </cell>
          <cell r="G2756">
            <v>2323.6284300000002</v>
          </cell>
          <cell r="H2756">
            <v>9.85</v>
          </cell>
          <cell r="I2756">
            <v>22887.74</v>
          </cell>
          <cell r="J2756">
            <v>0</v>
          </cell>
          <cell r="K2756">
            <v>0</v>
          </cell>
          <cell r="L2756" t="str">
            <v>贷</v>
          </cell>
          <cell r="M2756">
            <v>179.51</v>
          </cell>
          <cell r="N2756">
            <v>0</v>
          </cell>
          <cell r="O2756">
            <v>561115.26</v>
          </cell>
        </row>
        <row r="2757">
          <cell r="A2757" t="str">
            <v>11</v>
          </cell>
          <cell r="B2757" t="str">
            <v>18</v>
          </cell>
          <cell r="C2757" t="str">
            <v>记-0006</v>
          </cell>
          <cell r="D2757" t="str">
            <v>216</v>
          </cell>
          <cell r="E2757" t="str">
            <v>雪蛤油</v>
          </cell>
          <cell r="F2757" t="str">
            <v>结转成本</v>
          </cell>
          <cell r="G2757">
            <v>2323.6284300000002</v>
          </cell>
          <cell r="H2757">
            <v>0</v>
          </cell>
          <cell r="I2757">
            <v>0</v>
          </cell>
          <cell r="J2757">
            <v>9.85</v>
          </cell>
          <cell r="K2757">
            <v>22887.74</v>
          </cell>
          <cell r="L2757" t="str">
            <v>贷</v>
          </cell>
          <cell r="M2757">
            <v>189.36</v>
          </cell>
          <cell r="N2757">
            <v>0</v>
          </cell>
          <cell r="O2757">
            <v>584003</v>
          </cell>
        </row>
        <row r="2758">
          <cell r="A2758" t="str">
            <v>11</v>
          </cell>
          <cell r="B2758" t="str">
            <v>30</v>
          </cell>
          <cell r="C2758" t="str">
            <v>记-0130</v>
          </cell>
          <cell r="D2758" t="str">
            <v>216</v>
          </cell>
          <cell r="E2758" t="str">
            <v>雪蛤油</v>
          </cell>
          <cell r="F2758" t="str">
            <v>收购产品</v>
          </cell>
          <cell r="G2758">
            <v>2392.5</v>
          </cell>
          <cell r="H2758">
            <v>50</v>
          </cell>
          <cell r="I2758">
            <v>119625</v>
          </cell>
          <cell r="J2758">
            <v>0</v>
          </cell>
          <cell r="K2758">
            <v>0</v>
          </cell>
          <cell r="L2758" t="str">
            <v>贷</v>
          </cell>
          <cell r="M2758">
            <v>139.36000000000001</v>
          </cell>
          <cell r="N2758">
            <v>0</v>
          </cell>
          <cell r="O2758">
            <v>464378</v>
          </cell>
        </row>
        <row r="2759">
          <cell r="A2759" t="str">
            <v>11</v>
          </cell>
          <cell r="B2759" t="str">
            <v>30</v>
          </cell>
          <cell r="C2759" t="str">
            <v>记-0136</v>
          </cell>
          <cell r="D2759" t="str">
            <v>216</v>
          </cell>
          <cell r="E2759" t="str">
            <v>雪蛤油</v>
          </cell>
          <cell r="F2759" t="str">
            <v>结转成本</v>
          </cell>
          <cell r="G2759">
            <v>2392.5</v>
          </cell>
          <cell r="H2759">
            <v>0</v>
          </cell>
          <cell r="I2759">
            <v>0</v>
          </cell>
          <cell r="J2759">
            <v>50</v>
          </cell>
          <cell r="K2759">
            <v>119625</v>
          </cell>
          <cell r="L2759" t="str">
            <v>贷</v>
          </cell>
          <cell r="M2759">
            <v>189.36</v>
          </cell>
          <cell r="N2759">
            <v>0</v>
          </cell>
          <cell r="O2759">
            <v>584003</v>
          </cell>
        </row>
        <row r="2760">
          <cell r="A2760" t="str">
            <v>11</v>
          </cell>
          <cell r="B2760" t="str">
            <v>30</v>
          </cell>
          <cell r="C2760" t="str">
            <v>记-0138</v>
          </cell>
          <cell r="D2760" t="str">
            <v>216</v>
          </cell>
          <cell r="E2760" t="str">
            <v>雪蛤油</v>
          </cell>
          <cell r="F2760" t="str">
            <v>调整10月30号</v>
          </cell>
          <cell r="G2760">
            <v>3084.0884599999999</v>
          </cell>
          <cell r="H2760">
            <v>189.36</v>
          </cell>
          <cell r="I2760">
            <v>584002.99</v>
          </cell>
          <cell r="J2760">
            <v>0</v>
          </cell>
          <cell r="K2760">
            <v>0</v>
          </cell>
          <cell r="L2760" t="str">
            <v>贷</v>
          </cell>
          <cell r="M2760">
            <v>0</v>
          </cell>
          <cell r="N2760">
            <v>0</v>
          </cell>
          <cell r="O2760">
            <v>0.01</v>
          </cell>
        </row>
        <row r="2761">
          <cell r="A2761" t="str">
            <v>11</v>
          </cell>
          <cell r="F2761" t="str">
            <v>本月合计</v>
          </cell>
          <cell r="G2761">
            <v>0</v>
          </cell>
          <cell r="H2761">
            <v>249.21</v>
          </cell>
          <cell r="I2761">
            <v>726515.73</v>
          </cell>
          <cell r="J2761">
            <v>59.85</v>
          </cell>
          <cell r="K2761">
            <v>142512.74</v>
          </cell>
          <cell r="L2761" t="str">
            <v>贷</v>
          </cell>
          <cell r="M2761">
            <v>0</v>
          </cell>
          <cell r="N2761">
            <v>351843720888.32001</v>
          </cell>
          <cell r="O2761">
            <v>0.01</v>
          </cell>
        </row>
        <row r="2762">
          <cell r="A2762" t="str">
            <v>11</v>
          </cell>
          <cell r="F2762" t="str">
            <v>累    计</v>
          </cell>
          <cell r="G2762">
            <v>0</v>
          </cell>
          <cell r="H2762">
            <v>874.72</v>
          </cell>
          <cell r="I2762">
            <v>2683142.61</v>
          </cell>
          <cell r="J2762">
            <v>874.72</v>
          </cell>
          <cell r="K2762">
            <v>2683142.62</v>
          </cell>
          <cell r="L2762" t="str">
            <v>贷</v>
          </cell>
          <cell r="M2762">
            <v>0</v>
          </cell>
          <cell r="N2762">
            <v>351843720888.32001</v>
          </cell>
          <cell r="O2762">
            <v>0.01</v>
          </cell>
        </row>
        <row r="2763">
          <cell r="A2763" t="str">
            <v>12</v>
          </cell>
          <cell r="B2763" t="str">
            <v>11</v>
          </cell>
          <cell r="C2763" t="str">
            <v>记-0020</v>
          </cell>
          <cell r="D2763" t="str">
            <v>216</v>
          </cell>
          <cell r="E2763" t="str">
            <v>雪蛤油</v>
          </cell>
          <cell r="F2763" t="str">
            <v>收购产品</v>
          </cell>
          <cell r="G2763">
            <v>4.05579</v>
          </cell>
          <cell r="H2763">
            <v>22400</v>
          </cell>
          <cell r="I2763">
            <v>90849.64</v>
          </cell>
          <cell r="J2763">
            <v>0</v>
          </cell>
          <cell r="K2763">
            <v>0</v>
          </cell>
          <cell r="L2763" t="str">
            <v>借</v>
          </cell>
          <cell r="M2763">
            <v>22400</v>
          </cell>
          <cell r="N2763">
            <v>0</v>
          </cell>
          <cell r="O2763">
            <v>90849.63</v>
          </cell>
        </row>
        <row r="2764">
          <cell r="A2764" t="str">
            <v>12</v>
          </cell>
          <cell r="B2764" t="str">
            <v>11</v>
          </cell>
          <cell r="C2764" t="str">
            <v>记-0020</v>
          </cell>
          <cell r="D2764" t="str">
            <v>216</v>
          </cell>
          <cell r="E2764" t="str">
            <v>雪蛤油</v>
          </cell>
          <cell r="F2764" t="str">
            <v>收购产品</v>
          </cell>
          <cell r="G2764">
            <v>4.05579</v>
          </cell>
          <cell r="H2764">
            <v>10000</v>
          </cell>
          <cell r="I2764">
            <v>40557.879999999997</v>
          </cell>
          <cell r="J2764">
            <v>0</v>
          </cell>
          <cell r="K2764">
            <v>0</v>
          </cell>
          <cell r="L2764" t="str">
            <v>借</v>
          </cell>
          <cell r="M2764">
            <v>32400</v>
          </cell>
          <cell r="N2764">
            <v>0</v>
          </cell>
          <cell r="O2764">
            <v>131407.51</v>
          </cell>
        </row>
        <row r="2765">
          <cell r="A2765" t="str">
            <v>12</v>
          </cell>
          <cell r="B2765" t="str">
            <v>11</v>
          </cell>
          <cell r="C2765" t="str">
            <v>记-0020</v>
          </cell>
          <cell r="D2765" t="str">
            <v>216</v>
          </cell>
          <cell r="E2765" t="str">
            <v>雪蛤油</v>
          </cell>
          <cell r="F2765" t="str">
            <v>收购产品</v>
          </cell>
          <cell r="G2765">
            <v>3.6333099999999998</v>
          </cell>
          <cell r="H2765">
            <v>4000</v>
          </cell>
          <cell r="I2765">
            <v>14533.24</v>
          </cell>
          <cell r="J2765">
            <v>0</v>
          </cell>
          <cell r="K2765">
            <v>0</v>
          </cell>
          <cell r="L2765" t="str">
            <v>借</v>
          </cell>
          <cell r="M2765">
            <v>36400</v>
          </cell>
          <cell r="N2765">
            <v>0</v>
          </cell>
          <cell r="O2765">
            <v>145940.75</v>
          </cell>
        </row>
        <row r="2766">
          <cell r="A2766" t="str">
            <v>12</v>
          </cell>
          <cell r="B2766" t="str">
            <v>11</v>
          </cell>
          <cell r="C2766" t="str">
            <v>记-0028</v>
          </cell>
          <cell r="D2766" t="str">
            <v>216</v>
          </cell>
          <cell r="E2766" t="str">
            <v>雪蛤油</v>
          </cell>
          <cell r="F2766" t="str">
            <v>结转成本</v>
          </cell>
          <cell r="G2766">
            <v>4.05579</v>
          </cell>
          <cell r="H2766">
            <v>0</v>
          </cell>
          <cell r="I2766">
            <v>0</v>
          </cell>
          <cell r="J2766">
            <v>22400</v>
          </cell>
          <cell r="K2766">
            <v>90849.64</v>
          </cell>
          <cell r="L2766" t="str">
            <v>借</v>
          </cell>
          <cell r="M2766">
            <v>14000</v>
          </cell>
          <cell r="N2766">
            <v>0</v>
          </cell>
          <cell r="O2766">
            <v>55091.11</v>
          </cell>
        </row>
        <row r="2767">
          <cell r="A2767" t="str">
            <v>12</v>
          </cell>
          <cell r="B2767" t="str">
            <v>11</v>
          </cell>
          <cell r="C2767" t="str">
            <v>记-0028</v>
          </cell>
          <cell r="D2767" t="str">
            <v>216</v>
          </cell>
          <cell r="E2767" t="str">
            <v>雪蛤油</v>
          </cell>
          <cell r="F2767" t="str">
            <v>结转成本</v>
          </cell>
          <cell r="G2767">
            <v>4.05579</v>
          </cell>
          <cell r="H2767">
            <v>0</v>
          </cell>
          <cell r="I2767">
            <v>0</v>
          </cell>
          <cell r="J2767">
            <v>10000</v>
          </cell>
          <cell r="K2767">
            <v>40557.879999999997</v>
          </cell>
          <cell r="L2767" t="str">
            <v>借</v>
          </cell>
          <cell r="M2767">
            <v>4000</v>
          </cell>
          <cell r="N2767">
            <v>0</v>
          </cell>
          <cell r="O2767">
            <v>14533.23</v>
          </cell>
        </row>
        <row r="2768">
          <cell r="A2768" t="str">
            <v>12</v>
          </cell>
          <cell r="B2768" t="str">
            <v>11</v>
          </cell>
          <cell r="C2768" t="str">
            <v>记-0028</v>
          </cell>
          <cell r="D2768" t="str">
            <v>216</v>
          </cell>
          <cell r="E2768" t="str">
            <v>雪蛤油</v>
          </cell>
          <cell r="F2768" t="str">
            <v>结转成本</v>
          </cell>
          <cell r="G2768">
            <v>3.6333099999999998</v>
          </cell>
          <cell r="H2768">
            <v>0</v>
          </cell>
          <cell r="I2768">
            <v>0</v>
          </cell>
          <cell r="J2768">
            <v>4000</v>
          </cell>
          <cell r="K2768">
            <v>14533.24</v>
          </cell>
          <cell r="L2768" t="str">
            <v>贷</v>
          </cell>
          <cell r="M2768">
            <v>0</v>
          </cell>
          <cell r="N2768">
            <v>0</v>
          </cell>
          <cell r="O2768">
            <v>0.01</v>
          </cell>
        </row>
        <row r="2769">
          <cell r="A2769" t="str">
            <v>12</v>
          </cell>
          <cell r="B2769" t="str">
            <v>31</v>
          </cell>
          <cell r="C2769" t="str">
            <v>记-0173</v>
          </cell>
          <cell r="D2769" t="str">
            <v>216</v>
          </cell>
          <cell r="E2769" t="str">
            <v>雪蛤油</v>
          </cell>
          <cell r="F2769" t="str">
            <v>调整9月41号凭</v>
          </cell>
          <cell r="G2769">
            <v>0</v>
          </cell>
          <cell r="H2769">
            <v>0</v>
          </cell>
          <cell r="I2769">
            <v>0.01</v>
          </cell>
          <cell r="J2769">
            <v>0</v>
          </cell>
          <cell r="K2769">
            <v>0</v>
          </cell>
          <cell r="L2769" t="str">
            <v>平</v>
          </cell>
          <cell r="M2769">
            <v>0</v>
          </cell>
          <cell r="N2769">
            <v>0</v>
          </cell>
          <cell r="O2769">
            <v>0</v>
          </cell>
        </row>
        <row r="2770">
          <cell r="A2770" t="str">
            <v>12</v>
          </cell>
          <cell r="F2770" t="str">
            <v>本月合计</v>
          </cell>
          <cell r="G2770">
            <v>0</v>
          </cell>
          <cell r="H2770">
            <v>36400</v>
          </cell>
          <cell r="I2770">
            <v>145940.76999999999</v>
          </cell>
          <cell r="J2770">
            <v>36400</v>
          </cell>
          <cell r="K2770">
            <v>145940.76</v>
          </cell>
          <cell r="L2770" t="str">
            <v>平</v>
          </cell>
          <cell r="M2770">
            <v>0</v>
          </cell>
          <cell r="N2770">
            <v>0</v>
          </cell>
          <cell r="O2770">
            <v>0</v>
          </cell>
        </row>
        <row r="2771">
          <cell r="A2771" t="str">
            <v>12</v>
          </cell>
          <cell r="E2771" t="str">
            <v>雪蛤油</v>
          </cell>
          <cell r="F2771" t="str">
            <v>本年累计</v>
          </cell>
          <cell r="G2771">
            <v>0</v>
          </cell>
          <cell r="H2771">
            <v>37274.720000000001</v>
          </cell>
          <cell r="I2771">
            <v>2829083.38</v>
          </cell>
          <cell r="J2771">
            <v>37274.720000000001</v>
          </cell>
          <cell r="K2771">
            <v>2829083.38</v>
          </cell>
          <cell r="L2771" t="str">
            <v>平</v>
          </cell>
          <cell r="M2771">
            <v>0</v>
          </cell>
          <cell r="N2771">
            <v>0</v>
          </cell>
          <cell r="O2771">
            <v>0</v>
          </cell>
        </row>
        <row r="2772">
          <cell r="A2772" t="str">
            <v>06</v>
          </cell>
          <cell r="B2772" t="str">
            <v>24</v>
          </cell>
          <cell r="C2772" t="str">
            <v>记-0069</v>
          </cell>
          <cell r="D2772" t="str">
            <v>217</v>
          </cell>
          <cell r="E2772" t="str">
            <v>黄芪</v>
          </cell>
          <cell r="F2772" t="str">
            <v>转成本</v>
          </cell>
          <cell r="G2772">
            <v>13.05</v>
          </cell>
          <cell r="H2772">
            <v>0</v>
          </cell>
          <cell r="I2772">
            <v>0</v>
          </cell>
          <cell r="J2772">
            <v>100000</v>
          </cell>
          <cell r="K2772">
            <v>1305000</v>
          </cell>
          <cell r="L2772" t="str">
            <v>贷</v>
          </cell>
          <cell r="M2772">
            <v>100000</v>
          </cell>
          <cell r="N2772">
            <v>0</v>
          </cell>
          <cell r="O2772">
            <v>1305000</v>
          </cell>
        </row>
        <row r="2773">
          <cell r="A2773" t="str">
            <v>06</v>
          </cell>
          <cell r="F2773" t="str">
            <v>本月合计</v>
          </cell>
          <cell r="G2773">
            <v>0</v>
          </cell>
          <cell r="H2773">
            <v>0</v>
          </cell>
          <cell r="I2773">
            <v>0</v>
          </cell>
          <cell r="J2773">
            <v>100000</v>
          </cell>
          <cell r="K2773">
            <v>1305000</v>
          </cell>
          <cell r="L2773" t="str">
            <v>贷</v>
          </cell>
          <cell r="M2773">
            <v>100000</v>
          </cell>
          <cell r="N2773">
            <v>13.05</v>
          </cell>
          <cell r="O2773">
            <v>1305000</v>
          </cell>
        </row>
        <row r="2774">
          <cell r="A2774" t="str">
            <v>06</v>
          </cell>
          <cell r="F2774" t="str">
            <v>累    计</v>
          </cell>
          <cell r="G2774">
            <v>0</v>
          </cell>
          <cell r="H2774">
            <v>0</v>
          </cell>
          <cell r="I2774">
            <v>0</v>
          </cell>
          <cell r="J2774">
            <v>100000</v>
          </cell>
          <cell r="K2774">
            <v>1305000</v>
          </cell>
          <cell r="L2774" t="str">
            <v>贷</v>
          </cell>
          <cell r="M2774">
            <v>100000</v>
          </cell>
          <cell r="N2774">
            <v>13.05</v>
          </cell>
          <cell r="O2774">
            <v>1305000</v>
          </cell>
        </row>
        <row r="2775">
          <cell r="A2775" t="str">
            <v>12</v>
          </cell>
          <cell r="B2775" t="str">
            <v>31</v>
          </cell>
          <cell r="C2775" t="str">
            <v>记-0172</v>
          </cell>
          <cell r="D2775" t="str">
            <v>217</v>
          </cell>
          <cell r="E2775" t="str">
            <v>黄芪</v>
          </cell>
          <cell r="F2775" t="str">
            <v>调整6月70号凭</v>
          </cell>
          <cell r="G2775">
            <v>13.05</v>
          </cell>
          <cell r="H2775">
            <v>100000</v>
          </cell>
          <cell r="I2775">
            <v>1305000</v>
          </cell>
          <cell r="J2775">
            <v>0</v>
          </cell>
          <cell r="K2775">
            <v>0</v>
          </cell>
          <cell r="L2775" t="str">
            <v>平</v>
          </cell>
          <cell r="M2775">
            <v>0</v>
          </cell>
          <cell r="N2775">
            <v>0</v>
          </cell>
          <cell r="O2775">
            <v>0</v>
          </cell>
        </row>
        <row r="2776">
          <cell r="A2776" t="str">
            <v>12</v>
          </cell>
          <cell r="F2776" t="str">
            <v>本月合计</v>
          </cell>
          <cell r="G2776">
            <v>0</v>
          </cell>
          <cell r="H2776">
            <v>100000</v>
          </cell>
          <cell r="I2776">
            <v>1305000</v>
          </cell>
          <cell r="J2776">
            <v>0</v>
          </cell>
          <cell r="K2776">
            <v>0</v>
          </cell>
          <cell r="L2776" t="str">
            <v>平</v>
          </cell>
          <cell r="M2776">
            <v>0</v>
          </cell>
          <cell r="N2776">
            <v>0</v>
          </cell>
          <cell r="O2776">
            <v>0</v>
          </cell>
        </row>
        <row r="2777">
          <cell r="A2777" t="str">
            <v>12</v>
          </cell>
          <cell r="E2777" t="str">
            <v>黄芪</v>
          </cell>
          <cell r="F2777" t="str">
            <v>本年累计</v>
          </cell>
          <cell r="G2777">
            <v>0</v>
          </cell>
          <cell r="H2777">
            <v>100000</v>
          </cell>
          <cell r="I2777">
            <v>1305000</v>
          </cell>
          <cell r="J2777">
            <v>100000</v>
          </cell>
          <cell r="K2777">
            <v>1305000</v>
          </cell>
          <cell r="L2777" t="str">
            <v>平</v>
          </cell>
          <cell r="M2777">
            <v>0</v>
          </cell>
          <cell r="N2777">
            <v>0</v>
          </cell>
          <cell r="O2777">
            <v>0</v>
          </cell>
        </row>
        <row r="2778">
          <cell r="A2778" t="str">
            <v>10</v>
          </cell>
          <cell r="B2778" t="str">
            <v>22</v>
          </cell>
          <cell r="C2778" t="str">
            <v>记-0022</v>
          </cell>
          <cell r="D2778" t="str">
            <v>218</v>
          </cell>
          <cell r="E2778" t="str">
            <v>党参</v>
          </cell>
          <cell r="F2778" t="str">
            <v>结转成本</v>
          </cell>
          <cell r="G2778">
            <v>59.400530000000003</v>
          </cell>
          <cell r="H2778">
            <v>0</v>
          </cell>
          <cell r="I2778">
            <v>0</v>
          </cell>
          <cell r="J2778">
            <v>57</v>
          </cell>
          <cell r="K2778">
            <v>3385.83</v>
          </cell>
          <cell r="L2778" t="str">
            <v>贷</v>
          </cell>
          <cell r="M2778">
            <v>57</v>
          </cell>
          <cell r="N2778">
            <v>0</v>
          </cell>
          <cell r="O2778">
            <v>3385.83</v>
          </cell>
        </row>
        <row r="2779">
          <cell r="A2779" t="str">
            <v>10</v>
          </cell>
          <cell r="B2779" t="str">
            <v>22</v>
          </cell>
          <cell r="C2779" t="str">
            <v>记-0032</v>
          </cell>
          <cell r="D2779" t="str">
            <v>218</v>
          </cell>
          <cell r="E2779" t="str">
            <v>党参</v>
          </cell>
          <cell r="F2779" t="str">
            <v>收购产品</v>
          </cell>
          <cell r="G2779">
            <v>59.400530000000003</v>
          </cell>
          <cell r="H2779">
            <v>57</v>
          </cell>
          <cell r="I2779">
            <v>3385.83</v>
          </cell>
          <cell r="J2779">
            <v>0</v>
          </cell>
          <cell r="K2779">
            <v>0</v>
          </cell>
          <cell r="L2779" t="str">
            <v>平</v>
          </cell>
          <cell r="M2779">
            <v>0</v>
          </cell>
          <cell r="N2779">
            <v>0</v>
          </cell>
          <cell r="O2779">
            <v>0</v>
          </cell>
        </row>
        <row r="2780">
          <cell r="A2780" t="str">
            <v>10</v>
          </cell>
          <cell r="F2780" t="str">
            <v>本月合计</v>
          </cell>
          <cell r="G2780">
            <v>0</v>
          </cell>
          <cell r="H2780">
            <v>57</v>
          </cell>
          <cell r="I2780">
            <v>3385.83</v>
          </cell>
          <cell r="J2780">
            <v>57</v>
          </cell>
          <cell r="K2780">
            <v>3385.83</v>
          </cell>
          <cell r="L2780" t="str">
            <v>平</v>
          </cell>
          <cell r="M2780">
            <v>0</v>
          </cell>
          <cell r="N2780">
            <v>0</v>
          </cell>
          <cell r="O2780">
            <v>0</v>
          </cell>
        </row>
        <row r="2781">
          <cell r="A2781" t="str">
            <v>10</v>
          </cell>
          <cell r="E2781" t="str">
            <v>党参</v>
          </cell>
          <cell r="F2781" t="str">
            <v>本年累计</v>
          </cell>
          <cell r="G2781">
            <v>0</v>
          </cell>
          <cell r="H2781">
            <v>57</v>
          </cell>
          <cell r="I2781">
            <v>3385.83</v>
          </cell>
          <cell r="J2781">
            <v>57</v>
          </cell>
          <cell r="K2781">
            <v>3385.83</v>
          </cell>
          <cell r="L2781" t="str">
            <v>平</v>
          </cell>
          <cell r="M2781">
            <v>0</v>
          </cell>
          <cell r="N2781">
            <v>0</v>
          </cell>
          <cell r="O2781">
            <v>0</v>
          </cell>
        </row>
        <row r="2782">
          <cell r="A2782" t="str">
            <v>09</v>
          </cell>
          <cell r="B2782" t="str">
            <v>22</v>
          </cell>
          <cell r="C2782" t="str">
            <v>记-0049</v>
          </cell>
          <cell r="D2782" t="str">
            <v>219</v>
          </cell>
          <cell r="E2782" t="str">
            <v>龙标宫燕盏</v>
          </cell>
          <cell r="F2782" t="str">
            <v>结转成本</v>
          </cell>
          <cell r="G2782">
            <v>64.216639999999998</v>
          </cell>
          <cell r="H2782">
            <v>0</v>
          </cell>
          <cell r="I2782">
            <v>0</v>
          </cell>
          <cell r="J2782">
            <v>560</v>
          </cell>
          <cell r="K2782">
            <v>35961.32</v>
          </cell>
          <cell r="L2782" t="str">
            <v>贷</v>
          </cell>
          <cell r="M2782">
            <v>560</v>
          </cell>
          <cell r="N2782">
            <v>0</v>
          </cell>
          <cell r="O2782">
            <v>35961.32</v>
          </cell>
        </row>
        <row r="2783">
          <cell r="A2783" t="str">
            <v>09</v>
          </cell>
          <cell r="B2783" t="str">
            <v>22</v>
          </cell>
          <cell r="C2783" t="str">
            <v>记-0050</v>
          </cell>
          <cell r="D2783" t="str">
            <v>219</v>
          </cell>
          <cell r="E2783" t="str">
            <v>龙标宫燕盏</v>
          </cell>
          <cell r="F2783" t="str">
            <v>结转成本</v>
          </cell>
          <cell r="G2783">
            <v>65.061599999999999</v>
          </cell>
          <cell r="H2783">
            <v>0</v>
          </cell>
          <cell r="I2783">
            <v>0</v>
          </cell>
          <cell r="J2783">
            <v>600</v>
          </cell>
          <cell r="K2783">
            <v>39036.959999999999</v>
          </cell>
          <cell r="L2783" t="str">
            <v>贷</v>
          </cell>
          <cell r="M2783">
            <v>1160</v>
          </cell>
          <cell r="N2783">
            <v>0</v>
          </cell>
          <cell r="O2783">
            <v>74998.28</v>
          </cell>
        </row>
        <row r="2784">
          <cell r="A2784" t="str">
            <v>09</v>
          </cell>
          <cell r="B2784" t="str">
            <v>22</v>
          </cell>
          <cell r="C2784" t="str">
            <v>记-0051</v>
          </cell>
          <cell r="D2784" t="str">
            <v>219</v>
          </cell>
          <cell r="E2784" t="str">
            <v>龙标宫燕盏</v>
          </cell>
          <cell r="F2784" t="str">
            <v>收购产品</v>
          </cell>
          <cell r="G2784">
            <v>65.061599999999999</v>
          </cell>
          <cell r="H2784">
            <v>600</v>
          </cell>
          <cell r="I2784">
            <v>39036.959999999999</v>
          </cell>
          <cell r="J2784">
            <v>0</v>
          </cell>
          <cell r="K2784">
            <v>0</v>
          </cell>
          <cell r="L2784" t="str">
            <v>贷</v>
          </cell>
          <cell r="M2784">
            <v>560</v>
          </cell>
          <cell r="N2784">
            <v>0</v>
          </cell>
          <cell r="O2784">
            <v>35961.32</v>
          </cell>
        </row>
        <row r="2785">
          <cell r="A2785" t="str">
            <v>09</v>
          </cell>
          <cell r="B2785" t="str">
            <v>22</v>
          </cell>
          <cell r="C2785" t="str">
            <v>记-0052</v>
          </cell>
          <cell r="D2785" t="str">
            <v>219</v>
          </cell>
          <cell r="E2785" t="str">
            <v>龙标宫燕盏</v>
          </cell>
          <cell r="F2785" t="str">
            <v>收购产品</v>
          </cell>
          <cell r="G2785">
            <v>64.216639999999998</v>
          </cell>
          <cell r="H2785">
            <v>560</v>
          </cell>
          <cell r="I2785">
            <v>35961.32</v>
          </cell>
          <cell r="J2785">
            <v>0</v>
          </cell>
          <cell r="K2785">
            <v>0</v>
          </cell>
          <cell r="L2785" t="str">
            <v>平</v>
          </cell>
          <cell r="M2785">
            <v>0</v>
          </cell>
          <cell r="N2785">
            <v>0</v>
          </cell>
          <cell r="O2785">
            <v>0</v>
          </cell>
        </row>
        <row r="2786">
          <cell r="A2786" t="str">
            <v>09</v>
          </cell>
          <cell r="F2786" t="str">
            <v>本月合计</v>
          </cell>
          <cell r="G2786">
            <v>0</v>
          </cell>
          <cell r="H2786">
            <v>1160</v>
          </cell>
          <cell r="I2786">
            <v>74998.28</v>
          </cell>
          <cell r="J2786">
            <v>1160</v>
          </cell>
          <cell r="K2786">
            <v>74998.28</v>
          </cell>
          <cell r="L2786" t="str">
            <v>平</v>
          </cell>
          <cell r="M2786">
            <v>0</v>
          </cell>
          <cell r="N2786">
            <v>0</v>
          </cell>
          <cell r="O2786">
            <v>0</v>
          </cell>
        </row>
        <row r="2787">
          <cell r="A2787" t="str">
            <v>09</v>
          </cell>
          <cell r="E2787" t="str">
            <v>龙标宫燕盏</v>
          </cell>
          <cell r="F2787" t="str">
            <v>本年累计</v>
          </cell>
          <cell r="G2787">
            <v>0</v>
          </cell>
          <cell r="H2787">
            <v>1160</v>
          </cell>
          <cell r="I2787">
            <v>74998.28</v>
          </cell>
          <cell r="J2787">
            <v>1160</v>
          </cell>
          <cell r="K2787">
            <v>74998.28</v>
          </cell>
          <cell r="L2787" t="str">
            <v>平</v>
          </cell>
          <cell r="M2787">
            <v>0</v>
          </cell>
          <cell r="N2787">
            <v>0</v>
          </cell>
          <cell r="O2787">
            <v>0</v>
          </cell>
        </row>
        <row r="2788">
          <cell r="A2788" t="str">
            <v>10</v>
          </cell>
          <cell r="B2788" t="str">
            <v>22</v>
          </cell>
          <cell r="C2788" t="str">
            <v>记-0023</v>
          </cell>
          <cell r="D2788" t="str">
            <v>220</v>
          </cell>
          <cell r="E2788" t="str">
            <v>鹿鞭</v>
          </cell>
          <cell r="F2788" t="str">
            <v>结转成本</v>
          </cell>
          <cell r="G2788">
            <v>3548.8139999999999</v>
          </cell>
          <cell r="H2788">
            <v>0</v>
          </cell>
          <cell r="I2788">
            <v>0</v>
          </cell>
          <cell r="J2788">
            <v>5</v>
          </cell>
          <cell r="K2788">
            <v>17744.07</v>
          </cell>
          <cell r="L2788" t="str">
            <v>贷</v>
          </cell>
          <cell r="M2788">
            <v>5</v>
          </cell>
          <cell r="N2788">
            <v>0</v>
          </cell>
          <cell r="O2788">
            <v>17744.07</v>
          </cell>
        </row>
        <row r="2789">
          <cell r="A2789" t="str">
            <v>10</v>
          </cell>
          <cell r="B2789" t="str">
            <v>22</v>
          </cell>
          <cell r="C2789" t="str">
            <v>记-0031</v>
          </cell>
          <cell r="D2789" t="str">
            <v>220</v>
          </cell>
          <cell r="E2789" t="str">
            <v>鹿鞭</v>
          </cell>
          <cell r="F2789" t="str">
            <v>收购产品</v>
          </cell>
          <cell r="G2789">
            <v>3548.8139999999999</v>
          </cell>
          <cell r="H2789">
            <v>5</v>
          </cell>
          <cell r="I2789">
            <v>17744.07</v>
          </cell>
          <cell r="J2789">
            <v>0</v>
          </cell>
          <cell r="K2789">
            <v>0</v>
          </cell>
          <cell r="L2789" t="str">
            <v>平</v>
          </cell>
          <cell r="M2789">
            <v>0</v>
          </cell>
          <cell r="N2789">
            <v>0</v>
          </cell>
          <cell r="O2789">
            <v>0</v>
          </cell>
        </row>
        <row r="2790">
          <cell r="A2790" t="str">
            <v>10</v>
          </cell>
          <cell r="F2790" t="str">
            <v>本月合计</v>
          </cell>
          <cell r="G2790">
            <v>0</v>
          </cell>
          <cell r="H2790">
            <v>5</v>
          </cell>
          <cell r="I2790">
            <v>17744.07</v>
          </cell>
          <cell r="J2790">
            <v>5</v>
          </cell>
          <cell r="K2790">
            <v>17744.07</v>
          </cell>
          <cell r="L2790" t="str">
            <v>平</v>
          </cell>
          <cell r="M2790">
            <v>0</v>
          </cell>
          <cell r="N2790">
            <v>0</v>
          </cell>
          <cell r="O2790">
            <v>0</v>
          </cell>
        </row>
        <row r="2791">
          <cell r="A2791" t="str">
            <v>10</v>
          </cell>
          <cell r="F2791" t="str">
            <v>累    计</v>
          </cell>
          <cell r="G2791">
            <v>0</v>
          </cell>
          <cell r="H2791">
            <v>5</v>
          </cell>
          <cell r="I2791">
            <v>17744.07</v>
          </cell>
          <cell r="J2791">
            <v>5</v>
          </cell>
          <cell r="K2791">
            <v>17744.07</v>
          </cell>
          <cell r="L2791" t="str">
            <v>平</v>
          </cell>
          <cell r="M2791">
            <v>0</v>
          </cell>
          <cell r="N2791">
            <v>0</v>
          </cell>
          <cell r="O2791">
            <v>0</v>
          </cell>
        </row>
        <row r="2792">
          <cell r="A2792" t="str">
            <v>12</v>
          </cell>
          <cell r="B2792" t="str">
            <v>11</v>
          </cell>
          <cell r="C2792" t="str">
            <v>记-0021</v>
          </cell>
          <cell r="D2792" t="str">
            <v>220</v>
          </cell>
          <cell r="E2792" t="str">
            <v>鹿鞭</v>
          </cell>
          <cell r="F2792" t="str">
            <v>收购产品</v>
          </cell>
          <cell r="G2792">
            <v>3548.8139999999999</v>
          </cell>
          <cell r="H2792">
            <v>5</v>
          </cell>
          <cell r="I2792">
            <v>17744.07</v>
          </cell>
          <cell r="J2792">
            <v>0</v>
          </cell>
          <cell r="K2792">
            <v>0</v>
          </cell>
          <cell r="L2792" t="str">
            <v>借</v>
          </cell>
          <cell r="M2792">
            <v>5</v>
          </cell>
          <cell r="N2792">
            <v>0</v>
          </cell>
          <cell r="O2792">
            <v>17744.07</v>
          </cell>
        </row>
        <row r="2793">
          <cell r="A2793" t="str">
            <v>12</v>
          </cell>
          <cell r="B2793" t="str">
            <v>11</v>
          </cell>
          <cell r="C2793" t="str">
            <v>记-0029</v>
          </cell>
          <cell r="D2793" t="str">
            <v>220</v>
          </cell>
          <cell r="E2793" t="str">
            <v>鹿鞭</v>
          </cell>
          <cell r="F2793" t="str">
            <v>结转成本</v>
          </cell>
          <cell r="G2793">
            <v>3548.8139999999999</v>
          </cell>
          <cell r="H2793">
            <v>0</v>
          </cell>
          <cell r="I2793">
            <v>0</v>
          </cell>
          <cell r="J2793">
            <v>5</v>
          </cell>
          <cell r="K2793">
            <v>17744.07</v>
          </cell>
          <cell r="L2793" t="str">
            <v>平</v>
          </cell>
          <cell r="M2793">
            <v>0</v>
          </cell>
          <cell r="N2793">
            <v>0</v>
          </cell>
          <cell r="O2793">
            <v>0</v>
          </cell>
        </row>
        <row r="2794">
          <cell r="A2794" t="str">
            <v>12</v>
          </cell>
          <cell r="F2794" t="str">
            <v>本月合计</v>
          </cell>
          <cell r="G2794">
            <v>0</v>
          </cell>
          <cell r="H2794">
            <v>5</v>
          </cell>
          <cell r="I2794">
            <v>17744.07</v>
          </cell>
          <cell r="J2794">
            <v>5</v>
          </cell>
          <cell r="K2794">
            <v>17744.07</v>
          </cell>
          <cell r="L2794" t="str">
            <v>平</v>
          </cell>
          <cell r="M2794">
            <v>0</v>
          </cell>
          <cell r="N2794">
            <v>0</v>
          </cell>
          <cell r="O2794">
            <v>0</v>
          </cell>
        </row>
        <row r="2795">
          <cell r="A2795" t="str">
            <v>12</v>
          </cell>
          <cell r="E2795" t="str">
            <v>鹿鞭</v>
          </cell>
          <cell r="F2795" t="str">
            <v>本年累计</v>
          </cell>
          <cell r="G2795">
            <v>0</v>
          </cell>
          <cell r="H2795">
            <v>10</v>
          </cell>
          <cell r="I2795">
            <v>35488.14</v>
          </cell>
          <cell r="J2795">
            <v>10</v>
          </cell>
          <cell r="K2795">
            <v>35488.14</v>
          </cell>
          <cell r="L2795" t="str">
            <v>平</v>
          </cell>
          <cell r="M2795">
            <v>0</v>
          </cell>
          <cell r="N2795">
            <v>0</v>
          </cell>
          <cell r="O2795">
            <v>0</v>
          </cell>
        </row>
        <row r="2796">
          <cell r="A2796" t="str">
            <v>11</v>
          </cell>
          <cell r="B2796" t="str">
            <v>18</v>
          </cell>
          <cell r="C2796" t="str">
            <v>记-0001</v>
          </cell>
          <cell r="D2796" t="str">
            <v>221</v>
          </cell>
          <cell r="E2796" t="str">
            <v>白燕丝盏</v>
          </cell>
          <cell r="F2796" t="str">
            <v>收购产品</v>
          </cell>
          <cell r="G2796">
            <v>5982.2865700000002</v>
          </cell>
          <cell r="H2796">
            <v>21.6</v>
          </cell>
          <cell r="I2796">
            <v>129217.39</v>
          </cell>
          <cell r="J2796">
            <v>0</v>
          </cell>
          <cell r="K2796">
            <v>0</v>
          </cell>
          <cell r="L2796" t="str">
            <v>借</v>
          </cell>
          <cell r="M2796">
            <v>21.6</v>
          </cell>
          <cell r="N2796">
            <v>0</v>
          </cell>
          <cell r="O2796">
            <v>129217.39</v>
          </cell>
        </row>
        <row r="2797">
          <cell r="A2797" t="str">
            <v>11</v>
          </cell>
          <cell r="B2797" t="str">
            <v>18</v>
          </cell>
          <cell r="C2797" t="str">
            <v>记-0004</v>
          </cell>
          <cell r="D2797" t="str">
            <v>221</v>
          </cell>
          <cell r="E2797" t="str">
            <v>白燕丝盏</v>
          </cell>
          <cell r="F2797" t="str">
            <v>结转成本</v>
          </cell>
          <cell r="G2797">
            <v>5982.2865700000002</v>
          </cell>
          <cell r="H2797">
            <v>0</v>
          </cell>
          <cell r="I2797">
            <v>0</v>
          </cell>
          <cell r="J2797">
            <v>-21.6</v>
          </cell>
          <cell r="K2797">
            <v>129217.39</v>
          </cell>
          <cell r="L2797" t="str">
            <v>平</v>
          </cell>
          <cell r="M2797">
            <v>43.2</v>
          </cell>
          <cell r="N2797">
            <v>0</v>
          </cell>
          <cell r="O2797">
            <v>0</v>
          </cell>
        </row>
        <row r="2798">
          <cell r="A2798" t="str">
            <v>11</v>
          </cell>
          <cell r="F2798" t="str">
            <v>本月合计</v>
          </cell>
          <cell r="G2798">
            <v>0</v>
          </cell>
          <cell r="H2798">
            <v>21.6</v>
          </cell>
          <cell r="I2798">
            <v>129217.39</v>
          </cell>
          <cell r="J2798">
            <v>-21.6</v>
          </cell>
          <cell r="K2798">
            <v>129217.39</v>
          </cell>
          <cell r="L2798" t="str">
            <v>平</v>
          </cell>
          <cell r="M2798">
            <v>43.2</v>
          </cell>
          <cell r="N2798">
            <v>0</v>
          </cell>
          <cell r="O2798">
            <v>0</v>
          </cell>
        </row>
        <row r="2799">
          <cell r="A2799" t="str">
            <v>11</v>
          </cell>
          <cell r="E2799" t="str">
            <v>白燕丝盏</v>
          </cell>
          <cell r="F2799" t="str">
            <v>本年累计</v>
          </cell>
          <cell r="G2799">
            <v>0</v>
          </cell>
          <cell r="H2799">
            <v>21.6</v>
          </cell>
          <cell r="I2799">
            <v>129217.39</v>
          </cell>
          <cell r="J2799">
            <v>-21.6</v>
          </cell>
          <cell r="K2799">
            <v>129217.39</v>
          </cell>
          <cell r="L2799" t="str">
            <v>平</v>
          </cell>
          <cell r="M2799">
            <v>43.2</v>
          </cell>
          <cell r="N2799">
            <v>0</v>
          </cell>
          <cell r="O2799">
            <v>0</v>
          </cell>
        </row>
        <row r="2800">
          <cell r="A2800" t="str">
            <v>11</v>
          </cell>
          <cell r="B2800" t="str">
            <v>18</v>
          </cell>
          <cell r="C2800" t="str">
            <v>记-0001</v>
          </cell>
          <cell r="D2800" t="str">
            <v>222</v>
          </cell>
          <cell r="E2800" t="str">
            <v>糖心鲍</v>
          </cell>
          <cell r="F2800" t="str">
            <v>收购产品</v>
          </cell>
          <cell r="G2800">
            <v>2873.5508300000001</v>
          </cell>
          <cell r="H2800">
            <v>12</v>
          </cell>
          <cell r="I2800">
            <v>34482.61</v>
          </cell>
          <cell r="J2800">
            <v>0</v>
          </cell>
          <cell r="K2800">
            <v>0</v>
          </cell>
          <cell r="L2800" t="str">
            <v>借</v>
          </cell>
          <cell r="M2800">
            <v>12</v>
          </cell>
          <cell r="N2800">
            <v>0</v>
          </cell>
          <cell r="O2800">
            <v>34482.61</v>
          </cell>
        </row>
        <row r="2801">
          <cell r="A2801" t="str">
            <v>11</v>
          </cell>
          <cell r="B2801" t="str">
            <v>18</v>
          </cell>
          <cell r="C2801" t="str">
            <v>记-0004</v>
          </cell>
          <cell r="D2801" t="str">
            <v>222</v>
          </cell>
          <cell r="E2801" t="str">
            <v>糖心鲍</v>
          </cell>
          <cell r="F2801" t="str">
            <v>结转成本</v>
          </cell>
          <cell r="G2801">
            <v>2873.5508300000001</v>
          </cell>
          <cell r="H2801">
            <v>0</v>
          </cell>
          <cell r="I2801">
            <v>0</v>
          </cell>
          <cell r="J2801">
            <v>12</v>
          </cell>
          <cell r="K2801">
            <v>34482.61</v>
          </cell>
          <cell r="L2801" t="str">
            <v>平</v>
          </cell>
          <cell r="M2801">
            <v>0</v>
          </cell>
          <cell r="N2801">
            <v>0</v>
          </cell>
          <cell r="O2801">
            <v>0</v>
          </cell>
        </row>
        <row r="2802">
          <cell r="A2802" t="str">
            <v>11</v>
          </cell>
          <cell r="F2802" t="str">
            <v>本月合计</v>
          </cell>
          <cell r="G2802">
            <v>0</v>
          </cell>
          <cell r="H2802">
            <v>12</v>
          </cell>
          <cell r="I2802">
            <v>34482.61</v>
          </cell>
          <cell r="J2802">
            <v>12</v>
          </cell>
          <cell r="K2802">
            <v>34482.61</v>
          </cell>
          <cell r="L2802" t="str">
            <v>平</v>
          </cell>
          <cell r="M2802">
            <v>0</v>
          </cell>
          <cell r="N2802">
            <v>0</v>
          </cell>
          <cell r="O2802">
            <v>0</v>
          </cell>
        </row>
        <row r="2803">
          <cell r="A2803" t="str">
            <v>11</v>
          </cell>
          <cell r="E2803" t="str">
            <v>糖心鲍</v>
          </cell>
          <cell r="F2803" t="str">
            <v>本年累计</v>
          </cell>
          <cell r="G2803">
            <v>0</v>
          </cell>
          <cell r="H2803">
            <v>12</v>
          </cell>
          <cell r="I2803">
            <v>34482.61</v>
          </cell>
          <cell r="J2803">
            <v>12</v>
          </cell>
          <cell r="K2803">
            <v>34482.61</v>
          </cell>
          <cell r="L2803" t="str">
            <v>平</v>
          </cell>
          <cell r="M2803">
            <v>0</v>
          </cell>
          <cell r="N2803">
            <v>0</v>
          </cell>
          <cell r="O2803">
            <v>0</v>
          </cell>
        </row>
        <row r="2804">
          <cell r="A2804" t="str">
            <v>11</v>
          </cell>
          <cell r="B2804" t="str">
            <v>18</v>
          </cell>
          <cell r="C2804" t="str">
            <v>记-0001</v>
          </cell>
          <cell r="D2804" t="str">
            <v>223</v>
          </cell>
          <cell r="E2804" t="str">
            <v>6-10头大明鲍</v>
          </cell>
          <cell r="F2804" t="str">
            <v>收购产品</v>
          </cell>
          <cell r="G2804">
            <v>2114.2233299999998</v>
          </cell>
          <cell r="H2804">
            <v>12</v>
          </cell>
          <cell r="I2804">
            <v>25370.68</v>
          </cell>
          <cell r="J2804">
            <v>0</v>
          </cell>
          <cell r="K2804">
            <v>0</v>
          </cell>
          <cell r="L2804" t="str">
            <v>借</v>
          </cell>
          <cell r="M2804">
            <v>12</v>
          </cell>
          <cell r="N2804">
            <v>0</v>
          </cell>
          <cell r="O2804">
            <v>25370.68</v>
          </cell>
        </row>
        <row r="2805">
          <cell r="A2805" t="str">
            <v>11</v>
          </cell>
          <cell r="B2805" t="str">
            <v>18</v>
          </cell>
          <cell r="C2805" t="str">
            <v>记-0004</v>
          </cell>
          <cell r="D2805" t="str">
            <v>223</v>
          </cell>
          <cell r="E2805" t="str">
            <v>6-10头大明鲍</v>
          </cell>
          <cell r="F2805" t="str">
            <v>结转成本</v>
          </cell>
          <cell r="G2805">
            <v>2114.2233299999998</v>
          </cell>
          <cell r="H2805">
            <v>0</v>
          </cell>
          <cell r="I2805">
            <v>0</v>
          </cell>
          <cell r="J2805">
            <v>12</v>
          </cell>
          <cell r="K2805">
            <v>25370.68</v>
          </cell>
          <cell r="L2805" t="str">
            <v>平</v>
          </cell>
          <cell r="M2805">
            <v>0</v>
          </cell>
          <cell r="N2805">
            <v>0</v>
          </cell>
          <cell r="O2805">
            <v>0</v>
          </cell>
        </row>
        <row r="2806">
          <cell r="A2806" t="str">
            <v>11</v>
          </cell>
          <cell r="F2806" t="str">
            <v>本月合计</v>
          </cell>
          <cell r="G2806">
            <v>0</v>
          </cell>
          <cell r="H2806">
            <v>12</v>
          </cell>
          <cell r="I2806">
            <v>25370.68</v>
          </cell>
          <cell r="J2806">
            <v>12</v>
          </cell>
          <cell r="K2806">
            <v>25370.68</v>
          </cell>
          <cell r="L2806" t="str">
            <v>平</v>
          </cell>
          <cell r="M2806">
            <v>0</v>
          </cell>
          <cell r="N2806">
            <v>0</v>
          </cell>
          <cell r="O2806">
            <v>0</v>
          </cell>
        </row>
        <row r="2807">
          <cell r="A2807" t="str">
            <v>11</v>
          </cell>
          <cell r="E2807" t="str">
            <v>6-10头大明鲍</v>
          </cell>
          <cell r="F2807" t="str">
            <v>本年累计</v>
          </cell>
          <cell r="G2807">
            <v>0</v>
          </cell>
          <cell r="H2807">
            <v>12</v>
          </cell>
          <cell r="I2807">
            <v>25370.68</v>
          </cell>
          <cell r="J2807">
            <v>12</v>
          </cell>
          <cell r="K2807">
            <v>25370.68</v>
          </cell>
          <cell r="L2807" t="str">
            <v>平</v>
          </cell>
          <cell r="M2807">
            <v>0</v>
          </cell>
          <cell r="N2807">
            <v>0</v>
          </cell>
          <cell r="O2807">
            <v>0</v>
          </cell>
        </row>
        <row r="2808">
          <cell r="A2808" t="str">
            <v>11</v>
          </cell>
          <cell r="B2808" t="str">
            <v>30</v>
          </cell>
          <cell r="C2808" t="str">
            <v>记-0034</v>
          </cell>
          <cell r="D2808" t="str">
            <v>230</v>
          </cell>
          <cell r="E2808" t="str">
            <v>鹿角胶</v>
          </cell>
          <cell r="F2808" t="str">
            <v>收购产品</v>
          </cell>
          <cell r="G2808">
            <v>79.087999999999994</v>
          </cell>
          <cell r="H2808">
            <v>20</v>
          </cell>
          <cell r="I2808">
            <v>1581.76</v>
          </cell>
          <cell r="J2808">
            <v>0</v>
          </cell>
          <cell r="K2808">
            <v>0</v>
          </cell>
          <cell r="L2808" t="str">
            <v>借</v>
          </cell>
          <cell r="M2808">
            <v>20</v>
          </cell>
          <cell r="N2808">
            <v>0</v>
          </cell>
          <cell r="O2808">
            <v>1581.76</v>
          </cell>
        </row>
        <row r="2809">
          <cell r="A2809" t="str">
            <v>11</v>
          </cell>
          <cell r="B2809" t="str">
            <v>30</v>
          </cell>
          <cell r="C2809" t="str">
            <v>记-0037</v>
          </cell>
          <cell r="D2809" t="str">
            <v>230</v>
          </cell>
          <cell r="E2809" t="str">
            <v>鹿角胶</v>
          </cell>
          <cell r="F2809" t="str">
            <v>结转成本</v>
          </cell>
          <cell r="G2809">
            <v>79.087999999999994</v>
          </cell>
          <cell r="H2809">
            <v>0</v>
          </cell>
          <cell r="I2809">
            <v>0</v>
          </cell>
          <cell r="J2809">
            <v>20</v>
          </cell>
          <cell r="K2809">
            <v>1581.76</v>
          </cell>
          <cell r="L2809" t="str">
            <v>平</v>
          </cell>
          <cell r="M2809">
            <v>0</v>
          </cell>
          <cell r="N2809">
            <v>0</v>
          </cell>
          <cell r="O2809">
            <v>0</v>
          </cell>
        </row>
        <row r="2810">
          <cell r="A2810" t="str">
            <v>11</v>
          </cell>
          <cell r="F2810" t="str">
            <v>本月合计</v>
          </cell>
          <cell r="G2810">
            <v>0</v>
          </cell>
          <cell r="H2810">
            <v>20</v>
          </cell>
          <cell r="I2810">
            <v>1581.76</v>
          </cell>
          <cell r="J2810">
            <v>20</v>
          </cell>
          <cell r="K2810">
            <v>1581.76</v>
          </cell>
          <cell r="L2810" t="str">
            <v>平</v>
          </cell>
          <cell r="M2810">
            <v>0</v>
          </cell>
          <cell r="N2810">
            <v>0</v>
          </cell>
          <cell r="O2810">
            <v>0</v>
          </cell>
        </row>
        <row r="2811">
          <cell r="A2811" t="str">
            <v>11</v>
          </cell>
          <cell r="E2811" t="str">
            <v>鹿角胶</v>
          </cell>
          <cell r="F2811" t="str">
            <v>本年累计</v>
          </cell>
          <cell r="G2811">
            <v>0</v>
          </cell>
          <cell r="H2811">
            <v>20</v>
          </cell>
          <cell r="I2811">
            <v>1581.76</v>
          </cell>
          <cell r="J2811">
            <v>20</v>
          </cell>
          <cell r="K2811">
            <v>1581.76</v>
          </cell>
          <cell r="L2811" t="str">
            <v>平</v>
          </cell>
          <cell r="M2811">
            <v>0</v>
          </cell>
          <cell r="N2811">
            <v>0</v>
          </cell>
          <cell r="O2811">
            <v>0</v>
          </cell>
        </row>
        <row r="2812">
          <cell r="A2812" t="str">
            <v>11</v>
          </cell>
          <cell r="B2812" t="str">
            <v>30</v>
          </cell>
          <cell r="C2812" t="str">
            <v>记-0034</v>
          </cell>
          <cell r="D2812" t="str">
            <v>231</v>
          </cell>
          <cell r="E2812" t="str">
            <v>鹿角霜</v>
          </cell>
          <cell r="F2812" t="str">
            <v>收购产品</v>
          </cell>
          <cell r="G2812">
            <v>71.061000000000007</v>
          </cell>
          <cell r="H2812">
            <v>20</v>
          </cell>
          <cell r="I2812">
            <v>1421.22</v>
          </cell>
          <cell r="J2812">
            <v>0</v>
          </cell>
          <cell r="K2812">
            <v>0</v>
          </cell>
          <cell r="L2812" t="str">
            <v>借</v>
          </cell>
          <cell r="M2812">
            <v>20</v>
          </cell>
          <cell r="N2812">
            <v>0</v>
          </cell>
          <cell r="O2812">
            <v>1421.22</v>
          </cell>
        </row>
        <row r="2813">
          <cell r="A2813" t="str">
            <v>11</v>
          </cell>
          <cell r="B2813" t="str">
            <v>30</v>
          </cell>
          <cell r="C2813" t="str">
            <v>记-0037</v>
          </cell>
          <cell r="D2813" t="str">
            <v>231</v>
          </cell>
          <cell r="E2813" t="str">
            <v>鹿角霜</v>
          </cell>
          <cell r="F2813" t="str">
            <v>结转成本</v>
          </cell>
          <cell r="G2813">
            <v>71.061000000000007</v>
          </cell>
          <cell r="H2813">
            <v>0</v>
          </cell>
          <cell r="I2813">
            <v>0</v>
          </cell>
          <cell r="J2813">
            <v>20</v>
          </cell>
          <cell r="K2813">
            <v>1421.22</v>
          </cell>
          <cell r="L2813" t="str">
            <v>平</v>
          </cell>
          <cell r="M2813">
            <v>0</v>
          </cell>
          <cell r="N2813">
            <v>0</v>
          </cell>
          <cell r="O2813">
            <v>0</v>
          </cell>
        </row>
        <row r="2814">
          <cell r="A2814" t="str">
            <v>11</v>
          </cell>
          <cell r="F2814" t="str">
            <v>本月合计</v>
          </cell>
          <cell r="G2814">
            <v>0</v>
          </cell>
          <cell r="H2814">
            <v>20</v>
          </cell>
          <cell r="I2814">
            <v>1421.22</v>
          </cell>
          <cell r="J2814">
            <v>20</v>
          </cell>
          <cell r="K2814">
            <v>1421.22</v>
          </cell>
          <cell r="L2814" t="str">
            <v>平</v>
          </cell>
          <cell r="M2814">
            <v>0</v>
          </cell>
          <cell r="N2814">
            <v>0</v>
          </cell>
          <cell r="O2814">
            <v>0</v>
          </cell>
        </row>
        <row r="2815">
          <cell r="A2815" t="str">
            <v>11</v>
          </cell>
          <cell r="E2815" t="str">
            <v>鹿角霜</v>
          </cell>
          <cell r="F2815" t="str">
            <v>本年累计</v>
          </cell>
          <cell r="G2815">
            <v>0</v>
          </cell>
          <cell r="H2815">
            <v>20</v>
          </cell>
          <cell r="I2815">
            <v>1421.22</v>
          </cell>
          <cell r="J2815">
            <v>20</v>
          </cell>
          <cell r="K2815">
            <v>1421.22</v>
          </cell>
          <cell r="L2815" t="str">
            <v>平</v>
          </cell>
          <cell r="M2815">
            <v>0</v>
          </cell>
          <cell r="N2815">
            <v>0</v>
          </cell>
          <cell r="O2815">
            <v>0</v>
          </cell>
        </row>
        <row r="2816">
          <cell r="A2816" t="str">
            <v>11</v>
          </cell>
          <cell r="B2816" t="str">
            <v>30</v>
          </cell>
          <cell r="C2816" t="str">
            <v>记-0034</v>
          </cell>
          <cell r="D2816" t="str">
            <v>232</v>
          </cell>
          <cell r="E2816" t="str">
            <v>鹿茸片</v>
          </cell>
          <cell r="F2816" t="str">
            <v>收购产品</v>
          </cell>
          <cell r="G2816">
            <v>522.43600000000004</v>
          </cell>
          <cell r="H2816">
            <v>10</v>
          </cell>
          <cell r="I2816">
            <v>5224.3599999999997</v>
          </cell>
          <cell r="J2816">
            <v>0</v>
          </cell>
          <cell r="K2816">
            <v>0</v>
          </cell>
          <cell r="L2816" t="str">
            <v>借</v>
          </cell>
          <cell r="M2816">
            <v>10</v>
          </cell>
          <cell r="N2816">
            <v>0</v>
          </cell>
          <cell r="O2816">
            <v>5224.3599999999997</v>
          </cell>
        </row>
        <row r="2817">
          <cell r="A2817" t="str">
            <v>11</v>
          </cell>
          <cell r="B2817" t="str">
            <v>30</v>
          </cell>
          <cell r="C2817" t="str">
            <v>记-0037</v>
          </cell>
          <cell r="D2817" t="str">
            <v>232</v>
          </cell>
          <cell r="E2817" t="str">
            <v>鹿茸片</v>
          </cell>
          <cell r="F2817" t="str">
            <v>结转成本</v>
          </cell>
          <cell r="G2817">
            <v>522.43600000000004</v>
          </cell>
          <cell r="H2817">
            <v>0</v>
          </cell>
          <cell r="I2817">
            <v>0</v>
          </cell>
          <cell r="J2817">
            <v>10</v>
          </cell>
          <cell r="K2817">
            <v>5224.3599999999997</v>
          </cell>
          <cell r="L2817" t="str">
            <v>平</v>
          </cell>
          <cell r="M2817">
            <v>0</v>
          </cell>
          <cell r="N2817">
            <v>0</v>
          </cell>
          <cell r="O2817">
            <v>0</v>
          </cell>
        </row>
        <row r="2818">
          <cell r="A2818" t="str">
            <v>11</v>
          </cell>
          <cell r="F2818" t="str">
            <v>本月合计</v>
          </cell>
          <cell r="G2818">
            <v>0</v>
          </cell>
          <cell r="H2818">
            <v>10</v>
          </cell>
          <cell r="I2818">
            <v>5224.3599999999997</v>
          </cell>
          <cell r="J2818">
            <v>10</v>
          </cell>
          <cell r="K2818">
            <v>5224.3599999999997</v>
          </cell>
          <cell r="L2818" t="str">
            <v>平</v>
          </cell>
          <cell r="M2818">
            <v>0</v>
          </cell>
          <cell r="N2818">
            <v>0</v>
          </cell>
          <cell r="O2818">
            <v>0</v>
          </cell>
        </row>
        <row r="2819">
          <cell r="A2819" t="str">
            <v>11</v>
          </cell>
          <cell r="E2819" t="str">
            <v>鹿茸片</v>
          </cell>
          <cell r="F2819" t="str">
            <v>本年累计</v>
          </cell>
          <cell r="G2819">
            <v>0</v>
          </cell>
          <cell r="H2819">
            <v>10</v>
          </cell>
          <cell r="I2819">
            <v>5224.3599999999997</v>
          </cell>
          <cell r="J2819">
            <v>10</v>
          </cell>
          <cell r="K2819">
            <v>5224.3599999999997</v>
          </cell>
          <cell r="L2819" t="str">
            <v>平</v>
          </cell>
          <cell r="M2819">
            <v>0</v>
          </cell>
          <cell r="N2819">
            <v>0</v>
          </cell>
          <cell r="O2819">
            <v>0</v>
          </cell>
        </row>
        <row r="2820">
          <cell r="A2820" t="str">
            <v>11</v>
          </cell>
          <cell r="B2820" t="str">
            <v>30</v>
          </cell>
          <cell r="C2820" t="str">
            <v>记-0034</v>
          </cell>
          <cell r="D2820" t="str">
            <v>233</v>
          </cell>
          <cell r="E2820" t="str">
            <v>二等扎参须</v>
          </cell>
          <cell r="F2820" t="str">
            <v>收购产品</v>
          </cell>
          <cell r="G2820">
            <v>62.865000000000002</v>
          </cell>
          <cell r="H2820">
            <v>12</v>
          </cell>
          <cell r="I2820">
            <v>754.38</v>
          </cell>
          <cell r="J2820">
            <v>0</v>
          </cell>
          <cell r="K2820">
            <v>0</v>
          </cell>
          <cell r="L2820" t="str">
            <v>借</v>
          </cell>
          <cell r="M2820">
            <v>12</v>
          </cell>
          <cell r="N2820">
            <v>0</v>
          </cell>
          <cell r="O2820">
            <v>754.38</v>
          </cell>
        </row>
        <row r="2821">
          <cell r="A2821" t="str">
            <v>11</v>
          </cell>
          <cell r="B2821" t="str">
            <v>30</v>
          </cell>
          <cell r="C2821" t="str">
            <v>记-0034</v>
          </cell>
          <cell r="D2821" t="str">
            <v>233</v>
          </cell>
          <cell r="E2821" t="str">
            <v>二等扎参须</v>
          </cell>
          <cell r="F2821" t="str">
            <v>收购产品</v>
          </cell>
          <cell r="G2821">
            <v>63.371600000000001</v>
          </cell>
          <cell r="H2821">
            <v>25</v>
          </cell>
          <cell r="I2821">
            <v>1584.29</v>
          </cell>
          <cell r="J2821">
            <v>0</v>
          </cell>
          <cell r="K2821">
            <v>0</v>
          </cell>
          <cell r="L2821" t="str">
            <v>借</v>
          </cell>
          <cell r="M2821">
            <v>37</v>
          </cell>
          <cell r="N2821">
            <v>0</v>
          </cell>
          <cell r="O2821">
            <v>2338.67</v>
          </cell>
        </row>
        <row r="2822">
          <cell r="A2822" t="str">
            <v>11</v>
          </cell>
          <cell r="B2822" t="str">
            <v>30</v>
          </cell>
          <cell r="C2822" t="str">
            <v>记-0037</v>
          </cell>
          <cell r="D2822" t="str">
            <v>233</v>
          </cell>
          <cell r="E2822" t="str">
            <v>二等扎参须</v>
          </cell>
          <cell r="F2822" t="str">
            <v>结转成本</v>
          </cell>
          <cell r="G2822">
            <v>63.371600000000001</v>
          </cell>
          <cell r="H2822">
            <v>0</v>
          </cell>
          <cell r="I2822">
            <v>0</v>
          </cell>
          <cell r="J2822">
            <v>25</v>
          </cell>
          <cell r="K2822">
            <v>1584.29</v>
          </cell>
          <cell r="L2822" t="str">
            <v>借</v>
          </cell>
          <cell r="M2822">
            <v>12</v>
          </cell>
          <cell r="N2822">
            <v>0</v>
          </cell>
          <cell r="O2822">
            <v>754.38</v>
          </cell>
        </row>
        <row r="2823">
          <cell r="A2823" t="str">
            <v>11</v>
          </cell>
          <cell r="B2823" t="str">
            <v>30</v>
          </cell>
          <cell r="C2823" t="str">
            <v>记-0037</v>
          </cell>
          <cell r="D2823" t="str">
            <v>233</v>
          </cell>
          <cell r="E2823" t="str">
            <v>二等扎参须</v>
          </cell>
          <cell r="F2823" t="str">
            <v>结转成本</v>
          </cell>
          <cell r="G2823">
            <v>62.865000000000002</v>
          </cell>
          <cell r="H2823">
            <v>0</v>
          </cell>
          <cell r="I2823">
            <v>0</v>
          </cell>
          <cell r="J2823">
            <v>12</v>
          </cell>
          <cell r="K2823">
            <v>754.38</v>
          </cell>
          <cell r="L2823" t="str">
            <v>平</v>
          </cell>
          <cell r="M2823">
            <v>0</v>
          </cell>
          <cell r="N2823">
            <v>0</v>
          </cell>
          <cell r="O2823">
            <v>0</v>
          </cell>
        </row>
        <row r="2824">
          <cell r="A2824" t="str">
            <v>11</v>
          </cell>
          <cell r="F2824" t="str">
            <v>本月合计</v>
          </cell>
          <cell r="G2824">
            <v>0</v>
          </cell>
          <cell r="H2824">
            <v>37</v>
          </cell>
          <cell r="I2824">
            <v>2338.67</v>
          </cell>
          <cell r="J2824">
            <v>37</v>
          </cell>
          <cell r="K2824">
            <v>2338.67</v>
          </cell>
          <cell r="L2824" t="str">
            <v>平</v>
          </cell>
          <cell r="M2824">
            <v>0</v>
          </cell>
          <cell r="N2824">
            <v>0</v>
          </cell>
          <cell r="O2824">
            <v>0</v>
          </cell>
        </row>
        <row r="2825">
          <cell r="A2825" t="str">
            <v>11</v>
          </cell>
          <cell r="E2825" t="str">
            <v>二等扎参须</v>
          </cell>
          <cell r="F2825" t="str">
            <v>本年累计</v>
          </cell>
          <cell r="G2825">
            <v>0</v>
          </cell>
          <cell r="H2825">
            <v>37</v>
          </cell>
          <cell r="I2825">
            <v>2338.67</v>
          </cell>
          <cell r="J2825">
            <v>37</v>
          </cell>
          <cell r="K2825">
            <v>2338.67</v>
          </cell>
          <cell r="L2825" t="str">
            <v>平</v>
          </cell>
          <cell r="M2825">
            <v>0</v>
          </cell>
          <cell r="N2825">
            <v>0</v>
          </cell>
          <cell r="O2825">
            <v>0</v>
          </cell>
        </row>
        <row r="2826">
          <cell r="A2826" t="str">
            <v>11</v>
          </cell>
          <cell r="B2826" t="str">
            <v>30</v>
          </cell>
          <cell r="C2826" t="str">
            <v>记-0034</v>
          </cell>
          <cell r="D2826" t="str">
            <v>234</v>
          </cell>
          <cell r="E2826" t="str">
            <v>罗汉果</v>
          </cell>
          <cell r="F2826" t="str">
            <v>收购产品</v>
          </cell>
          <cell r="G2826">
            <v>68.272499999999994</v>
          </cell>
          <cell r="H2826">
            <v>20</v>
          </cell>
          <cell r="I2826">
            <v>1365.45</v>
          </cell>
          <cell r="J2826">
            <v>0</v>
          </cell>
          <cell r="K2826">
            <v>0</v>
          </cell>
          <cell r="L2826" t="str">
            <v>借</v>
          </cell>
          <cell r="M2826">
            <v>20</v>
          </cell>
          <cell r="N2826">
            <v>0</v>
          </cell>
          <cell r="O2826">
            <v>1365.45</v>
          </cell>
        </row>
        <row r="2827">
          <cell r="A2827" t="str">
            <v>11</v>
          </cell>
          <cell r="B2827" t="str">
            <v>30</v>
          </cell>
          <cell r="C2827" t="str">
            <v>记-0037</v>
          </cell>
          <cell r="D2827" t="str">
            <v>234</v>
          </cell>
          <cell r="E2827" t="str">
            <v>罗汉果</v>
          </cell>
          <cell r="F2827" t="str">
            <v>结转成本</v>
          </cell>
          <cell r="G2827">
            <v>68.272499999999994</v>
          </cell>
          <cell r="H2827">
            <v>0</v>
          </cell>
          <cell r="I2827">
            <v>0</v>
          </cell>
          <cell r="J2827">
            <v>20</v>
          </cell>
          <cell r="K2827">
            <v>1365.45</v>
          </cell>
          <cell r="L2827" t="str">
            <v>平</v>
          </cell>
          <cell r="M2827">
            <v>0</v>
          </cell>
          <cell r="N2827">
            <v>0</v>
          </cell>
          <cell r="O2827">
            <v>0</v>
          </cell>
        </row>
        <row r="2828">
          <cell r="A2828" t="str">
            <v>11</v>
          </cell>
          <cell r="F2828" t="str">
            <v>本月合计</v>
          </cell>
          <cell r="G2828">
            <v>0</v>
          </cell>
          <cell r="H2828">
            <v>20</v>
          </cell>
          <cell r="I2828">
            <v>1365.45</v>
          </cell>
          <cell r="J2828">
            <v>20</v>
          </cell>
          <cell r="K2828">
            <v>1365.45</v>
          </cell>
          <cell r="L2828" t="str">
            <v>平</v>
          </cell>
          <cell r="M2828">
            <v>0</v>
          </cell>
          <cell r="N2828">
            <v>0</v>
          </cell>
          <cell r="O2828">
            <v>0</v>
          </cell>
        </row>
        <row r="2829">
          <cell r="A2829" t="str">
            <v>11</v>
          </cell>
          <cell r="E2829" t="str">
            <v>罗汉果</v>
          </cell>
          <cell r="F2829" t="str">
            <v>本年累计</v>
          </cell>
          <cell r="G2829">
            <v>0</v>
          </cell>
          <cell r="H2829">
            <v>20</v>
          </cell>
          <cell r="I2829">
            <v>1365.45</v>
          </cell>
          <cell r="J2829">
            <v>20</v>
          </cell>
          <cell r="K2829">
            <v>1365.45</v>
          </cell>
          <cell r="L2829" t="str">
            <v>平</v>
          </cell>
          <cell r="M2829">
            <v>0</v>
          </cell>
          <cell r="N2829">
            <v>0</v>
          </cell>
          <cell r="O2829">
            <v>0</v>
          </cell>
        </row>
        <row r="2830">
          <cell r="A2830" t="str">
            <v>11</v>
          </cell>
          <cell r="B2830" t="str">
            <v>30</v>
          </cell>
          <cell r="C2830" t="str">
            <v>记-0034</v>
          </cell>
          <cell r="D2830" t="str">
            <v>235</v>
          </cell>
          <cell r="E2830" t="str">
            <v>桔梗</v>
          </cell>
          <cell r="F2830" t="str">
            <v>收购产品</v>
          </cell>
          <cell r="G2830">
            <v>20.701499999999999</v>
          </cell>
          <cell r="H2830">
            <v>20</v>
          </cell>
          <cell r="I2830">
            <v>414.03</v>
          </cell>
          <cell r="J2830">
            <v>0</v>
          </cell>
          <cell r="K2830">
            <v>0</v>
          </cell>
          <cell r="L2830" t="str">
            <v>借</v>
          </cell>
          <cell r="M2830">
            <v>20</v>
          </cell>
          <cell r="N2830">
            <v>0</v>
          </cell>
          <cell r="O2830">
            <v>414.03</v>
          </cell>
        </row>
        <row r="2831">
          <cell r="A2831" t="str">
            <v>11</v>
          </cell>
          <cell r="B2831" t="str">
            <v>30</v>
          </cell>
          <cell r="C2831" t="str">
            <v>记-0037</v>
          </cell>
          <cell r="D2831" t="str">
            <v>235</v>
          </cell>
          <cell r="E2831" t="str">
            <v>桔梗</v>
          </cell>
          <cell r="F2831" t="str">
            <v>结转成本</v>
          </cell>
          <cell r="G2831">
            <v>20.701499999999999</v>
          </cell>
          <cell r="H2831">
            <v>0</v>
          </cell>
          <cell r="I2831">
            <v>0</v>
          </cell>
          <cell r="J2831">
            <v>20</v>
          </cell>
          <cell r="K2831">
            <v>414.03</v>
          </cell>
          <cell r="L2831" t="str">
            <v>平</v>
          </cell>
          <cell r="M2831">
            <v>0</v>
          </cell>
          <cell r="N2831">
            <v>0</v>
          </cell>
          <cell r="O2831">
            <v>0</v>
          </cell>
        </row>
        <row r="2832">
          <cell r="A2832" t="str">
            <v>11</v>
          </cell>
          <cell r="F2832" t="str">
            <v>本月合计</v>
          </cell>
          <cell r="G2832">
            <v>0</v>
          </cell>
          <cell r="H2832">
            <v>20</v>
          </cell>
          <cell r="I2832">
            <v>414.03</v>
          </cell>
          <cell r="J2832">
            <v>20</v>
          </cell>
          <cell r="K2832">
            <v>414.03</v>
          </cell>
          <cell r="L2832" t="str">
            <v>平</v>
          </cell>
          <cell r="M2832">
            <v>0</v>
          </cell>
          <cell r="N2832">
            <v>0</v>
          </cell>
          <cell r="O2832">
            <v>0</v>
          </cell>
        </row>
        <row r="2833">
          <cell r="A2833" t="str">
            <v>11</v>
          </cell>
          <cell r="E2833" t="str">
            <v>桔梗</v>
          </cell>
          <cell r="F2833" t="str">
            <v>本年累计</v>
          </cell>
          <cell r="G2833">
            <v>0</v>
          </cell>
          <cell r="H2833">
            <v>20</v>
          </cell>
          <cell r="I2833">
            <v>414.03</v>
          </cell>
          <cell r="J2833">
            <v>20</v>
          </cell>
          <cell r="K2833">
            <v>414.03</v>
          </cell>
          <cell r="L2833" t="str">
            <v>平</v>
          </cell>
          <cell r="M2833">
            <v>0</v>
          </cell>
          <cell r="N2833">
            <v>0</v>
          </cell>
          <cell r="O2833">
            <v>0</v>
          </cell>
        </row>
        <row r="2834">
          <cell r="A2834" t="str">
            <v>11</v>
          </cell>
          <cell r="B2834" t="str">
            <v>30</v>
          </cell>
          <cell r="C2834" t="str">
            <v>记-0034</v>
          </cell>
          <cell r="D2834" t="str">
            <v>236</v>
          </cell>
          <cell r="E2834" t="str">
            <v>西青果</v>
          </cell>
          <cell r="F2834" t="str">
            <v>收购产品</v>
          </cell>
          <cell r="G2834">
            <v>28.7285</v>
          </cell>
          <cell r="H2834">
            <v>20</v>
          </cell>
          <cell r="I2834">
            <v>574.57000000000005</v>
          </cell>
          <cell r="J2834">
            <v>0</v>
          </cell>
          <cell r="K2834">
            <v>0</v>
          </cell>
          <cell r="L2834" t="str">
            <v>借</v>
          </cell>
          <cell r="M2834">
            <v>20</v>
          </cell>
          <cell r="N2834">
            <v>0</v>
          </cell>
          <cell r="O2834">
            <v>574.57000000000005</v>
          </cell>
        </row>
        <row r="2835">
          <cell r="A2835" t="str">
            <v>11</v>
          </cell>
          <cell r="B2835" t="str">
            <v>30</v>
          </cell>
          <cell r="C2835" t="str">
            <v>记-0037</v>
          </cell>
          <cell r="D2835" t="str">
            <v>236</v>
          </cell>
          <cell r="E2835" t="str">
            <v>西青果</v>
          </cell>
          <cell r="F2835" t="str">
            <v>结转成本</v>
          </cell>
          <cell r="G2835">
            <v>28.7285</v>
          </cell>
          <cell r="H2835">
            <v>0</v>
          </cell>
          <cell r="I2835">
            <v>0</v>
          </cell>
          <cell r="J2835">
            <v>20</v>
          </cell>
          <cell r="K2835">
            <v>574.57000000000005</v>
          </cell>
          <cell r="L2835" t="str">
            <v>平</v>
          </cell>
          <cell r="M2835">
            <v>0</v>
          </cell>
          <cell r="N2835">
            <v>0</v>
          </cell>
          <cell r="O2835">
            <v>0</v>
          </cell>
        </row>
        <row r="2836">
          <cell r="A2836" t="str">
            <v>11</v>
          </cell>
          <cell r="F2836" t="str">
            <v>本月合计</v>
          </cell>
          <cell r="G2836">
            <v>0</v>
          </cell>
          <cell r="H2836">
            <v>20</v>
          </cell>
          <cell r="I2836">
            <v>574.57000000000005</v>
          </cell>
          <cell r="J2836">
            <v>20</v>
          </cell>
          <cell r="K2836">
            <v>574.57000000000005</v>
          </cell>
          <cell r="L2836" t="str">
            <v>平</v>
          </cell>
          <cell r="M2836">
            <v>0</v>
          </cell>
          <cell r="N2836">
            <v>0</v>
          </cell>
          <cell r="O2836">
            <v>0</v>
          </cell>
        </row>
        <row r="2837">
          <cell r="A2837" t="str">
            <v>11</v>
          </cell>
          <cell r="E2837" t="str">
            <v>西青果</v>
          </cell>
          <cell r="F2837" t="str">
            <v>本年累计</v>
          </cell>
          <cell r="G2837">
            <v>0</v>
          </cell>
          <cell r="H2837">
            <v>20</v>
          </cell>
          <cell r="I2837">
            <v>574.57000000000005</v>
          </cell>
          <cell r="J2837">
            <v>20</v>
          </cell>
          <cell r="K2837">
            <v>574.57000000000005</v>
          </cell>
          <cell r="L2837" t="str">
            <v>平</v>
          </cell>
          <cell r="M2837">
            <v>0</v>
          </cell>
          <cell r="N2837">
            <v>0</v>
          </cell>
          <cell r="O2837">
            <v>0</v>
          </cell>
        </row>
        <row r="2838">
          <cell r="A2838" t="str">
            <v>11</v>
          </cell>
          <cell r="B2838" t="str">
            <v>30</v>
          </cell>
          <cell r="C2838" t="str">
            <v>记-0034</v>
          </cell>
          <cell r="D2838" t="str">
            <v>237</v>
          </cell>
          <cell r="E2838" t="str">
            <v>板兰根</v>
          </cell>
          <cell r="F2838" t="str">
            <v>收购产品</v>
          </cell>
          <cell r="G2838">
            <v>10.8155</v>
          </cell>
          <cell r="H2838">
            <v>20</v>
          </cell>
          <cell r="I2838">
            <v>216.31</v>
          </cell>
          <cell r="J2838">
            <v>0</v>
          </cell>
          <cell r="K2838">
            <v>0</v>
          </cell>
          <cell r="L2838" t="str">
            <v>借</v>
          </cell>
          <cell r="M2838">
            <v>20</v>
          </cell>
          <cell r="N2838">
            <v>0</v>
          </cell>
          <cell r="O2838">
            <v>216.31</v>
          </cell>
        </row>
        <row r="2839">
          <cell r="A2839" t="str">
            <v>11</v>
          </cell>
          <cell r="B2839" t="str">
            <v>30</v>
          </cell>
          <cell r="C2839" t="str">
            <v>记-0037</v>
          </cell>
          <cell r="D2839" t="str">
            <v>237</v>
          </cell>
          <cell r="E2839" t="str">
            <v>板兰根</v>
          </cell>
          <cell r="F2839" t="str">
            <v>结转成本</v>
          </cell>
          <cell r="G2839">
            <v>10.8155</v>
          </cell>
          <cell r="H2839">
            <v>0</v>
          </cell>
          <cell r="I2839">
            <v>0</v>
          </cell>
          <cell r="J2839">
            <v>20</v>
          </cell>
          <cell r="K2839">
            <v>216.31</v>
          </cell>
          <cell r="L2839" t="str">
            <v>平</v>
          </cell>
          <cell r="M2839">
            <v>0</v>
          </cell>
          <cell r="N2839">
            <v>0</v>
          </cell>
          <cell r="O2839">
            <v>0</v>
          </cell>
        </row>
        <row r="2840">
          <cell r="A2840" t="str">
            <v>11</v>
          </cell>
          <cell r="F2840" t="str">
            <v>本月合计</v>
          </cell>
          <cell r="G2840">
            <v>0</v>
          </cell>
          <cell r="H2840">
            <v>20</v>
          </cell>
          <cell r="I2840">
            <v>216.31</v>
          </cell>
          <cell r="J2840">
            <v>20</v>
          </cell>
          <cell r="K2840">
            <v>216.31</v>
          </cell>
          <cell r="L2840" t="str">
            <v>平</v>
          </cell>
          <cell r="M2840">
            <v>0</v>
          </cell>
          <cell r="N2840">
            <v>0</v>
          </cell>
          <cell r="O2840">
            <v>0</v>
          </cell>
        </row>
        <row r="2841">
          <cell r="A2841" t="str">
            <v>11</v>
          </cell>
          <cell r="E2841" t="str">
            <v>板兰根</v>
          </cell>
          <cell r="F2841" t="str">
            <v>本年累计</v>
          </cell>
          <cell r="G2841">
            <v>0</v>
          </cell>
          <cell r="H2841">
            <v>20</v>
          </cell>
          <cell r="I2841">
            <v>216.31</v>
          </cell>
          <cell r="J2841">
            <v>20</v>
          </cell>
          <cell r="K2841">
            <v>216.31</v>
          </cell>
          <cell r="L2841" t="str">
            <v>平</v>
          </cell>
          <cell r="M2841">
            <v>0</v>
          </cell>
          <cell r="N2841">
            <v>0</v>
          </cell>
          <cell r="O2841">
            <v>0</v>
          </cell>
        </row>
        <row r="2842">
          <cell r="A2842" t="str">
            <v>11</v>
          </cell>
          <cell r="B2842" t="str">
            <v>30</v>
          </cell>
          <cell r="C2842" t="str">
            <v>记-0034</v>
          </cell>
          <cell r="D2842" t="str">
            <v>238</v>
          </cell>
          <cell r="E2842" t="str">
            <v>白干参须</v>
          </cell>
          <cell r="F2842" t="str">
            <v>收购产品</v>
          </cell>
          <cell r="G2842">
            <v>62.949219999999997</v>
          </cell>
          <cell r="H2842">
            <v>77</v>
          </cell>
          <cell r="I2842">
            <v>4847.09</v>
          </cell>
          <cell r="J2842">
            <v>0</v>
          </cell>
          <cell r="K2842">
            <v>0</v>
          </cell>
          <cell r="L2842" t="str">
            <v>借</v>
          </cell>
          <cell r="M2842">
            <v>77</v>
          </cell>
          <cell r="N2842">
            <v>0</v>
          </cell>
          <cell r="O2842">
            <v>4847.09</v>
          </cell>
        </row>
        <row r="2843">
          <cell r="A2843" t="str">
            <v>11</v>
          </cell>
          <cell r="B2843" t="str">
            <v>30</v>
          </cell>
          <cell r="C2843" t="str">
            <v>记-0037</v>
          </cell>
          <cell r="D2843" t="str">
            <v>238</v>
          </cell>
          <cell r="E2843" t="str">
            <v>白干参须</v>
          </cell>
          <cell r="F2843" t="str">
            <v>结转成本</v>
          </cell>
          <cell r="G2843">
            <v>62.949219999999997</v>
          </cell>
          <cell r="H2843">
            <v>0</v>
          </cell>
          <cell r="I2843">
            <v>0</v>
          </cell>
          <cell r="J2843">
            <v>77</v>
          </cell>
          <cell r="K2843">
            <v>4847.09</v>
          </cell>
          <cell r="L2843" t="str">
            <v>平</v>
          </cell>
          <cell r="M2843">
            <v>0</v>
          </cell>
          <cell r="N2843">
            <v>0</v>
          </cell>
          <cell r="O2843">
            <v>0</v>
          </cell>
        </row>
        <row r="2844">
          <cell r="A2844" t="str">
            <v>11</v>
          </cell>
          <cell r="F2844" t="str">
            <v>本月合计</v>
          </cell>
          <cell r="G2844">
            <v>0</v>
          </cell>
          <cell r="H2844">
            <v>77</v>
          </cell>
          <cell r="I2844">
            <v>4847.09</v>
          </cell>
          <cell r="J2844">
            <v>77</v>
          </cell>
          <cell r="K2844">
            <v>4847.09</v>
          </cell>
          <cell r="L2844" t="str">
            <v>平</v>
          </cell>
          <cell r="M2844">
            <v>0</v>
          </cell>
          <cell r="N2844">
            <v>0</v>
          </cell>
          <cell r="O2844">
            <v>0</v>
          </cell>
        </row>
        <row r="2845">
          <cell r="A2845" t="str">
            <v>11</v>
          </cell>
          <cell r="E2845" t="str">
            <v>白干参须</v>
          </cell>
          <cell r="F2845" t="str">
            <v>本年累计</v>
          </cell>
          <cell r="G2845">
            <v>0</v>
          </cell>
          <cell r="H2845">
            <v>77</v>
          </cell>
          <cell r="I2845">
            <v>4847.09</v>
          </cell>
          <cell r="J2845">
            <v>77</v>
          </cell>
          <cell r="K2845">
            <v>4847.09</v>
          </cell>
          <cell r="L2845" t="str">
            <v>平</v>
          </cell>
          <cell r="M2845">
            <v>0</v>
          </cell>
          <cell r="N2845">
            <v>0</v>
          </cell>
          <cell r="O2845">
            <v>0</v>
          </cell>
        </row>
        <row r="2846">
          <cell r="A2846" t="str">
            <v>11</v>
          </cell>
          <cell r="B2846" t="str">
            <v>30</v>
          </cell>
          <cell r="C2846" t="str">
            <v>记-0034</v>
          </cell>
          <cell r="D2846" t="str">
            <v>239</v>
          </cell>
          <cell r="E2846" t="str">
            <v>诃子</v>
          </cell>
          <cell r="F2846" t="str">
            <v>收购产品</v>
          </cell>
          <cell r="G2846">
            <v>4.5629999999999997</v>
          </cell>
          <cell r="H2846">
            <v>20</v>
          </cell>
          <cell r="I2846">
            <v>91.26</v>
          </cell>
          <cell r="J2846">
            <v>0</v>
          </cell>
          <cell r="K2846">
            <v>0</v>
          </cell>
          <cell r="L2846" t="str">
            <v>借</v>
          </cell>
          <cell r="M2846">
            <v>20</v>
          </cell>
          <cell r="N2846">
            <v>0</v>
          </cell>
          <cell r="O2846">
            <v>91.26</v>
          </cell>
        </row>
        <row r="2847">
          <cell r="A2847" t="str">
            <v>11</v>
          </cell>
          <cell r="B2847" t="str">
            <v>30</v>
          </cell>
          <cell r="C2847" t="str">
            <v>记-0037</v>
          </cell>
          <cell r="D2847" t="str">
            <v>239</v>
          </cell>
          <cell r="E2847" t="str">
            <v>诃子</v>
          </cell>
          <cell r="F2847" t="str">
            <v>结转成本</v>
          </cell>
          <cell r="G2847">
            <v>4.5629999999999997</v>
          </cell>
          <cell r="H2847">
            <v>0</v>
          </cell>
          <cell r="I2847">
            <v>0</v>
          </cell>
          <cell r="J2847">
            <v>20</v>
          </cell>
          <cell r="K2847">
            <v>91.26</v>
          </cell>
          <cell r="L2847" t="str">
            <v>平</v>
          </cell>
          <cell r="M2847">
            <v>0</v>
          </cell>
          <cell r="N2847">
            <v>0</v>
          </cell>
          <cell r="O2847">
            <v>0</v>
          </cell>
        </row>
        <row r="2848">
          <cell r="A2848" t="str">
            <v>11</v>
          </cell>
          <cell r="F2848" t="str">
            <v>本月合计</v>
          </cell>
          <cell r="G2848">
            <v>0</v>
          </cell>
          <cell r="H2848">
            <v>20</v>
          </cell>
          <cell r="I2848">
            <v>91.26</v>
          </cell>
          <cell r="J2848">
            <v>20</v>
          </cell>
          <cell r="K2848">
            <v>91.26</v>
          </cell>
          <cell r="L2848" t="str">
            <v>平</v>
          </cell>
          <cell r="M2848">
            <v>0</v>
          </cell>
          <cell r="N2848">
            <v>0</v>
          </cell>
          <cell r="O2848">
            <v>0</v>
          </cell>
        </row>
        <row r="2849">
          <cell r="A2849" t="str">
            <v>11</v>
          </cell>
          <cell r="E2849" t="str">
            <v>诃子</v>
          </cell>
          <cell r="F2849" t="str">
            <v>本年累计</v>
          </cell>
          <cell r="G2849">
            <v>0</v>
          </cell>
          <cell r="H2849">
            <v>20</v>
          </cell>
          <cell r="I2849">
            <v>91.26</v>
          </cell>
          <cell r="J2849">
            <v>20</v>
          </cell>
          <cell r="K2849">
            <v>91.26</v>
          </cell>
          <cell r="L2849" t="str">
            <v>平</v>
          </cell>
          <cell r="M2849">
            <v>0</v>
          </cell>
          <cell r="N2849">
            <v>0</v>
          </cell>
          <cell r="O2849">
            <v>0</v>
          </cell>
        </row>
        <row r="2850">
          <cell r="A2850" t="str">
            <v>11</v>
          </cell>
          <cell r="B2850" t="str">
            <v>30</v>
          </cell>
          <cell r="C2850" t="str">
            <v>记-0034</v>
          </cell>
          <cell r="D2850" t="str">
            <v>240</v>
          </cell>
          <cell r="E2850" t="str">
            <v>胖大海</v>
          </cell>
          <cell r="F2850" t="str">
            <v>收购产品</v>
          </cell>
          <cell r="G2850">
            <v>16.223330000000001</v>
          </cell>
          <cell r="H2850">
            <v>12</v>
          </cell>
          <cell r="I2850">
            <v>194.68</v>
          </cell>
          <cell r="J2850">
            <v>0</v>
          </cell>
          <cell r="K2850">
            <v>0</v>
          </cell>
          <cell r="L2850" t="str">
            <v>借</v>
          </cell>
          <cell r="M2850">
            <v>12</v>
          </cell>
          <cell r="N2850">
            <v>0</v>
          </cell>
          <cell r="O2850">
            <v>194.68</v>
          </cell>
        </row>
        <row r="2851">
          <cell r="A2851" t="str">
            <v>11</v>
          </cell>
          <cell r="B2851" t="str">
            <v>30</v>
          </cell>
          <cell r="C2851" t="str">
            <v>记-0037</v>
          </cell>
          <cell r="D2851" t="str">
            <v>240</v>
          </cell>
          <cell r="E2851" t="str">
            <v>胖大海</v>
          </cell>
          <cell r="F2851" t="str">
            <v>结转成本</v>
          </cell>
          <cell r="G2851">
            <v>16.223330000000001</v>
          </cell>
          <cell r="H2851">
            <v>0</v>
          </cell>
          <cell r="I2851">
            <v>0</v>
          </cell>
          <cell r="J2851">
            <v>12</v>
          </cell>
          <cell r="K2851">
            <v>194.68</v>
          </cell>
          <cell r="L2851" t="str">
            <v>平</v>
          </cell>
          <cell r="M2851">
            <v>0</v>
          </cell>
          <cell r="N2851">
            <v>0</v>
          </cell>
          <cell r="O2851">
            <v>0</v>
          </cell>
        </row>
        <row r="2852">
          <cell r="A2852" t="str">
            <v>11</v>
          </cell>
          <cell r="F2852" t="str">
            <v>本月合计</v>
          </cell>
          <cell r="G2852">
            <v>0</v>
          </cell>
          <cell r="H2852">
            <v>12</v>
          </cell>
          <cell r="I2852">
            <v>194.68</v>
          </cell>
          <cell r="J2852">
            <v>12</v>
          </cell>
          <cell r="K2852">
            <v>194.68</v>
          </cell>
          <cell r="L2852" t="str">
            <v>平</v>
          </cell>
          <cell r="M2852">
            <v>0</v>
          </cell>
          <cell r="N2852">
            <v>0</v>
          </cell>
          <cell r="O2852">
            <v>0</v>
          </cell>
        </row>
        <row r="2853">
          <cell r="A2853" t="str">
            <v>11</v>
          </cell>
          <cell r="E2853" t="str">
            <v>胖大海</v>
          </cell>
          <cell r="F2853" t="str">
            <v>本年累计</v>
          </cell>
          <cell r="G2853">
            <v>0</v>
          </cell>
          <cell r="H2853">
            <v>12</v>
          </cell>
          <cell r="I2853">
            <v>194.68</v>
          </cell>
          <cell r="J2853">
            <v>12</v>
          </cell>
          <cell r="K2853">
            <v>194.68</v>
          </cell>
          <cell r="L2853" t="str">
            <v>平</v>
          </cell>
          <cell r="M2853">
            <v>0</v>
          </cell>
          <cell r="N2853">
            <v>0</v>
          </cell>
          <cell r="O2853">
            <v>0</v>
          </cell>
        </row>
        <row r="2854">
          <cell r="A2854" t="str">
            <v>11</v>
          </cell>
          <cell r="B2854" t="str">
            <v>30</v>
          </cell>
          <cell r="C2854" t="str">
            <v>记-0079</v>
          </cell>
          <cell r="D2854" t="str">
            <v>241</v>
          </cell>
          <cell r="E2854" t="str">
            <v>甘草粉</v>
          </cell>
          <cell r="F2854" t="str">
            <v>合并名称</v>
          </cell>
          <cell r="G2854">
            <v>13.27333</v>
          </cell>
          <cell r="H2854">
            <v>-15</v>
          </cell>
          <cell r="I2854">
            <v>-199.1</v>
          </cell>
          <cell r="J2854">
            <v>0</v>
          </cell>
          <cell r="K2854">
            <v>0</v>
          </cell>
          <cell r="L2854" t="str">
            <v>贷</v>
          </cell>
          <cell r="M2854">
            <v>15</v>
          </cell>
          <cell r="N2854">
            <v>0</v>
          </cell>
          <cell r="O2854">
            <v>199.1</v>
          </cell>
        </row>
        <row r="2855">
          <cell r="A2855" t="str">
            <v>11</v>
          </cell>
          <cell r="B2855" t="str">
            <v>30</v>
          </cell>
          <cell r="C2855" t="str">
            <v>记-0080</v>
          </cell>
          <cell r="D2855" t="str">
            <v>241</v>
          </cell>
          <cell r="E2855" t="str">
            <v>甘草粉</v>
          </cell>
          <cell r="F2855" t="str">
            <v>合并名称</v>
          </cell>
          <cell r="G2855">
            <v>27.138500000000001</v>
          </cell>
          <cell r="H2855">
            <v>-120</v>
          </cell>
          <cell r="I2855">
            <v>-3256.62</v>
          </cell>
          <cell r="J2855">
            <v>0</v>
          </cell>
          <cell r="K2855">
            <v>0</v>
          </cell>
          <cell r="L2855" t="str">
            <v>贷</v>
          </cell>
          <cell r="M2855">
            <v>135</v>
          </cell>
          <cell r="N2855">
            <v>0</v>
          </cell>
          <cell r="O2855">
            <v>3455.72</v>
          </cell>
        </row>
        <row r="2856">
          <cell r="A2856" t="str">
            <v>11</v>
          </cell>
          <cell r="B2856" t="str">
            <v>30</v>
          </cell>
          <cell r="C2856" t="str">
            <v>记-0081</v>
          </cell>
          <cell r="D2856" t="str">
            <v>241</v>
          </cell>
          <cell r="E2856" t="str">
            <v>甘草粉</v>
          </cell>
          <cell r="F2856" t="str">
            <v>合并名称</v>
          </cell>
          <cell r="G2856">
            <v>7.1944999999999997</v>
          </cell>
          <cell r="H2856">
            <v>-20</v>
          </cell>
          <cell r="I2856">
            <v>-143.88999999999999</v>
          </cell>
          <cell r="J2856">
            <v>0</v>
          </cell>
          <cell r="K2856">
            <v>0</v>
          </cell>
          <cell r="L2856" t="str">
            <v>贷</v>
          </cell>
          <cell r="M2856">
            <v>155</v>
          </cell>
          <cell r="N2856">
            <v>0</v>
          </cell>
          <cell r="O2856">
            <v>3599.61</v>
          </cell>
        </row>
        <row r="2857">
          <cell r="A2857" t="str">
            <v>11</v>
          </cell>
          <cell r="B2857" t="str">
            <v>30</v>
          </cell>
          <cell r="C2857" t="str">
            <v>记-0082</v>
          </cell>
          <cell r="D2857" t="str">
            <v>241</v>
          </cell>
          <cell r="E2857" t="str">
            <v>甘草粉</v>
          </cell>
          <cell r="F2857" t="str">
            <v>合并名称</v>
          </cell>
          <cell r="G2857">
            <v>7.0796999999999999</v>
          </cell>
          <cell r="H2857">
            <v>200</v>
          </cell>
          <cell r="I2857">
            <v>1415.94</v>
          </cell>
          <cell r="J2857">
            <v>0</v>
          </cell>
          <cell r="K2857">
            <v>0</v>
          </cell>
          <cell r="L2857" t="str">
            <v>贷</v>
          </cell>
          <cell r="M2857">
            <v>-45</v>
          </cell>
          <cell r="N2857">
            <v>0</v>
          </cell>
          <cell r="O2857">
            <v>2183.67</v>
          </cell>
        </row>
        <row r="2858">
          <cell r="A2858" t="str">
            <v>11</v>
          </cell>
          <cell r="B2858" t="str">
            <v>30</v>
          </cell>
          <cell r="C2858" t="str">
            <v>记-0083</v>
          </cell>
          <cell r="D2858" t="str">
            <v>241</v>
          </cell>
          <cell r="E2858" t="str">
            <v>甘草粉</v>
          </cell>
          <cell r="F2858" t="str">
            <v>合并名称</v>
          </cell>
          <cell r="G2858">
            <v>6.1947000000000001</v>
          </cell>
          <cell r="H2858">
            <v>460</v>
          </cell>
          <cell r="I2858">
            <v>2849.56</v>
          </cell>
          <cell r="J2858">
            <v>0</v>
          </cell>
          <cell r="K2858">
            <v>0</v>
          </cell>
          <cell r="L2858" t="str">
            <v>借</v>
          </cell>
          <cell r="M2858">
            <v>505</v>
          </cell>
          <cell r="N2858">
            <v>0</v>
          </cell>
          <cell r="O2858">
            <v>665.89</v>
          </cell>
        </row>
        <row r="2859">
          <cell r="A2859" t="str">
            <v>11</v>
          </cell>
          <cell r="B2859" t="str">
            <v>30</v>
          </cell>
          <cell r="C2859" t="str">
            <v>记-0084</v>
          </cell>
          <cell r="D2859" t="str">
            <v>241</v>
          </cell>
          <cell r="E2859" t="str">
            <v>甘草粉</v>
          </cell>
          <cell r="F2859" t="str">
            <v>合并名称</v>
          </cell>
          <cell r="G2859">
            <v>6.1946700000000003</v>
          </cell>
          <cell r="H2859">
            <v>60</v>
          </cell>
          <cell r="I2859">
            <v>371.68</v>
          </cell>
          <cell r="J2859">
            <v>0</v>
          </cell>
          <cell r="K2859">
            <v>0</v>
          </cell>
          <cell r="L2859" t="str">
            <v>借</v>
          </cell>
          <cell r="M2859">
            <v>565</v>
          </cell>
          <cell r="N2859">
            <v>0</v>
          </cell>
          <cell r="O2859">
            <v>1037.57</v>
          </cell>
        </row>
        <row r="2860">
          <cell r="A2860" t="str">
            <v>11</v>
          </cell>
          <cell r="F2860" t="str">
            <v>本月合计</v>
          </cell>
          <cell r="G2860">
            <v>0</v>
          </cell>
          <cell r="H2860">
            <v>565</v>
          </cell>
          <cell r="I2860">
            <v>1037.57</v>
          </cell>
          <cell r="J2860">
            <v>0</v>
          </cell>
          <cell r="K2860">
            <v>0</v>
          </cell>
          <cell r="L2860" t="str">
            <v>借</v>
          </cell>
          <cell r="M2860">
            <v>565</v>
          </cell>
          <cell r="N2860">
            <v>1.8364100000000001</v>
          </cell>
          <cell r="O2860">
            <v>1037.57</v>
          </cell>
        </row>
        <row r="2861">
          <cell r="A2861" t="str">
            <v>11</v>
          </cell>
          <cell r="F2861" t="str">
            <v>累    计</v>
          </cell>
          <cell r="G2861">
            <v>0</v>
          </cell>
          <cell r="H2861">
            <v>565</v>
          </cell>
          <cell r="I2861">
            <v>1037.57</v>
          </cell>
          <cell r="J2861">
            <v>0</v>
          </cell>
          <cell r="K2861">
            <v>0</v>
          </cell>
          <cell r="L2861" t="str">
            <v>借</v>
          </cell>
          <cell r="M2861">
            <v>565</v>
          </cell>
          <cell r="N2861">
            <v>1.8364100000000001</v>
          </cell>
          <cell r="O2861">
            <v>1037.57</v>
          </cell>
        </row>
        <row r="2862">
          <cell r="A2862" t="str">
            <v>12</v>
          </cell>
          <cell r="B2862" t="str">
            <v>11</v>
          </cell>
          <cell r="C2862" t="str">
            <v>记-0007</v>
          </cell>
          <cell r="D2862" t="str">
            <v>241</v>
          </cell>
          <cell r="E2862" t="str">
            <v>甘草粉</v>
          </cell>
          <cell r="F2862" t="str">
            <v>调整84号凭证</v>
          </cell>
          <cell r="G2862">
            <v>0</v>
          </cell>
          <cell r="H2862">
            <v>0</v>
          </cell>
          <cell r="I2862">
            <v>-371.68</v>
          </cell>
          <cell r="J2862">
            <v>0</v>
          </cell>
          <cell r="K2862">
            <v>0</v>
          </cell>
          <cell r="L2862" t="str">
            <v>借</v>
          </cell>
          <cell r="M2862">
            <v>565</v>
          </cell>
          <cell r="N2862">
            <v>0</v>
          </cell>
          <cell r="O2862">
            <v>665.89</v>
          </cell>
        </row>
        <row r="2863">
          <cell r="A2863" t="str">
            <v>12</v>
          </cell>
          <cell r="B2863" t="str">
            <v>11</v>
          </cell>
          <cell r="C2863" t="str">
            <v>记-0007</v>
          </cell>
          <cell r="D2863" t="str">
            <v>241</v>
          </cell>
          <cell r="E2863" t="str">
            <v>甘草粉</v>
          </cell>
          <cell r="F2863" t="str">
            <v>更正</v>
          </cell>
          <cell r="G2863">
            <v>0</v>
          </cell>
          <cell r="H2863">
            <v>0</v>
          </cell>
          <cell r="I2863">
            <v>371.68</v>
          </cell>
          <cell r="J2863">
            <v>0</v>
          </cell>
          <cell r="K2863">
            <v>0</v>
          </cell>
          <cell r="L2863" t="str">
            <v>借</v>
          </cell>
          <cell r="M2863">
            <v>565</v>
          </cell>
          <cell r="N2863">
            <v>0</v>
          </cell>
          <cell r="O2863">
            <v>1037.57</v>
          </cell>
        </row>
        <row r="2864">
          <cell r="A2864" t="str">
            <v>12</v>
          </cell>
          <cell r="F2864" t="str">
            <v>本月合计</v>
          </cell>
          <cell r="G2864">
            <v>0</v>
          </cell>
          <cell r="H2864">
            <v>0</v>
          </cell>
          <cell r="I2864">
            <v>0</v>
          </cell>
          <cell r="J2864">
            <v>0</v>
          </cell>
          <cell r="K2864">
            <v>0</v>
          </cell>
          <cell r="L2864" t="str">
            <v>借</v>
          </cell>
          <cell r="M2864">
            <v>565</v>
          </cell>
          <cell r="N2864">
            <v>1.8364100000000001</v>
          </cell>
          <cell r="O2864">
            <v>1037.57</v>
          </cell>
        </row>
        <row r="2865">
          <cell r="A2865" t="str">
            <v>12</v>
          </cell>
          <cell r="E2865" t="str">
            <v>甘草粉</v>
          </cell>
          <cell r="F2865" t="str">
            <v>本年累计</v>
          </cell>
          <cell r="G2865">
            <v>0</v>
          </cell>
          <cell r="H2865">
            <v>565</v>
          </cell>
          <cell r="I2865">
            <v>1037.57</v>
          </cell>
          <cell r="J2865">
            <v>0</v>
          </cell>
          <cell r="K2865">
            <v>0</v>
          </cell>
          <cell r="L2865" t="str">
            <v>借</v>
          </cell>
          <cell r="M2865">
            <v>565</v>
          </cell>
          <cell r="N2865">
            <v>1.8364100000000001</v>
          </cell>
          <cell r="O2865">
            <v>1037.57</v>
          </cell>
        </row>
        <row r="2866">
          <cell r="A2866" t="str">
            <v>11</v>
          </cell>
          <cell r="B2866" t="str">
            <v>30</v>
          </cell>
          <cell r="C2866" t="str">
            <v>记-0094</v>
          </cell>
          <cell r="D2866" t="str">
            <v>242</v>
          </cell>
          <cell r="E2866" t="str">
            <v>商标甲草</v>
          </cell>
          <cell r="F2866" t="str">
            <v>调整9月40号凭</v>
          </cell>
          <cell r="G2866">
            <v>33.619979999999998</v>
          </cell>
          <cell r="H2866">
            <v>0</v>
          </cell>
          <cell r="I2866">
            <v>0</v>
          </cell>
          <cell r="J2866">
            <v>95.6</v>
          </cell>
          <cell r="K2866">
            <v>3214.07</v>
          </cell>
          <cell r="L2866" t="str">
            <v>贷</v>
          </cell>
          <cell r="M2866">
            <v>95.6</v>
          </cell>
          <cell r="N2866">
            <v>0</v>
          </cell>
          <cell r="O2866">
            <v>3214.07</v>
          </cell>
        </row>
        <row r="2867">
          <cell r="A2867" t="str">
            <v>11</v>
          </cell>
          <cell r="F2867" t="str">
            <v>本月合计</v>
          </cell>
          <cell r="G2867">
            <v>0</v>
          </cell>
          <cell r="H2867">
            <v>0</v>
          </cell>
          <cell r="I2867">
            <v>0</v>
          </cell>
          <cell r="J2867">
            <v>95.6</v>
          </cell>
          <cell r="K2867">
            <v>3214.07</v>
          </cell>
          <cell r="L2867" t="str">
            <v>贷</v>
          </cell>
          <cell r="M2867">
            <v>95.6</v>
          </cell>
          <cell r="N2867">
            <v>33.619979999999998</v>
          </cell>
          <cell r="O2867">
            <v>3214.07</v>
          </cell>
        </row>
        <row r="2868">
          <cell r="A2868" t="str">
            <v>11</v>
          </cell>
          <cell r="F2868" t="str">
            <v>累    计</v>
          </cell>
          <cell r="G2868">
            <v>0</v>
          </cell>
          <cell r="H2868">
            <v>0</v>
          </cell>
          <cell r="I2868">
            <v>0</v>
          </cell>
          <cell r="J2868">
            <v>95.6</v>
          </cell>
          <cell r="K2868">
            <v>3214.07</v>
          </cell>
          <cell r="L2868" t="str">
            <v>贷</v>
          </cell>
          <cell r="M2868">
            <v>95.6</v>
          </cell>
          <cell r="N2868">
            <v>33.619979999999998</v>
          </cell>
          <cell r="O2868">
            <v>3214.07</v>
          </cell>
        </row>
        <row r="2869">
          <cell r="A2869" t="str">
            <v>12</v>
          </cell>
          <cell r="B2869" t="str">
            <v>31</v>
          </cell>
          <cell r="C2869" t="str">
            <v>记-0137</v>
          </cell>
          <cell r="D2869" t="str">
            <v>242</v>
          </cell>
          <cell r="E2869" t="str">
            <v>商标甲草</v>
          </cell>
          <cell r="F2869" t="str">
            <v>结转成本</v>
          </cell>
          <cell r="G2869">
            <v>29.2</v>
          </cell>
          <cell r="H2869">
            <v>0</v>
          </cell>
          <cell r="I2869">
            <v>0</v>
          </cell>
          <cell r="J2869">
            <v>268</v>
          </cell>
          <cell r="K2869">
            <v>7825.6</v>
          </cell>
          <cell r="L2869" t="str">
            <v>贷</v>
          </cell>
          <cell r="M2869">
            <v>363.6</v>
          </cell>
          <cell r="N2869">
            <v>0</v>
          </cell>
          <cell r="O2869">
            <v>11039.67</v>
          </cell>
        </row>
        <row r="2870">
          <cell r="A2870" t="str">
            <v>12</v>
          </cell>
          <cell r="B2870" t="str">
            <v>31</v>
          </cell>
          <cell r="C2870" t="str">
            <v>记-0139</v>
          </cell>
          <cell r="D2870" t="str">
            <v>242</v>
          </cell>
          <cell r="E2870" t="str">
            <v>商标甲草</v>
          </cell>
          <cell r="F2870" t="str">
            <v>收购产品</v>
          </cell>
          <cell r="G2870">
            <v>29.20354</v>
          </cell>
          <cell r="H2870">
            <v>6269.3</v>
          </cell>
          <cell r="I2870">
            <v>183085.75</v>
          </cell>
          <cell r="J2870">
            <v>0</v>
          </cell>
          <cell r="K2870">
            <v>0</v>
          </cell>
          <cell r="L2870" t="str">
            <v>借</v>
          </cell>
          <cell r="M2870">
            <v>5905.7</v>
          </cell>
          <cell r="N2870">
            <v>0</v>
          </cell>
          <cell r="O2870">
            <v>172046.07999999999</v>
          </cell>
        </row>
        <row r="2871">
          <cell r="A2871" t="str">
            <v>12</v>
          </cell>
          <cell r="F2871" t="str">
            <v>本月合计</v>
          </cell>
          <cell r="G2871">
            <v>0</v>
          </cell>
          <cell r="H2871">
            <v>6269.3</v>
          </cell>
          <cell r="I2871">
            <v>183085.75</v>
          </cell>
          <cell r="J2871">
            <v>268</v>
          </cell>
          <cell r="K2871">
            <v>7825.6</v>
          </cell>
          <cell r="L2871" t="str">
            <v>借</v>
          </cell>
          <cell r="M2871">
            <v>5905.7</v>
          </cell>
          <cell r="N2871">
            <v>29.132210000000001</v>
          </cell>
          <cell r="O2871">
            <v>172046.07999999999</v>
          </cell>
        </row>
        <row r="2872">
          <cell r="A2872" t="str">
            <v>12</v>
          </cell>
          <cell r="E2872" t="str">
            <v>商标甲草</v>
          </cell>
          <cell r="F2872" t="str">
            <v>本年累计</v>
          </cell>
          <cell r="G2872">
            <v>0</v>
          </cell>
          <cell r="H2872">
            <v>6269.3</v>
          </cell>
          <cell r="I2872">
            <v>183085.75</v>
          </cell>
          <cell r="J2872">
            <v>363.6</v>
          </cell>
          <cell r="K2872">
            <v>11039.67</v>
          </cell>
          <cell r="L2872" t="str">
            <v>借</v>
          </cell>
          <cell r="M2872">
            <v>5905.7</v>
          </cell>
          <cell r="N2872">
            <v>29.132210000000001</v>
          </cell>
          <cell r="O2872">
            <v>172046.07999999999</v>
          </cell>
        </row>
        <row r="2873">
          <cell r="A2873" t="str">
            <v>11</v>
          </cell>
          <cell r="B2873" t="str">
            <v>30</v>
          </cell>
          <cell r="C2873" t="str">
            <v>记-0095</v>
          </cell>
          <cell r="D2873" t="str">
            <v>243</v>
          </cell>
          <cell r="E2873" t="str">
            <v>商标特草</v>
          </cell>
          <cell r="F2873" t="str">
            <v>调整9月40.10</v>
          </cell>
          <cell r="G2873">
            <v>25.341290000000001</v>
          </cell>
          <cell r="H2873">
            <v>0</v>
          </cell>
          <cell r="I2873">
            <v>0</v>
          </cell>
          <cell r="J2873">
            <v>387</v>
          </cell>
          <cell r="K2873">
            <v>9807.08</v>
          </cell>
          <cell r="L2873" t="str">
            <v>贷</v>
          </cell>
          <cell r="M2873">
            <v>387</v>
          </cell>
          <cell r="N2873">
            <v>0</v>
          </cell>
          <cell r="O2873">
            <v>9807.08</v>
          </cell>
        </row>
        <row r="2874">
          <cell r="A2874" t="str">
            <v>11</v>
          </cell>
          <cell r="F2874" t="str">
            <v>本月合计</v>
          </cell>
          <cell r="G2874">
            <v>0</v>
          </cell>
          <cell r="H2874">
            <v>0</v>
          </cell>
          <cell r="I2874">
            <v>0</v>
          </cell>
          <cell r="J2874">
            <v>387</v>
          </cell>
          <cell r="K2874">
            <v>9807.08</v>
          </cell>
          <cell r="L2874" t="str">
            <v>贷</v>
          </cell>
          <cell r="M2874">
            <v>387</v>
          </cell>
          <cell r="N2874">
            <v>25.341290000000001</v>
          </cell>
          <cell r="O2874">
            <v>9807.08</v>
          </cell>
        </row>
        <row r="2875">
          <cell r="A2875" t="str">
            <v>11</v>
          </cell>
          <cell r="F2875" t="str">
            <v>累    计</v>
          </cell>
          <cell r="G2875">
            <v>0</v>
          </cell>
          <cell r="H2875">
            <v>0</v>
          </cell>
          <cell r="I2875">
            <v>0</v>
          </cell>
          <cell r="J2875">
            <v>387</v>
          </cell>
          <cell r="K2875">
            <v>9807.08</v>
          </cell>
          <cell r="L2875" t="str">
            <v>贷</v>
          </cell>
          <cell r="M2875">
            <v>387</v>
          </cell>
          <cell r="N2875">
            <v>25.341290000000001</v>
          </cell>
          <cell r="O2875">
            <v>9807.08</v>
          </cell>
        </row>
        <row r="2876">
          <cell r="A2876" t="str">
            <v>12</v>
          </cell>
          <cell r="B2876" t="str">
            <v>31</v>
          </cell>
          <cell r="C2876" t="str">
            <v>记-0137</v>
          </cell>
          <cell r="D2876" t="str">
            <v>243</v>
          </cell>
          <cell r="E2876" t="str">
            <v>商标特草</v>
          </cell>
          <cell r="F2876" t="str">
            <v>结转成本</v>
          </cell>
          <cell r="G2876">
            <v>30.97</v>
          </cell>
          <cell r="H2876">
            <v>0</v>
          </cell>
          <cell r="I2876">
            <v>0</v>
          </cell>
          <cell r="J2876">
            <v>511</v>
          </cell>
          <cell r="K2876">
            <v>15825.67</v>
          </cell>
          <cell r="L2876" t="str">
            <v>贷</v>
          </cell>
          <cell r="M2876">
            <v>898</v>
          </cell>
          <cell r="N2876">
            <v>0</v>
          </cell>
          <cell r="O2876">
            <v>25632.75</v>
          </cell>
        </row>
        <row r="2877">
          <cell r="A2877" t="str">
            <v>12</v>
          </cell>
          <cell r="B2877" t="str">
            <v>31</v>
          </cell>
          <cell r="C2877" t="str">
            <v>记-0139</v>
          </cell>
          <cell r="D2877" t="str">
            <v>243</v>
          </cell>
          <cell r="E2877" t="str">
            <v>商标特草</v>
          </cell>
          <cell r="F2877" t="str">
            <v>收购产品</v>
          </cell>
          <cell r="G2877">
            <v>30.97345</v>
          </cell>
          <cell r="H2877">
            <v>2184</v>
          </cell>
          <cell r="I2877">
            <v>67646.02</v>
          </cell>
          <cell r="J2877">
            <v>0</v>
          </cell>
          <cell r="K2877">
            <v>0</v>
          </cell>
          <cell r="L2877" t="str">
            <v>借</v>
          </cell>
          <cell r="M2877">
            <v>1286</v>
          </cell>
          <cell r="N2877">
            <v>0</v>
          </cell>
          <cell r="O2877">
            <v>42013.27</v>
          </cell>
        </row>
        <row r="2878">
          <cell r="A2878" t="str">
            <v>12</v>
          </cell>
          <cell r="F2878" t="str">
            <v>本月合计</v>
          </cell>
          <cell r="G2878">
            <v>0</v>
          </cell>
          <cell r="H2878">
            <v>2184</v>
          </cell>
          <cell r="I2878">
            <v>67646.02</v>
          </cell>
          <cell r="J2878">
            <v>511</v>
          </cell>
          <cell r="K2878">
            <v>15825.67</v>
          </cell>
          <cell r="L2878" t="str">
            <v>借</v>
          </cell>
          <cell r="M2878">
            <v>1286</v>
          </cell>
          <cell r="N2878">
            <v>32.669730000000001</v>
          </cell>
          <cell r="O2878">
            <v>42013.27</v>
          </cell>
        </row>
        <row r="2879">
          <cell r="A2879" t="str">
            <v>12</v>
          </cell>
          <cell r="E2879" t="str">
            <v>商标特草</v>
          </cell>
          <cell r="F2879" t="str">
            <v>本年累计</v>
          </cell>
          <cell r="G2879">
            <v>0</v>
          </cell>
          <cell r="H2879">
            <v>2184</v>
          </cell>
          <cell r="I2879">
            <v>67646.02</v>
          </cell>
          <cell r="J2879">
            <v>898</v>
          </cell>
          <cell r="K2879">
            <v>25632.75</v>
          </cell>
          <cell r="L2879" t="str">
            <v>借</v>
          </cell>
          <cell r="M2879">
            <v>1286</v>
          </cell>
          <cell r="N2879">
            <v>32.669730000000001</v>
          </cell>
          <cell r="O2879">
            <v>42013.27</v>
          </cell>
        </row>
        <row r="2880">
          <cell r="A2880" t="str">
            <v>11</v>
          </cell>
          <cell r="B2880" t="str">
            <v>30</v>
          </cell>
          <cell r="C2880" t="str">
            <v>记-0098</v>
          </cell>
          <cell r="D2880" t="str">
            <v>244</v>
          </cell>
          <cell r="E2880" t="str">
            <v>梁外去皮甘草片</v>
          </cell>
          <cell r="F2880" t="str">
            <v>调整2月28号凭</v>
          </cell>
          <cell r="G2880">
            <v>59.232120000000002</v>
          </cell>
          <cell r="H2880">
            <v>0</v>
          </cell>
          <cell r="I2880">
            <v>0</v>
          </cell>
          <cell r="J2880">
            <v>231</v>
          </cell>
          <cell r="K2880">
            <v>13682.62</v>
          </cell>
          <cell r="L2880" t="str">
            <v>贷</v>
          </cell>
          <cell r="M2880">
            <v>231</v>
          </cell>
          <cell r="N2880">
            <v>0</v>
          </cell>
          <cell r="O2880">
            <v>13682.62</v>
          </cell>
        </row>
        <row r="2881">
          <cell r="A2881" t="str">
            <v>11</v>
          </cell>
          <cell r="B2881" t="str">
            <v>30</v>
          </cell>
          <cell r="C2881" t="str">
            <v>记-0100</v>
          </cell>
          <cell r="D2881" t="str">
            <v>244</v>
          </cell>
          <cell r="E2881" t="str">
            <v>梁外去皮甘草片</v>
          </cell>
          <cell r="F2881" t="str">
            <v>调整</v>
          </cell>
          <cell r="G2881">
            <v>59.232120000000002</v>
          </cell>
          <cell r="H2881">
            <v>3206.8</v>
          </cell>
          <cell r="I2881">
            <v>189945.56</v>
          </cell>
          <cell r="J2881">
            <v>0</v>
          </cell>
          <cell r="K2881">
            <v>0</v>
          </cell>
          <cell r="L2881" t="str">
            <v>借</v>
          </cell>
          <cell r="M2881">
            <v>2975.8</v>
          </cell>
          <cell r="N2881">
            <v>0</v>
          </cell>
          <cell r="O2881">
            <v>176262.94</v>
          </cell>
        </row>
        <row r="2882">
          <cell r="A2882" t="str">
            <v>11</v>
          </cell>
          <cell r="B2882" t="str">
            <v>30</v>
          </cell>
          <cell r="C2882" t="str">
            <v>记-0105</v>
          </cell>
          <cell r="D2882" t="str">
            <v>244</v>
          </cell>
          <cell r="E2882" t="str">
            <v>梁外去皮甘草片</v>
          </cell>
          <cell r="F2882" t="str">
            <v>合并名称</v>
          </cell>
          <cell r="G2882">
            <v>48.67259</v>
          </cell>
          <cell r="H2882">
            <v>112</v>
          </cell>
          <cell r="I2882">
            <v>5451.33</v>
          </cell>
          <cell r="J2882">
            <v>0</v>
          </cell>
          <cell r="K2882">
            <v>0</v>
          </cell>
          <cell r="L2882" t="str">
            <v>借</v>
          </cell>
          <cell r="M2882">
            <v>3087.8</v>
          </cell>
          <cell r="N2882">
            <v>0</v>
          </cell>
          <cell r="O2882">
            <v>181714.27</v>
          </cell>
        </row>
        <row r="2883">
          <cell r="A2883" t="str">
            <v>11</v>
          </cell>
          <cell r="B2883" t="str">
            <v>30</v>
          </cell>
          <cell r="C2883" t="str">
            <v>记-0106</v>
          </cell>
          <cell r="D2883" t="str">
            <v>244</v>
          </cell>
          <cell r="E2883" t="str">
            <v>梁外去皮甘草片</v>
          </cell>
          <cell r="F2883" t="str">
            <v>合并名称</v>
          </cell>
          <cell r="G2883">
            <v>56.18112</v>
          </cell>
          <cell r="H2883">
            <v>0</v>
          </cell>
          <cell r="I2883">
            <v>0</v>
          </cell>
          <cell r="J2883">
            <v>331</v>
          </cell>
          <cell r="K2883">
            <v>18595.95</v>
          </cell>
          <cell r="L2883" t="str">
            <v>借</v>
          </cell>
          <cell r="M2883">
            <v>2756.8</v>
          </cell>
          <cell r="N2883">
            <v>0</v>
          </cell>
          <cell r="O2883">
            <v>163118.32</v>
          </cell>
        </row>
        <row r="2884">
          <cell r="A2884" t="str">
            <v>11</v>
          </cell>
          <cell r="B2884" t="str">
            <v>30</v>
          </cell>
          <cell r="C2884" t="str">
            <v>记-0107</v>
          </cell>
          <cell r="D2884" t="str">
            <v>244</v>
          </cell>
          <cell r="E2884" t="str">
            <v>梁外去皮甘草片</v>
          </cell>
          <cell r="F2884" t="str">
            <v>合并名称</v>
          </cell>
          <cell r="G2884">
            <v>61.740789999999997</v>
          </cell>
          <cell r="H2884">
            <v>0</v>
          </cell>
          <cell r="I2884">
            <v>0</v>
          </cell>
          <cell r="J2884">
            <v>3001</v>
          </cell>
          <cell r="K2884">
            <v>185284.12</v>
          </cell>
          <cell r="L2884" t="str">
            <v>贷</v>
          </cell>
          <cell r="M2884">
            <v>244.2</v>
          </cell>
          <cell r="N2884">
            <v>0</v>
          </cell>
          <cell r="O2884">
            <v>22165.8</v>
          </cell>
        </row>
        <row r="2885">
          <cell r="A2885" t="str">
            <v>11</v>
          </cell>
          <cell r="B2885" t="str">
            <v>30</v>
          </cell>
          <cell r="C2885" t="str">
            <v>记-0153</v>
          </cell>
          <cell r="D2885" t="str">
            <v>244</v>
          </cell>
          <cell r="E2885" t="str">
            <v>梁外去皮甘草片</v>
          </cell>
          <cell r="F2885" t="str">
            <v>调整库存</v>
          </cell>
          <cell r="G2885">
            <v>90.769040000000004</v>
          </cell>
          <cell r="H2885">
            <v>244.2</v>
          </cell>
          <cell r="I2885">
            <v>22165.8</v>
          </cell>
          <cell r="J2885">
            <v>0</v>
          </cell>
          <cell r="K2885">
            <v>0</v>
          </cell>
          <cell r="L2885" t="str">
            <v>平</v>
          </cell>
          <cell r="M2885">
            <v>0</v>
          </cell>
          <cell r="N2885">
            <v>0</v>
          </cell>
          <cell r="O2885">
            <v>0</v>
          </cell>
        </row>
        <row r="2886">
          <cell r="A2886" t="str">
            <v>11</v>
          </cell>
          <cell r="F2886" t="str">
            <v>本月合计</v>
          </cell>
          <cell r="G2886">
            <v>0</v>
          </cell>
          <cell r="H2886">
            <v>3563</v>
          </cell>
          <cell r="I2886">
            <v>217562.69</v>
          </cell>
          <cell r="J2886">
            <v>3563</v>
          </cell>
          <cell r="K2886">
            <v>217562.69</v>
          </cell>
          <cell r="L2886" t="str">
            <v>平</v>
          </cell>
          <cell r="M2886">
            <v>0</v>
          </cell>
          <cell r="N2886">
            <v>0</v>
          </cell>
          <cell r="O2886">
            <v>0</v>
          </cell>
        </row>
        <row r="2887">
          <cell r="A2887" t="str">
            <v>11</v>
          </cell>
          <cell r="E2887" t="str">
            <v>梁外去皮甘草片</v>
          </cell>
          <cell r="F2887" t="str">
            <v>本年累计</v>
          </cell>
          <cell r="G2887">
            <v>0</v>
          </cell>
          <cell r="H2887">
            <v>3563</v>
          </cell>
          <cell r="I2887">
            <v>217562.69</v>
          </cell>
          <cell r="J2887">
            <v>3563</v>
          </cell>
          <cell r="K2887">
            <v>217562.69</v>
          </cell>
          <cell r="L2887" t="str">
            <v>平</v>
          </cell>
          <cell r="M2887">
            <v>0</v>
          </cell>
          <cell r="N2887">
            <v>0</v>
          </cell>
          <cell r="O2887">
            <v>0</v>
          </cell>
        </row>
        <row r="2888">
          <cell r="A2888" t="str">
            <v>11</v>
          </cell>
          <cell r="B2888" t="str">
            <v>30</v>
          </cell>
          <cell r="C2888" t="str">
            <v>记-0129</v>
          </cell>
          <cell r="D2888" t="str">
            <v>245</v>
          </cell>
          <cell r="E2888" t="str">
            <v>金银花</v>
          </cell>
          <cell r="F2888" t="str">
            <v>支付费用</v>
          </cell>
          <cell r="G2888">
            <v>36.138460000000002</v>
          </cell>
          <cell r="H2888">
            <v>13</v>
          </cell>
          <cell r="I2888">
            <v>469.8</v>
          </cell>
          <cell r="J2888">
            <v>0</v>
          </cell>
          <cell r="K2888">
            <v>0</v>
          </cell>
          <cell r="L2888" t="str">
            <v>借</v>
          </cell>
          <cell r="M2888">
            <v>13</v>
          </cell>
          <cell r="N2888">
            <v>0</v>
          </cell>
          <cell r="O2888">
            <v>469.8</v>
          </cell>
        </row>
        <row r="2889">
          <cell r="A2889" t="str">
            <v>11</v>
          </cell>
          <cell r="F2889" t="str">
            <v>本月合计</v>
          </cell>
          <cell r="G2889">
            <v>0</v>
          </cell>
          <cell r="H2889">
            <v>13</v>
          </cell>
          <cell r="I2889">
            <v>469.8</v>
          </cell>
          <cell r="J2889">
            <v>0</v>
          </cell>
          <cell r="K2889">
            <v>0</v>
          </cell>
          <cell r="L2889" t="str">
            <v>借</v>
          </cell>
          <cell r="M2889">
            <v>13</v>
          </cell>
          <cell r="N2889">
            <v>36.138460000000002</v>
          </cell>
          <cell r="O2889">
            <v>469.8</v>
          </cell>
        </row>
        <row r="2890">
          <cell r="A2890" t="str">
            <v>11</v>
          </cell>
          <cell r="F2890" t="str">
            <v>累    计</v>
          </cell>
          <cell r="G2890">
            <v>0</v>
          </cell>
          <cell r="H2890">
            <v>13</v>
          </cell>
          <cell r="I2890">
            <v>469.8</v>
          </cell>
          <cell r="J2890">
            <v>0</v>
          </cell>
          <cell r="K2890">
            <v>0</v>
          </cell>
          <cell r="L2890" t="str">
            <v>借</v>
          </cell>
          <cell r="M2890">
            <v>13</v>
          </cell>
          <cell r="N2890">
            <v>36.138460000000002</v>
          </cell>
          <cell r="O2890">
            <v>469.8</v>
          </cell>
        </row>
        <row r="2891">
          <cell r="A2891" t="str">
            <v>12</v>
          </cell>
          <cell r="B2891" t="str">
            <v>31</v>
          </cell>
          <cell r="C2891" t="str">
            <v>记-0150</v>
          </cell>
          <cell r="D2891" t="str">
            <v>245</v>
          </cell>
          <cell r="E2891" t="str">
            <v>金银花</v>
          </cell>
          <cell r="F2891" t="str">
            <v>结转成本</v>
          </cell>
          <cell r="G2891">
            <v>36.138460000000002</v>
          </cell>
          <cell r="H2891">
            <v>0</v>
          </cell>
          <cell r="I2891">
            <v>0</v>
          </cell>
          <cell r="J2891">
            <v>13</v>
          </cell>
          <cell r="K2891">
            <v>469.8</v>
          </cell>
          <cell r="L2891" t="str">
            <v>平</v>
          </cell>
          <cell r="M2891">
            <v>0</v>
          </cell>
          <cell r="N2891">
            <v>0</v>
          </cell>
          <cell r="O2891">
            <v>0</v>
          </cell>
        </row>
        <row r="2892">
          <cell r="A2892" t="str">
            <v>12</v>
          </cell>
          <cell r="F2892" t="str">
            <v>本月合计</v>
          </cell>
          <cell r="G2892">
            <v>0</v>
          </cell>
          <cell r="H2892">
            <v>0</v>
          </cell>
          <cell r="I2892">
            <v>0</v>
          </cell>
          <cell r="J2892">
            <v>13</v>
          </cell>
          <cell r="K2892">
            <v>469.8</v>
          </cell>
          <cell r="L2892" t="str">
            <v>平</v>
          </cell>
          <cell r="M2892">
            <v>0</v>
          </cell>
          <cell r="N2892">
            <v>0</v>
          </cell>
          <cell r="O2892">
            <v>0</v>
          </cell>
        </row>
        <row r="2893">
          <cell r="A2893" t="str">
            <v>12</v>
          </cell>
          <cell r="E2893" t="str">
            <v>金银花</v>
          </cell>
          <cell r="F2893" t="str">
            <v>本年累计</v>
          </cell>
          <cell r="G2893">
            <v>0</v>
          </cell>
          <cell r="H2893">
            <v>13</v>
          </cell>
          <cell r="I2893">
            <v>469.8</v>
          </cell>
          <cell r="J2893">
            <v>13</v>
          </cell>
          <cell r="K2893">
            <v>469.8</v>
          </cell>
          <cell r="L2893" t="str">
            <v>平</v>
          </cell>
          <cell r="M2893">
            <v>0</v>
          </cell>
          <cell r="N2893">
            <v>0</v>
          </cell>
          <cell r="O2893">
            <v>0</v>
          </cell>
        </row>
        <row r="2894">
          <cell r="A2894" t="str">
            <v>12</v>
          </cell>
          <cell r="B2894" t="str">
            <v>11</v>
          </cell>
          <cell r="C2894" t="str">
            <v>记-0021</v>
          </cell>
          <cell r="D2894" t="str">
            <v>246</v>
          </cell>
          <cell r="E2894" t="str">
            <v>海马</v>
          </cell>
          <cell r="F2894" t="str">
            <v>收购产品</v>
          </cell>
          <cell r="G2894">
            <v>1784.547</v>
          </cell>
          <cell r="H2894">
            <v>10</v>
          </cell>
          <cell r="I2894">
            <v>17845.47</v>
          </cell>
          <cell r="J2894">
            <v>0</v>
          </cell>
          <cell r="K2894">
            <v>0</v>
          </cell>
          <cell r="L2894" t="str">
            <v>借</v>
          </cell>
          <cell r="M2894">
            <v>10</v>
          </cell>
          <cell r="N2894">
            <v>0</v>
          </cell>
          <cell r="O2894">
            <v>17845.47</v>
          </cell>
        </row>
        <row r="2895">
          <cell r="A2895" t="str">
            <v>12</v>
          </cell>
          <cell r="B2895" t="str">
            <v>11</v>
          </cell>
          <cell r="C2895" t="str">
            <v>记-0029</v>
          </cell>
          <cell r="D2895" t="str">
            <v>246</v>
          </cell>
          <cell r="E2895" t="str">
            <v>海马</v>
          </cell>
          <cell r="F2895" t="str">
            <v>结转成本</v>
          </cell>
          <cell r="G2895">
            <v>1784.547</v>
          </cell>
          <cell r="H2895">
            <v>0</v>
          </cell>
          <cell r="I2895">
            <v>0</v>
          </cell>
          <cell r="J2895">
            <v>10</v>
          </cell>
          <cell r="K2895">
            <v>17845.47</v>
          </cell>
          <cell r="L2895" t="str">
            <v>平</v>
          </cell>
          <cell r="M2895">
            <v>0</v>
          </cell>
          <cell r="N2895">
            <v>0</v>
          </cell>
          <cell r="O2895">
            <v>0</v>
          </cell>
        </row>
        <row r="2896">
          <cell r="A2896" t="str">
            <v>12</v>
          </cell>
          <cell r="F2896" t="str">
            <v>本月合计</v>
          </cell>
          <cell r="G2896">
            <v>0</v>
          </cell>
          <cell r="H2896">
            <v>10</v>
          </cell>
          <cell r="I2896">
            <v>17845.47</v>
          </cell>
          <cell r="J2896">
            <v>10</v>
          </cell>
          <cell r="K2896">
            <v>17845.47</v>
          </cell>
          <cell r="L2896" t="str">
            <v>平</v>
          </cell>
          <cell r="M2896">
            <v>0</v>
          </cell>
          <cell r="N2896">
            <v>0</v>
          </cell>
          <cell r="O2896">
            <v>0</v>
          </cell>
        </row>
        <row r="2897">
          <cell r="A2897" t="str">
            <v>12</v>
          </cell>
          <cell r="E2897" t="str">
            <v>海马</v>
          </cell>
          <cell r="F2897" t="str">
            <v>本年累计</v>
          </cell>
          <cell r="G2897">
            <v>0</v>
          </cell>
          <cell r="H2897">
            <v>10</v>
          </cell>
          <cell r="I2897">
            <v>17845.47</v>
          </cell>
          <cell r="J2897">
            <v>10</v>
          </cell>
          <cell r="K2897">
            <v>17845.47</v>
          </cell>
          <cell r="L2897" t="str">
            <v>平</v>
          </cell>
          <cell r="M2897">
            <v>0</v>
          </cell>
          <cell r="N2897">
            <v>0</v>
          </cell>
          <cell r="O2897">
            <v>0</v>
          </cell>
        </row>
        <row r="2898">
          <cell r="A2898" t="str">
            <v>12</v>
          </cell>
          <cell r="B2898" t="str">
            <v>11</v>
          </cell>
          <cell r="C2898" t="str">
            <v>记-0021</v>
          </cell>
          <cell r="D2898" t="str">
            <v>247</v>
          </cell>
          <cell r="E2898" t="str">
            <v>鹿筋</v>
          </cell>
          <cell r="F2898" t="str">
            <v>收购产品</v>
          </cell>
          <cell r="G2898">
            <v>696.24400000000003</v>
          </cell>
          <cell r="H2898">
            <v>10</v>
          </cell>
          <cell r="I2898">
            <v>6962.44</v>
          </cell>
          <cell r="J2898">
            <v>0</v>
          </cell>
          <cell r="K2898">
            <v>0</v>
          </cell>
          <cell r="L2898" t="str">
            <v>借</v>
          </cell>
          <cell r="M2898">
            <v>10</v>
          </cell>
          <cell r="N2898">
            <v>0</v>
          </cell>
          <cell r="O2898">
            <v>6962.44</v>
          </cell>
        </row>
        <row r="2899">
          <cell r="A2899" t="str">
            <v>12</v>
          </cell>
          <cell r="B2899" t="str">
            <v>11</v>
          </cell>
          <cell r="C2899" t="str">
            <v>记-0029</v>
          </cell>
          <cell r="D2899" t="str">
            <v>247</v>
          </cell>
          <cell r="E2899" t="str">
            <v>鹿筋</v>
          </cell>
          <cell r="F2899" t="str">
            <v>结转成本</v>
          </cell>
          <cell r="G2899">
            <v>696.24400000000003</v>
          </cell>
          <cell r="H2899">
            <v>0</v>
          </cell>
          <cell r="I2899">
            <v>0</v>
          </cell>
          <cell r="J2899">
            <v>10</v>
          </cell>
          <cell r="K2899">
            <v>6962.44</v>
          </cell>
          <cell r="L2899" t="str">
            <v>平</v>
          </cell>
          <cell r="M2899">
            <v>0</v>
          </cell>
          <cell r="N2899">
            <v>0</v>
          </cell>
          <cell r="O2899">
            <v>0</v>
          </cell>
        </row>
        <row r="2900">
          <cell r="A2900" t="str">
            <v>12</v>
          </cell>
          <cell r="F2900" t="str">
            <v>本月合计</v>
          </cell>
          <cell r="G2900">
            <v>0</v>
          </cell>
          <cell r="H2900">
            <v>10</v>
          </cell>
          <cell r="I2900">
            <v>6962.44</v>
          </cell>
          <cell r="J2900">
            <v>10</v>
          </cell>
          <cell r="K2900">
            <v>6962.44</v>
          </cell>
          <cell r="L2900" t="str">
            <v>平</v>
          </cell>
          <cell r="M2900">
            <v>0</v>
          </cell>
          <cell r="N2900">
            <v>0</v>
          </cell>
          <cell r="O2900">
            <v>0</v>
          </cell>
        </row>
        <row r="2901">
          <cell r="A2901" t="str">
            <v>12</v>
          </cell>
          <cell r="E2901" t="str">
            <v>鹿筋</v>
          </cell>
          <cell r="F2901" t="str">
            <v>本年累计</v>
          </cell>
          <cell r="G2901">
            <v>0</v>
          </cell>
          <cell r="H2901">
            <v>10</v>
          </cell>
          <cell r="I2901">
            <v>6962.44</v>
          </cell>
          <cell r="J2901">
            <v>10</v>
          </cell>
          <cell r="K2901">
            <v>6962.44</v>
          </cell>
          <cell r="L2901" t="str">
            <v>平</v>
          </cell>
          <cell r="M2901">
            <v>0</v>
          </cell>
          <cell r="N2901">
            <v>0</v>
          </cell>
          <cell r="O2901">
            <v>0</v>
          </cell>
        </row>
        <row r="2902">
          <cell r="A2902" t="str">
            <v>12</v>
          </cell>
          <cell r="B2902" t="str">
            <v>31</v>
          </cell>
          <cell r="C2902" t="str">
            <v>记-0137</v>
          </cell>
          <cell r="D2902" t="str">
            <v>248</v>
          </cell>
          <cell r="E2902" t="str">
            <v>梁外去皮甘草片</v>
          </cell>
          <cell r="F2902" t="str">
            <v>结转成本</v>
          </cell>
          <cell r="G2902">
            <v>44.25</v>
          </cell>
          <cell r="H2902">
            <v>0</v>
          </cell>
          <cell r="I2902">
            <v>0</v>
          </cell>
          <cell r="J2902">
            <v>30</v>
          </cell>
          <cell r="K2902">
            <v>1327.5</v>
          </cell>
          <cell r="L2902" t="str">
            <v>贷</v>
          </cell>
          <cell r="M2902">
            <v>30</v>
          </cell>
          <cell r="N2902">
            <v>0</v>
          </cell>
          <cell r="O2902">
            <v>1327.5</v>
          </cell>
        </row>
        <row r="2903">
          <cell r="A2903" t="str">
            <v>12</v>
          </cell>
          <cell r="B2903" t="str">
            <v>31</v>
          </cell>
          <cell r="C2903" t="str">
            <v>记-0138</v>
          </cell>
          <cell r="D2903" t="str">
            <v>248</v>
          </cell>
          <cell r="E2903" t="str">
            <v>梁外去皮甘草片</v>
          </cell>
          <cell r="F2903" t="str">
            <v>结转成本</v>
          </cell>
          <cell r="G2903">
            <v>44.25</v>
          </cell>
          <cell r="H2903">
            <v>0</v>
          </cell>
          <cell r="I2903">
            <v>0</v>
          </cell>
          <cell r="J2903">
            <v>300</v>
          </cell>
          <cell r="K2903">
            <v>13275</v>
          </cell>
          <cell r="L2903" t="str">
            <v>贷</v>
          </cell>
          <cell r="M2903">
            <v>330</v>
          </cell>
          <cell r="N2903">
            <v>0</v>
          </cell>
          <cell r="O2903">
            <v>14602.5</v>
          </cell>
        </row>
        <row r="2904">
          <cell r="A2904" t="str">
            <v>12</v>
          </cell>
          <cell r="F2904" t="str">
            <v>本月合计</v>
          </cell>
          <cell r="G2904">
            <v>0</v>
          </cell>
          <cell r="H2904">
            <v>0</v>
          </cell>
          <cell r="I2904">
            <v>0</v>
          </cell>
          <cell r="J2904">
            <v>330</v>
          </cell>
          <cell r="K2904">
            <v>14602.5</v>
          </cell>
          <cell r="L2904" t="str">
            <v>贷</v>
          </cell>
          <cell r="M2904">
            <v>330</v>
          </cell>
          <cell r="N2904">
            <v>44.25</v>
          </cell>
          <cell r="O2904">
            <v>14602.5</v>
          </cell>
        </row>
        <row r="2905">
          <cell r="A2905" t="str">
            <v>12</v>
          </cell>
          <cell r="E2905" t="str">
            <v>梁外去皮甘草片</v>
          </cell>
          <cell r="F2905" t="str">
            <v>本年累计</v>
          </cell>
          <cell r="G2905">
            <v>0</v>
          </cell>
          <cell r="H2905">
            <v>0</v>
          </cell>
          <cell r="I2905">
            <v>0</v>
          </cell>
          <cell r="J2905">
            <v>330</v>
          </cell>
          <cell r="K2905">
            <v>14602.5</v>
          </cell>
          <cell r="L2905" t="str">
            <v>贷</v>
          </cell>
          <cell r="M2905">
            <v>330</v>
          </cell>
          <cell r="N2905">
            <v>44.25</v>
          </cell>
          <cell r="O2905">
            <v>14602.5</v>
          </cell>
        </row>
        <row r="2906">
          <cell r="A2906" t="str">
            <v>12</v>
          </cell>
          <cell r="B2906" t="str">
            <v>31</v>
          </cell>
          <cell r="C2906" t="str">
            <v>记-0139</v>
          </cell>
          <cell r="D2906" t="str">
            <v>249</v>
          </cell>
          <cell r="E2906" t="str">
            <v>J11家种去皮甘</v>
          </cell>
          <cell r="F2906" t="str">
            <v>收购产品</v>
          </cell>
          <cell r="G2906">
            <v>38.053100000000001</v>
          </cell>
          <cell r="H2906">
            <v>1008</v>
          </cell>
          <cell r="I2906">
            <v>38357.519999999997</v>
          </cell>
          <cell r="J2906">
            <v>0</v>
          </cell>
          <cell r="K2906">
            <v>0</v>
          </cell>
          <cell r="L2906" t="str">
            <v>借</v>
          </cell>
          <cell r="M2906">
            <v>1008</v>
          </cell>
          <cell r="N2906">
            <v>0</v>
          </cell>
          <cell r="O2906">
            <v>38357.519999999997</v>
          </cell>
        </row>
        <row r="2907">
          <cell r="A2907" t="str">
            <v>12</v>
          </cell>
          <cell r="B2907" t="str">
            <v>31</v>
          </cell>
          <cell r="C2907" t="str">
            <v>记-0139</v>
          </cell>
          <cell r="D2907" t="str">
            <v>249</v>
          </cell>
          <cell r="E2907" t="str">
            <v>J11家种去皮甘</v>
          </cell>
          <cell r="F2907" t="str">
            <v>收购产品</v>
          </cell>
          <cell r="G2907">
            <v>44.247779999999999</v>
          </cell>
          <cell r="H2907">
            <v>72</v>
          </cell>
          <cell r="I2907">
            <v>3185.84</v>
          </cell>
          <cell r="J2907">
            <v>0</v>
          </cell>
          <cell r="K2907">
            <v>0</v>
          </cell>
          <cell r="L2907" t="str">
            <v>借</v>
          </cell>
          <cell r="M2907">
            <v>1080</v>
          </cell>
          <cell r="N2907">
            <v>0</v>
          </cell>
          <cell r="O2907">
            <v>41543.360000000001</v>
          </cell>
        </row>
        <row r="2908">
          <cell r="A2908" t="str">
            <v>12</v>
          </cell>
          <cell r="F2908" t="str">
            <v>本月合计</v>
          </cell>
          <cell r="G2908">
            <v>0</v>
          </cell>
          <cell r="H2908">
            <v>1080</v>
          </cell>
          <cell r="I2908">
            <v>41543.360000000001</v>
          </cell>
          <cell r="J2908">
            <v>0</v>
          </cell>
          <cell r="K2908">
            <v>0</v>
          </cell>
          <cell r="L2908" t="str">
            <v>借</v>
          </cell>
          <cell r="M2908">
            <v>1080</v>
          </cell>
          <cell r="N2908">
            <v>38.466070000000002</v>
          </cell>
          <cell r="O2908">
            <v>41543.360000000001</v>
          </cell>
        </row>
        <row r="2909">
          <cell r="A2909" t="str">
            <v>12</v>
          </cell>
          <cell r="E2909" t="str">
            <v>J11家种去皮甘</v>
          </cell>
          <cell r="F2909" t="str">
            <v>本年累计</v>
          </cell>
          <cell r="G2909">
            <v>0</v>
          </cell>
          <cell r="H2909">
            <v>1080</v>
          </cell>
          <cell r="I2909">
            <v>41543.360000000001</v>
          </cell>
          <cell r="J2909">
            <v>0</v>
          </cell>
          <cell r="K2909">
            <v>0</v>
          </cell>
          <cell r="L2909" t="str">
            <v>借</v>
          </cell>
          <cell r="M2909">
            <v>1080</v>
          </cell>
          <cell r="N2909">
            <v>38.466070000000002</v>
          </cell>
          <cell r="O2909">
            <v>41543.360000000001</v>
          </cell>
        </row>
        <row r="2910">
          <cell r="A2910" t="str">
            <v>12</v>
          </cell>
          <cell r="B2910" t="str">
            <v>11</v>
          </cell>
          <cell r="C2910" t="str">
            <v>记-0130</v>
          </cell>
          <cell r="D2910" t="str">
            <v>250</v>
          </cell>
          <cell r="E2910" t="str">
            <v>J12家种去皮甘</v>
          </cell>
          <cell r="F2910" t="str">
            <v>合并名称</v>
          </cell>
          <cell r="G2910">
            <v>0</v>
          </cell>
          <cell r="H2910">
            <v>0</v>
          </cell>
          <cell r="I2910">
            <v>-3274.92</v>
          </cell>
          <cell r="J2910">
            <v>0</v>
          </cell>
          <cell r="K2910">
            <v>0</v>
          </cell>
          <cell r="L2910" t="str">
            <v>贷</v>
          </cell>
          <cell r="M2910">
            <v>0</v>
          </cell>
          <cell r="N2910">
            <v>0</v>
          </cell>
          <cell r="O2910">
            <v>3274.92</v>
          </cell>
        </row>
        <row r="2911">
          <cell r="A2911" t="str">
            <v>12</v>
          </cell>
          <cell r="B2911" t="str">
            <v>31</v>
          </cell>
          <cell r="C2911" t="str">
            <v>记-0139</v>
          </cell>
          <cell r="D2911" t="str">
            <v>250</v>
          </cell>
          <cell r="E2911" t="str">
            <v>J12家种去皮甘</v>
          </cell>
          <cell r="F2911" t="str">
            <v>收购产品</v>
          </cell>
          <cell r="G2911">
            <v>31.858409999999999</v>
          </cell>
          <cell r="H2911">
            <v>2628</v>
          </cell>
          <cell r="I2911">
            <v>83723.89</v>
          </cell>
          <cell r="J2911">
            <v>0</v>
          </cell>
          <cell r="K2911">
            <v>0</v>
          </cell>
          <cell r="L2911" t="str">
            <v>借</v>
          </cell>
          <cell r="M2911">
            <v>2628</v>
          </cell>
          <cell r="N2911">
            <v>0</v>
          </cell>
          <cell r="O2911">
            <v>80448.97</v>
          </cell>
        </row>
        <row r="2912">
          <cell r="A2912" t="str">
            <v>12</v>
          </cell>
          <cell r="B2912" t="str">
            <v>31</v>
          </cell>
          <cell r="C2912" t="str">
            <v>记-0139</v>
          </cell>
          <cell r="D2912" t="str">
            <v>250</v>
          </cell>
          <cell r="E2912" t="str">
            <v>J12家种去皮甘</v>
          </cell>
          <cell r="F2912" t="str">
            <v>收购产品</v>
          </cell>
          <cell r="G2912">
            <v>33.628329999999998</v>
          </cell>
          <cell r="H2912">
            <v>252</v>
          </cell>
          <cell r="I2912">
            <v>8474.34</v>
          </cell>
          <cell r="J2912">
            <v>0</v>
          </cell>
          <cell r="K2912">
            <v>0</v>
          </cell>
          <cell r="L2912" t="str">
            <v>借</v>
          </cell>
          <cell r="M2912">
            <v>2880</v>
          </cell>
          <cell r="N2912">
            <v>0</v>
          </cell>
          <cell r="O2912">
            <v>88923.31</v>
          </cell>
        </row>
        <row r="2913">
          <cell r="A2913" t="str">
            <v>12</v>
          </cell>
          <cell r="F2913" t="str">
            <v>本月合计</v>
          </cell>
          <cell r="G2913">
            <v>0</v>
          </cell>
          <cell r="H2913">
            <v>2880</v>
          </cell>
          <cell r="I2913">
            <v>88923.31</v>
          </cell>
          <cell r="J2913">
            <v>0</v>
          </cell>
          <cell r="K2913">
            <v>0</v>
          </cell>
          <cell r="L2913" t="str">
            <v>借</v>
          </cell>
          <cell r="M2913">
            <v>2880</v>
          </cell>
          <cell r="N2913">
            <v>30.876149999999999</v>
          </cell>
          <cell r="O2913">
            <v>88923.31</v>
          </cell>
        </row>
        <row r="2914">
          <cell r="A2914" t="str">
            <v>12</v>
          </cell>
          <cell r="E2914" t="str">
            <v>J12家种去皮甘</v>
          </cell>
          <cell r="F2914" t="str">
            <v>本年累计</v>
          </cell>
          <cell r="G2914">
            <v>0</v>
          </cell>
          <cell r="H2914">
            <v>2880</v>
          </cell>
          <cell r="I2914">
            <v>88923.31</v>
          </cell>
          <cell r="J2914">
            <v>0</v>
          </cell>
          <cell r="K2914">
            <v>0</v>
          </cell>
          <cell r="L2914" t="str">
            <v>借</v>
          </cell>
          <cell r="M2914">
            <v>2880</v>
          </cell>
          <cell r="N2914">
            <v>30.876149999999999</v>
          </cell>
          <cell r="O2914">
            <v>88923.31</v>
          </cell>
        </row>
        <row r="2915">
          <cell r="A2915" t="str">
            <v>12</v>
          </cell>
          <cell r="B2915" t="str">
            <v>11</v>
          </cell>
          <cell r="C2915" t="str">
            <v>记-0131</v>
          </cell>
          <cell r="D2915" t="str">
            <v>251</v>
          </cell>
          <cell r="E2915" t="str">
            <v>J13家种去皮甘</v>
          </cell>
          <cell r="F2915" t="str">
            <v>合并名称</v>
          </cell>
          <cell r="G2915">
            <v>28.22935</v>
          </cell>
          <cell r="H2915">
            <v>-108</v>
          </cell>
          <cell r="I2915">
            <v>-3048.77</v>
          </cell>
          <cell r="J2915">
            <v>0</v>
          </cell>
          <cell r="K2915">
            <v>0</v>
          </cell>
          <cell r="L2915" t="str">
            <v>贷</v>
          </cell>
          <cell r="M2915">
            <v>108</v>
          </cell>
          <cell r="N2915">
            <v>0</v>
          </cell>
          <cell r="O2915">
            <v>3048.77</v>
          </cell>
        </row>
        <row r="2916">
          <cell r="A2916" t="str">
            <v>12</v>
          </cell>
          <cell r="B2916" t="str">
            <v>31</v>
          </cell>
          <cell r="C2916" t="str">
            <v>记-0139</v>
          </cell>
          <cell r="D2916" t="str">
            <v>251</v>
          </cell>
          <cell r="E2916" t="str">
            <v>J13家种去皮甘</v>
          </cell>
          <cell r="F2916" t="str">
            <v>收购产品</v>
          </cell>
          <cell r="G2916">
            <v>29.20354</v>
          </cell>
          <cell r="H2916">
            <v>828</v>
          </cell>
          <cell r="I2916">
            <v>24180.53</v>
          </cell>
          <cell r="J2916">
            <v>0</v>
          </cell>
          <cell r="K2916">
            <v>0</v>
          </cell>
          <cell r="L2916" t="str">
            <v>借</v>
          </cell>
          <cell r="M2916">
            <v>720</v>
          </cell>
          <cell r="N2916">
            <v>0</v>
          </cell>
          <cell r="O2916">
            <v>21131.759999999998</v>
          </cell>
        </row>
        <row r="2917">
          <cell r="A2917" t="str">
            <v>12</v>
          </cell>
          <cell r="B2917" t="str">
            <v>31</v>
          </cell>
          <cell r="C2917" t="str">
            <v>记-0139</v>
          </cell>
          <cell r="D2917" t="str">
            <v>251</v>
          </cell>
          <cell r="E2917" t="str">
            <v>J13家种去皮甘</v>
          </cell>
          <cell r="F2917" t="str">
            <v>收购产品</v>
          </cell>
          <cell r="G2917">
            <v>26.548670000000001</v>
          </cell>
          <cell r="H2917">
            <v>5652</v>
          </cell>
          <cell r="I2917">
            <v>150053.1</v>
          </cell>
          <cell r="J2917">
            <v>0</v>
          </cell>
          <cell r="K2917">
            <v>0</v>
          </cell>
          <cell r="L2917" t="str">
            <v>借</v>
          </cell>
          <cell r="M2917">
            <v>6372</v>
          </cell>
          <cell r="N2917">
            <v>0</v>
          </cell>
          <cell r="O2917">
            <v>171184.86</v>
          </cell>
        </row>
        <row r="2918">
          <cell r="A2918" t="str">
            <v>12</v>
          </cell>
          <cell r="F2918" t="str">
            <v>本月合计</v>
          </cell>
          <cell r="G2918">
            <v>0</v>
          </cell>
          <cell r="H2918">
            <v>6372</v>
          </cell>
          <cell r="I2918">
            <v>171184.86</v>
          </cell>
          <cell r="J2918">
            <v>0</v>
          </cell>
          <cell r="K2918">
            <v>0</v>
          </cell>
          <cell r="L2918" t="str">
            <v>借</v>
          </cell>
          <cell r="M2918">
            <v>6372</v>
          </cell>
          <cell r="N2918">
            <v>26.865169999999999</v>
          </cell>
          <cell r="O2918">
            <v>171184.86</v>
          </cell>
        </row>
        <row r="2919">
          <cell r="A2919" t="str">
            <v>12</v>
          </cell>
          <cell r="E2919" t="str">
            <v>J13家种去皮甘</v>
          </cell>
          <cell r="F2919" t="str">
            <v>本年累计</v>
          </cell>
          <cell r="G2919">
            <v>0</v>
          </cell>
          <cell r="H2919">
            <v>6372</v>
          </cell>
          <cell r="I2919">
            <v>171184.86</v>
          </cell>
          <cell r="J2919">
            <v>0</v>
          </cell>
          <cell r="K2919">
            <v>0</v>
          </cell>
          <cell r="L2919" t="str">
            <v>借</v>
          </cell>
          <cell r="M2919">
            <v>6372</v>
          </cell>
          <cell r="N2919">
            <v>26.865169999999999</v>
          </cell>
          <cell r="O2919">
            <v>171184.86</v>
          </cell>
        </row>
        <row r="2920">
          <cell r="A2920" t="str">
            <v>12</v>
          </cell>
          <cell r="B2920" t="str">
            <v>31</v>
          </cell>
          <cell r="C2920" t="str">
            <v>记-0138</v>
          </cell>
          <cell r="D2920" t="str">
            <v>259</v>
          </cell>
          <cell r="E2920" t="str">
            <v>L11梁外去皮甘</v>
          </cell>
          <cell r="F2920" t="str">
            <v>结转成本</v>
          </cell>
          <cell r="G2920">
            <v>53.1</v>
          </cell>
          <cell r="H2920">
            <v>0</v>
          </cell>
          <cell r="I2920">
            <v>0</v>
          </cell>
          <cell r="J2920">
            <v>60</v>
          </cell>
          <cell r="K2920">
            <v>3186</v>
          </cell>
          <cell r="L2920" t="str">
            <v>贷</v>
          </cell>
          <cell r="M2920">
            <v>60</v>
          </cell>
          <cell r="N2920">
            <v>0</v>
          </cell>
          <cell r="O2920">
            <v>3186</v>
          </cell>
        </row>
        <row r="2921">
          <cell r="A2921" t="str">
            <v>12</v>
          </cell>
          <cell r="B2921" t="str">
            <v>31</v>
          </cell>
          <cell r="C2921" t="str">
            <v>记-0139</v>
          </cell>
          <cell r="D2921" t="str">
            <v>259</v>
          </cell>
          <cell r="E2921" t="str">
            <v>L11梁外去皮甘</v>
          </cell>
          <cell r="F2921" t="str">
            <v>收购产品</v>
          </cell>
          <cell r="G2921">
            <v>53.097329999999999</v>
          </cell>
          <cell r="H2921">
            <v>120</v>
          </cell>
          <cell r="I2921">
            <v>6371.68</v>
          </cell>
          <cell r="J2921">
            <v>0</v>
          </cell>
          <cell r="K2921">
            <v>0</v>
          </cell>
          <cell r="L2921" t="str">
            <v>借</v>
          </cell>
          <cell r="M2921">
            <v>60</v>
          </cell>
          <cell r="N2921">
            <v>0</v>
          </cell>
          <cell r="O2921">
            <v>3185.68</v>
          </cell>
        </row>
        <row r="2922">
          <cell r="A2922" t="str">
            <v>12</v>
          </cell>
          <cell r="B2922" t="str">
            <v>31</v>
          </cell>
          <cell r="C2922" t="str">
            <v>记-0139</v>
          </cell>
          <cell r="D2922" t="str">
            <v>259</v>
          </cell>
          <cell r="E2922" t="str">
            <v>L11梁外去皮甘</v>
          </cell>
          <cell r="F2922" t="str">
            <v>收购产品</v>
          </cell>
          <cell r="G2922">
            <v>57.522170000000003</v>
          </cell>
          <cell r="H2922">
            <v>60</v>
          </cell>
          <cell r="I2922">
            <v>3451.33</v>
          </cell>
          <cell r="J2922">
            <v>0</v>
          </cell>
          <cell r="K2922">
            <v>0</v>
          </cell>
          <cell r="L2922" t="str">
            <v>借</v>
          </cell>
          <cell r="M2922">
            <v>120</v>
          </cell>
          <cell r="N2922">
            <v>0</v>
          </cell>
          <cell r="O2922">
            <v>6637.01</v>
          </cell>
        </row>
        <row r="2923">
          <cell r="A2923" t="str">
            <v>12</v>
          </cell>
          <cell r="F2923" t="str">
            <v>本月合计</v>
          </cell>
          <cell r="G2923">
            <v>0</v>
          </cell>
          <cell r="H2923">
            <v>180</v>
          </cell>
          <cell r="I2923">
            <v>9823.01</v>
          </cell>
          <cell r="J2923">
            <v>60</v>
          </cell>
          <cell r="K2923">
            <v>3186</v>
          </cell>
          <cell r="L2923" t="str">
            <v>借</v>
          </cell>
          <cell r="M2923">
            <v>120</v>
          </cell>
          <cell r="N2923">
            <v>55.308419999999998</v>
          </cell>
          <cell r="O2923">
            <v>6637.01</v>
          </cell>
        </row>
        <row r="2924">
          <cell r="A2924" t="str">
            <v>12</v>
          </cell>
          <cell r="E2924" t="str">
            <v>L11梁外去皮甘</v>
          </cell>
          <cell r="F2924" t="str">
            <v>本年累计</v>
          </cell>
          <cell r="G2924">
            <v>0</v>
          </cell>
          <cell r="H2924">
            <v>180</v>
          </cell>
          <cell r="I2924">
            <v>9823.01</v>
          </cell>
          <cell r="J2924">
            <v>60</v>
          </cell>
          <cell r="K2924">
            <v>3186</v>
          </cell>
          <cell r="L2924" t="str">
            <v>借</v>
          </cell>
          <cell r="M2924">
            <v>120</v>
          </cell>
          <cell r="N2924">
            <v>55.308419999999998</v>
          </cell>
          <cell r="O2924">
            <v>6637.01</v>
          </cell>
        </row>
        <row r="2925">
          <cell r="A2925" t="str">
            <v>12</v>
          </cell>
          <cell r="B2925" t="str">
            <v>31</v>
          </cell>
          <cell r="C2925" t="str">
            <v>记-0138</v>
          </cell>
          <cell r="D2925" t="str">
            <v>260</v>
          </cell>
          <cell r="E2925" t="str">
            <v>L12梁外去皮甘</v>
          </cell>
          <cell r="F2925" t="str">
            <v>结转成本</v>
          </cell>
          <cell r="G2925">
            <v>44.25</v>
          </cell>
          <cell r="H2925">
            <v>0</v>
          </cell>
          <cell r="I2925">
            <v>0</v>
          </cell>
          <cell r="J2925">
            <v>60</v>
          </cell>
          <cell r="K2925">
            <v>2655</v>
          </cell>
          <cell r="L2925" t="str">
            <v>贷</v>
          </cell>
          <cell r="M2925">
            <v>60</v>
          </cell>
          <cell r="N2925">
            <v>0</v>
          </cell>
          <cell r="O2925">
            <v>2655</v>
          </cell>
        </row>
        <row r="2926">
          <cell r="A2926" t="str">
            <v>12</v>
          </cell>
          <cell r="B2926" t="str">
            <v>31</v>
          </cell>
          <cell r="C2926" t="str">
            <v>记-0139</v>
          </cell>
          <cell r="D2926" t="str">
            <v>260</v>
          </cell>
          <cell r="E2926" t="str">
            <v>L12梁外去皮甘</v>
          </cell>
          <cell r="F2926" t="str">
            <v>收购产品</v>
          </cell>
          <cell r="G2926">
            <v>44.247790000000002</v>
          </cell>
          <cell r="H2926">
            <v>660</v>
          </cell>
          <cell r="I2926">
            <v>29203.54</v>
          </cell>
          <cell r="J2926">
            <v>0</v>
          </cell>
          <cell r="K2926">
            <v>0</v>
          </cell>
          <cell r="L2926" t="str">
            <v>借</v>
          </cell>
          <cell r="M2926">
            <v>600</v>
          </cell>
          <cell r="N2926">
            <v>0</v>
          </cell>
          <cell r="O2926">
            <v>26548.54</v>
          </cell>
        </row>
        <row r="2927">
          <cell r="A2927" t="str">
            <v>12</v>
          </cell>
          <cell r="F2927" t="str">
            <v>本月合计</v>
          </cell>
          <cell r="G2927">
            <v>0</v>
          </cell>
          <cell r="H2927">
            <v>660</v>
          </cell>
          <cell r="I2927">
            <v>29203.54</v>
          </cell>
          <cell r="J2927">
            <v>60</v>
          </cell>
          <cell r="K2927">
            <v>2655</v>
          </cell>
          <cell r="L2927" t="str">
            <v>借</v>
          </cell>
          <cell r="M2927">
            <v>600</v>
          </cell>
          <cell r="N2927">
            <v>44.247570000000003</v>
          </cell>
          <cell r="O2927">
            <v>26548.54</v>
          </cell>
        </row>
        <row r="2928">
          <cell r="A2928" t="str">
            <v>12</v>
          </cell>
          <cell r="E2928" t="str">
            <v>L12梁外去皮甘</v>
          </cell>
          <cell r="F2928" t="str">
            <v>本年累计</v>
          </cell>
          <cell r="G2928">
            <v>0</v>
          </cell>
          <cell r="H2928">
            <v>660</v>
          </cell>
          <cell r="I2928">
            <v>29203.54</v>
          </cell>
          <cell r="J2928">
            <v>60</v>
          </cell>
          <cell r="K2928">
            <v>2655</v>
          </cell>
          <cell r="L2928" t="str">
            <v>借</v>
          </cell>
          <cell r="M2928">
            <v>600</v>
          </cell>
          <cell r="N2928">
            <v>44.247570000000003</v>
          </cell>
          <cell r="O2928">
            <v>26548.54</v>
          </cell>
        </row>
        <row r="2929">
          <cell r="A2929" t="str">
            <v>12</v>
          </cell>
          <cell r="B2929" t="str">
            <v>31</v>
          </cell>
          <cell r="C2929" t="str">
            <v>记-0138</v>
          </cell>
          <cell r="D2929" t="str">
            <v>261</v>
          </cell>
          <cell r="E2929" t="str">
            <v>L13梁外去皮甘</v>
          </cell>
          <cell r="F2929" t="str">
            <v>结转成本</v>
          </cell>
          <cell r="G2929">
            <v>37.17</v>
          </cell>
          <cell r="H2929">
            <v>0</v>
          </cell>
          <cell r="I2929">
            <v>0</v>
          </cell>
          <cell r="J2929">
            <v>60</v>
          </cell>
          <cell r="K2929">
            <v>2230.1999999999998</v>
          </cell>
          <cell r="L2929" t="str">
            <v>贷</v>
          </cell>
          <cell r="M2929">
            <v>60</v>
          </cell>
          <cell r="N2929">
            <v>0</v>
          </cell>
          <cell r="O2929">
            <v>2230.1999999999998</v>
          </cell>
        </row>
        <row r="2930">
          <cell r="A2930" t="str">
            <v>12</v>
          </cell>
          <cell r="B2930" t="str">
            <v>31</v>
          </cell>
          <cell r="C2930" t="str">
            <v>记-0138</v>
          </cell>
          <cell r="D2930" t="str">
            <v>261</v>
          </cell>
          <cell r="E2930" t="str">
            <v>L13梁外去皮甘</v>
          </cell>
          <cell r="F2930" t="str">
            <v>结转成本</v>
          </cell>
          <cell r="G2930">
            <v>37.17</v>
          </cell>
          <cell r="H2930">
            <v>0</v>
          </cell>
          <cell r="I2930">
            <v>0</v>
          </cell>
          <cell r="J2930">
            <v>150</v>
          </cell>
          <cell r="K2930">
            <v>5575.5</v>
          </cell>
          <cell r="L2930" t="str">
            <v>贷</v>
          </cell>
          <cell r="M2930">
            <v>210</v>
          </cell>
          <cell r="N2930">
            <v>0</v>
          </cell>
          <cell r="O2930">
            <v>7805.7</v>
          </cell>
        </row>
        <row r="2931">
          <cell r="A2931" t="str">
            <v>12</v>
          </cell>
          <cell r="B2931" t="str">
            <v>31</v>
          </cell>
          <cell r="C2931" t="str">
            <v>记-0139</v>
          </cell>
          <cell r="D2931" t="str">
            <v>261</v>
          </cell>
          <cell r="E2931" t="str">
            <v>L13梁外去皮甘</v>
          </cell>
          <cell r="F2931" t="str">
            <v>收购产品</v>
          </cell>
          <cell r="G2931">
            <v>37.168140000000001</v>
          </cell>
          <cell r="H2931">
            <v>1380</v>
          </cell>
          <cell r="I2931">
            <v>51292.04</v>
          </cell>
          <cell r="J2931">
            <v>0</v>
          </cell>
          <cell r="K2931">
            <v>0</v>
          </cell>
          <cell r="L2931" t="str">
            <v>借</v>
          </cell>
          <cell r="M2931">
            <v>1170</v>
          </cell>
          <cell r="N2931">
            <v>0</v>
          </cell>
          <cell r="O2931">
            <v>43486.34</v>
          </cell>
        </row>
        <row r="2932">
          <cell r="A2932" t="str">
            <v>12</v>
          </cell>
          <cell r="F2932" t="str">
            <v>本月合计</v>
          </cell>
          <cell r="G2932">
            <v>0</v>
          </cell>
          <cell r="H2932">
            <v>1380</v>
          </cell>
          <cell r="I2932">
            <v>51292.04</v>
          </cell>
          <cell r="J2932">
            <v>210</v>
          </cell>
          <cell r="K2932">
            <v>7805.7</v>
          </cell>
          <cell r="L2932" t="str">
            <v>借</v>
          </cell>
          <cell r="M2932">
            <v>1170</v>
          </cell>
          <cell r="N2932">
            <v>37.167810000000003</v>
          </cell>
          <cell r="O2932">
            <v>43486.34</v>
          </cell>
        </row>
        <row r="2933">
          <cell r="A2933" t="str">
            <v>12</v>
          </cell>
          <cell r="E2933" t="str">
            <v>L13梁外去皮甘</v>
          </cell>
          <cell r="F2933" t="str">
            <v>本年累计</v>
          </cell>
          <cell r="G2933">
            <v>0</v>
          </cell>
          <cell r="H2933">
            <v>1380</v>
          </cell>
          <cell r="I2933">
            <v>51292.04</v>
          </cell>
          <cell r="J2933">
            <v>210</v>
          </cell>
          <cell r="K2933">
            <v>7805.7</v>
          </cell>
          <cell r="L2933" t="str">
            <v>借</v>
          </cell>
          <cell r="M2933">
            <v>1170</v>
          </cell>
          <cell r="N2933">
            <v>37.167810000000003</v>
          </cell>
          <cell r="O2933">
            <v>43486.34</v>
          </cell>
        </row>
        <row r="2934">
          <cell r="A2934" t="str">
            <v>12</v>
          </cell>
          <cell r="B2934" t="str">
            <v>31</v>
          </cell>
          <cell r="C2934" t="str">
            <v>记-0139</v>
          </cell>
          <cell r="D2934" t="str">
            <v>266</v>
          </cell>
          <cell r="E2934" t="str">
            <v>L23梁外甘草片</v>
          </cell>
          <cell r="F2934" t="str">
            <v>收购产品</v>
          </cell>
          <cell r="G2934">
            <v>48.672600000000003</v>
          </cell>
          <cell r="H2934">
            <v>50</v>
          </cell>
          <cell r="I2934">
            <v>2433.63</v>
          </cell>
          <cell r="J2934">
            <v>0</v>
          </cell>
          <cell r="K2934">
            <v>0</v>
          </cell>
          <cell r="L2934" t="str">
            <v>借</v>
          </cell>
          <cell r="M2934">
            <v>50</v>
          </cell>
          <cell r="N2934">
            <v>0</v>
          </cell>
          <cell r="O2934">
            <v>2433.63</v>
          </cell>
        </row>
        <row r="2935">
          <cell r="A2935" t="str">
            <v>12</v>
          </cell>
          <cell r="F2935" t="str">
            <v>本月合计</v>
          </cell>
          <cell r="G2935">
            <v>0</v>
          </cell>
          <cell r="H2935">
            <v>50</v>
          </cell>
          <cell r="I2935">
            <v>2433.63</v>
          </cell>
          <cell r="J2935">
            <v>0</v>
          </cell>
          <cell r="K2935">
            <v>0</v>
          </cell>
          <cell r="L2935" t="str">
            <v>借</v>
          </cell>
          <cell r="M2935">
            <v>50</v>
          </cell>
          <cell r="N2935">
            <v>48.672600000000003</v>
          </cell>
          <cell r="O2935">
            <v>2433.63</v>
          </cell>
        </row>
        <row r="2936">
          <cell r="A2936" t="str">
            <v>12</v>
          </cell>
          <cell r="F2936" t="str">
            <v>本年累计</v>
          </cell>
          <cell r="G2936">
            <v>0</v>
          </cell>
          <cell r="H2936">
            <v>50</v>
          </cell>
          <cell r="I2936">
            <v>2433.63</v>
          </cell>
          <cell r="J2936">
            <v>0</v>
          </cell>
          <cell r="K2936">
            <v>0</v>
          </cell>
          <cell r="L2936" t="str">
            <v>借</v>
          </cell>
          <cell r="M2936">
            <v>50</v>
          </cell>
          <cell r="N2936">
            <v>48.672600000000003</v>
          </cell>
          <cell r="O2936">
            <v>2433.63</v>
          </cell>
        </row>
        <row r="2937">
          <cell r="A2937" t="str">
            <v>12</v>
          </cell>
          <cell r="B2937" t="str">
            <v>31</v>
          </cell>
          <cell r="C2937" t="str">
            <v>记-0138</v>
          </cell>
          <cell r="D2937" t="str">
            <v>267</v>
          </cell>
          <cell r="E2937" t="str">
            <v>L24梁外甘草片</v>
          </cell>
          <cell r="F2937" t="str">
            <v>结转成本</v>
          </cell>
          <cell r="G2937">
            <v>30.97</v>
          </cell>
          <cell r="H2937">
            <v>0</v>
          </cell>
          <cell r="I2937">
            <v>0</v>
          </cell>
          <cell r="J2937">
            <v>150</v>
          </cell>
          <cell r="K2937">
            <v>4645.5</v>
          </cell>
          <cell r="L2937" t="str">
            <v>贷</v>
          </cell>
          <cell r="M2937">
            <v>150</v>
          </cell>
          <cell r="N2937">
            <v>0</v>
          </cell>
          <cell r="O2937">
            <v>4645.5</v>
          </cell>
        </row>
        <row r="2938">
          <cell r="A2938" t="str">
            <v>12</v>
          </cell>
          <cell r="B2938" t="str">
            <v>31</v>
          </cell>
          <cell r="C2938" t="str">
            <v>记-0139</v>
          </cell>
          <cell r="D2938" t="str">
            <v>267</v>
          </cell>
          <cell r="E2938" t="str">
            <v>L24梁外甘草片</v>
          </cell>
          <cell r="F2938" t="str">
            <v>收购产品</v>
          </cell>
          <cell r="G2938">
            <v>29.20354</v>
          </cell>
          <cell r="H2938">
            <v>2352</v>
          </cell>
          <cell r="I2938">
            <v>68686.73</v>
          </cell>
          <cell r="J2938">
            <v>0</v>
          </cell>
          <cell r="K2938">
            <v>0</v>
          </cell>
          <cell r="L2938" t="str">
            <v>借</v>
          </cell>
          <cell r="M2938">
            <v>2202</v>
          </cell>
          <cell r="N2938">
            <v>0</v>
          </cell>
          <cell r="O2938">
            <v>64041.23</v>
          </cell>
        </row>
        <row r="2939">
          <cell r="A2939" t="str">
            <v>12</v>
          </cell>
          <cell r="B2939" t="str">
            <v>31</v>
          </cell>
          <cell r="C2939" t="str">
            <v>记-0139</v>
          </cell>
          <cell r="D2939" t="str">
            <v>267</v>
          </cell>
          <cell r="E2939" t="str">
            <v>L24梁外甘草片</v>
          </cell>
          <cell r="F2939" t="str">
            <v>收购产品</v>
          </cell>
          <cell r="G2939">
            <v>30.97345</v>
          </cell>
          <cell r="H2939">
            <v>600</v>
          </cell>
          <cell r="I2939">
            <v>18584.07</v>
          </cell>
          <cell r="J2939">
            <v>0</v>
          </cell>
          <cell r="K2939">
            <v>0</v>
          </cell>
          <cell r="L2939" t="str">
            <v>借</v>
          </cell>
          <cell r="M2939">
            <v>2802</v>
          </cell>
          <cell r="N2939">
            <v>0</v>
          </cell>
          <cell r="O2939">
            <v>82625.3</v>
          </cell>
        </row>
        <row r="2940">
          <cell r="A2940" t="str">
            <v>12</v>
          </cell>
          <cell r="F2940" t="str">
            <v>本月合计</v>
          </cell>
          <cell r="G2940">
            <v>0</v>
          </cell>
          <cell r="H2940">
            <v>2952</v>
          </cell>
          <cell r="I2940">
            <v>87270.8</v>
          </cell>
          <cell r="J2940">
            <v>150</v>
          </cell>
          <cell r="K2940">
            <v>4645.5</v>
          </cell>
          <cell r="L2940" t="str">
            <v>借</v>
          </cell>
          <cell r="M2940">
            <v>2802</v>
          </cell>
          <cell r="N2940">
            <v>29.487970000000001</v>
          </cell>
          <cell r="O2940">
            <v>82625.3</v>
          </cell>
        </row>
        <row r="2941">
          <cell r="A2941" t="str">
            <v>12</v>
          </cell>
          <cell r="E2941" t="str">
            <v>L24梁外甘草片</v>
          </cell>
          <cell r="F2941" t="str">
            <v>本年累计</v>
          </cell>
          <cell r="G2941">
            <v>0</v>
          </cell>
          <cell r="H2941">
            <v>2952</v>
          </cell>
          <cell r="I2941">
            <v>87270.8</v>
          </cell>
          <cell r="J2941">
            <v>150</v>
          </cell>
          <cell r="K2941">
            <v>4645.5</v>
          </cell>
          <cell r="L2941" t="str">
            <v>借</v>
          </cell>
          <cell r="M2941">
            <v>2802</v>
          </cell>
          <cell r="N2941">
            <v>29.487970000000001</v>
          </cell>
          <cell r="O2941">
            <v>82625.3</v>
          </cell>
        </row>
        <row r="2942">
          <cell r="A2942" t="str">
            <v>12</v>
          </cell>
          <cell r="B2942" t="str">
            <v>31</v>
          </cell>
          <cell r="C2942" t="str">
            <v>记-0138</v>
          </cell>
          <cell r="D2942" t="str">
            <v>268</v>
          </cell>
          <cell r="E2942" t="str">
            <v>L25梁外甘草片</v>
          </cell>
          <cell r="F2942" t="str">
            <v>结转成本</v>
          </cell>
          <cell r="G2942">
            <v>25.66</v>
          </cell>
          <cell r="H2942">
            <v>0</v>
          </cell>
          <cell r="I2942">
            <v>0</v>
          </cell>
          <cell r="J2942">
            <v>56</v>
          </cell>
          <cell r="K2942">
            <v>1436.96</v>
          </cell>
          <cell r="L2942" t="str">
            <v>贷</v>
          </cell>
          <cell r="M2942">
            <v>56</v>
          </cell>
          <cell r="N2942">
            <v>0</v>
          </cell>
          <cell r="O2942">
            <v>1436.96</v>
          </cell>
        </row>
        <row r="2943">
          <cell r="A2943" t="str">
            <v>12</v>
          </cell>
          <cell r="B2943" t="str">
            <v>31</v>
          </cell>
          <cell r="C2943" t="str">
            <v>记-0139</v>
          </cell>
          <cell r="D2943" t="str">
            <v>268</v>
          </cell>
          <cell r="E2943" t="str">
            <v>L25梁外甘草片</v>
          </cell>
          <cell r="F2943" t="str">
            <v>收购产品</v>
          </cell>
          <cell r="G2943">
            <v>25.663720000000001</v>
          </cell>
          <cell r="H2943">
            <v>2016</v>
          </cell>
          <cell r="I2943">
            <v>51738.05</v>
          </cell>
          <cell r="J2943">
            <v>0</v>
          </cell>
          <cell r="K2943">
            <v>0</v>
          </cell>
          <cell r="L2943" t="str">
            <v>借</v>
          </cell>
          <cell r="M2943">
            <v>1960</v>
          </cell>
          <cell r="N2943">
            <v>0</v>
          </cell>
          <cell r="O2943">
            <v>50301.09</v>
          </cell>
        </row>
        <row r="2944">
          <cell r="A2944" t="str">
            <v>12</v>
          </cell>
          <cell r="F2944" t="str">
            <v>本月合计</v>
          </cell>
          <cell r="G2944">
            <v>0</v>
          </cell>
          <cell r="H2944">
            <v>2016</v>
          </cell>
          <cell r="I2944">
            <v>51738.05</v>
          </cell>
          <cell r="J2944">
            <v>56</v>
          </cell>
          <cell r="K2944">
            <v>1436.96</v>
          </cell>
          <cell r="L2944" t="str">
            <v>借</v>
          </cell>
          <cell r="M2944">
            <v>1960</v>
          </cell>
          <cell r="N2944">
            <v>25.663820000000001</v>
          </cell>
          <cell r="O2944">
            <v>50301.09</v>
          </cell>
        </row>
        <row r="2945">
          <cell r="A2945" t="str">
            <v>12</v>
          </cell>
          <cell r="E2945" t="str">
            <v>L25梁外甘草片</v>
          </cell>
          <cell r="F2945" t="str">
            <v>本年累计</v>
          </cell>
          <cell r="G2945">
            <v>0</v>
          </cell>
          <cell r="H2945">
            <v>2016</v>
          </cell>
          <cell r="I2945">
            <v>51738.05</v>
          </cell>
          <cell r="J2945">
            <v>56</v>
          </cell>
          <cell r="K2945">
            <v>1436.96</v>
          </cell>
          <cell r="L2945" t="str">
            <v>借</v>
          </cell>
          <cell r="M2945">
            <v>1960</v>
          </cell>
          <cell r="N2945">
            <v>25.663820000000001</v>
          </cell>
          <cell r="O2945">
            <v>50301.09</v>
          </cell>
        </row>
        <row r="2946">
          <cell r="E2946" t="str">
            <v>科目合计</v>
          </cell>
          <cell r="F2946" t="str">
            <v>上年结转</v>
          </cell>
          <cell r="G2946">
            <v>0</v>
          </cell>
          <cell r="H2946">
            <v>0</v>
          </cell>
          <cell r="I2946">
            <v>0</v>
          </cell>
          <cell r="J2946">
            <v>0</v>
          </cell>
          <cell r="K2946">
            <v>0</v>
          </cell>
          <cell r="L2946" t="str">
            <v>借</v>
          </cell>
          <cell r="M2946">
            <v>151673.52499999999</v>
          </cell>
          <cell r="N2946">
            <v>55.410800000000002</v>
          </cell>
          <cell r="O2946">
            <v>8404350.6300000008</v>
          </cell>
        </row>
        <row r="2947">
          <cell r="A2947" t="str">
            <v>01</v>
          </cell>
          <cell r="F2947" t="str">
            <v>本月合计</v>
          </cell>
          <cell r="G2947">
            <v>0</v>
          </cell>
          <cell r="H2947">
            <v>23068.343000000001</v>
          </cell>
          <cell r="I2947">
            <v>4406709.1900000004</v>
          </cell>
          <cell r="J2947">
            <v>39262.296999999999</v>
          </cell>
          <cell r="K2947">
            <v>6420336.6799999997</v>
          </cell>
          <cell r="L2947" t="str">
            <v>借</v>
          </cell>
          <cell r="M2947">
            <v>135479.571</v>
          </cell>
          <cell r="N2947">
            <v>47.171120000000002</v>
          </cell>
          <cell r="O2947">
            <v>6390723.1399999997</v>
          </cell>
        </row>
        <row r="2948">
          <cell r="A2948" t="str">
            <v>01</v>
          </cell>
          <cell r="F2948" t="str">
            <v>累    计</v>
          </cell>
          <cell r="G2948">
            <v>0</v>
          </cell>
          <cell r="H2948">
            <v>23068.343000000001</v>
          </cell>
          <cell r="I2948">
            <v>4406709.1900000004</v>
          </cell>
          <cell r="J2948">
            <v>39262.296999999999</v>
          </cell>
          <cell r="K2948">
            <v>6420336.6799999997</v>
          </cell>
          <cell r="L2948" t="str">
            <v>借</v>
          </cell>
          <cell r="M2948">
            <v>135479.571</v>
          </cell>
          <cell r="N2948">
            <v>47.171120000000002</v>
          </cell>
          <cell r="O2948">
            <v>6390723.1399999997</v>
          </cell>
        </row>
        <row r="2949">
          <cell r="A2949" t="str">
            <v>02</v>
          </cell>
          <cell r="F2949" t="str">
            <v>本月合计</v>
          </cell>
          <cell r="G2949">
            <v>0</v>
          </cell>
          <cell r="H2949">
            <v>64597.896999999997</v>
          </cell>
          <cell r="I2949">
            <v>6918227.4100000001</v>
          </cell>
          <cell r="J2949">
            <v>138193.35699999999</v>
          </cell>
          <cell r="K2949">
            <v>11863980.99</v>
          </cell>
          <cell r="L2949" t="str">
            <v>借</v>
          </cell>
          <cell r="M2949">
            <v>61884.110999999997</v>
          </cell>
          <cell r="N2949">
            <v>23.349609999999998</v>
          </cell>
          <cell r="O2949">
            <v>1444969.56</v>
          </cell>
        </row>
        <row r="2950">
          <cell r="A2950" t="str">
            <v>02</v>
          </cell>
          <cell r="F2950" t="str">
            <v>累    计</v>
          </cell>
          <cell r="G2950">
            <v>0</v>
          </cell>
          <cell r="H2950">
            <v>87666.240000000005</v>
          </cell>
          <cell r="I2950">
            <v>11324936.6</v>
          </cell>
          <cell r="J2950">
            <v>177455.65400000001</v>
          </cell>
          <cell r="K2950">
            <v>18284317.670000002</v>
          </cell>
          <cell r="L2950" t="str">
            <v>借</v>
          </cell>
          <cell r="M2950">
            <v>61884.110999999997</v>
          </cell>
          <cell r="N2950">
            <v>23.349609999999998</v>
          </cell>
          <cell r="O2950">
            <v>1444969.56</v>
          </cell>
        </row>
        <row r="2951">
          <cell r="A2951" t="str">
            <v>03</v>
          </cell>
          <cell r="F2951" t="str">
            <v>本月合计</v>
          </cell>
          <cell r="G2951">
            <v>0</v>
          </cell>
          <cell r="H2951">
            <v>16825.5</v>
          </cell>
          <cell r="I2951">
            <v>4415484.79</v>
          </cell>
          <cell r="J2951">
            <v>72632.274000000005</v>
          </cell>
          <cell r="K2951">
            <v>5452802.9900000002</v>
          </cell>
          <cell r="L2951" t="str">
            <v>借</v>
          </cell>
          <cell r="M2951">
            <v>6077.3370000000004</v>
          </cell>
          <cell r="N2951">
            <v>67.077299999999994</v>
          </cell>
          <cell r="O2951">
            <v>407651.36</v>
          </cell>
        </row>
        <row r="2952">
          <cell r="A2952" t="str">
            <v>03</v>
          </cell>
          <cell r="F2952" t="str">
            <v>累    计</v>
          </cell>
          <cell r="G2952">
            <v>0</v>
          </cell>
          <cell r="H2952">
            <v>104491.74</v>
          </cell>
          <cell r="I2952">
            <v>15740421.390000001</v>
          </cell>
          <cell r="J2952">
            <v>250087.92800000001</v>
          </cell>
          <cell r="K2952">
            <v>23737120.66</v>
          </cell>
          <cell r="L2952" t="str">
            <v>借</v>
          </cell>
          <cell r="M2952">
            <v>6077.3370000000004</v>
          </cell>
          <cell r="N2952">
            <v>67.077299999999994</v>
          </cell>
          <cell r="O2952">
            <v>407651.36</v>
          </cell>
        </row>
        <row r="2953">
          <cell r="A2953" t="str">
            <v>04</v>
          </cell>
          <cell r="F2953" t="str">
            <v>本月合计</v>
          </cell>
          <cell r="G2953">
            <v>0</v>
          </cell>
          <cell r="H2953">
            <v>19940.305</v>
          </cell>
          <cell r="I2953">
            <v>3270755.13</v>
          </cell>
          <cell r="J2953">
            <v>149810.405</v>
          </cell>
          <cell r="K2953">
            <v>4896736.5999999996</v>
          </cell>
          <cell r="L2953" t="str">
            <v>贷</v>
          </cell>
          <cell r="M2953">
            <v>123792.76300000001</v>
          </cell>
          <cell r="N2953">
            <v>9.8416899999999998</v>
          </cell>
          <cell r="O2953">
            <v>1218330.1100000001</v>
          </cell>
        </row>
        <row r="2954">
          <cell r="A2954" t="str">
            <v>04</v>
          </cell>
          <cell r="F2954" t="str">
            <v>累    计</v>
          </cell>
          <cell r="G2954">
            <v>0</v>
          </cell>
          <cell r="H2954">
            <v>124432.045</v>
          </cell>
          <cell r="I2954">
            <v>19011176.52</v>
          </cell>
          <cell r="J2954">
            <v>399898.33299999998</v>
          </cell>
          <cell r="K2954">
            <v>28633857.260000002</v>
          </cell>
          <cell r="L2954" t="str">
            <v>贷</v>
          </cell>
          <cell r="M2954">
            <v>123792.76300000001</v>
          </cell>
          <cell r="N2954">
            <v>9.8416899999999998</v>
          </cell>
          <cell r="O2954">
            <v>1218330.1100000001</v>
          </cell>
        </row>
        <row r="2955">
          <cell r="A2955" t="str">
            <v>05</v>
          </cell>
          <cell r="F2955" t="str">
            <v>本月合计</v>
          </cell>
          <cell r="G2955">
            <v>0</v>
          </cell>
          <cell r="H2955">
            <v>237535.10920000001</v>
          </cell>
          <cell r="I2955">
            <v>10878120.98</v>
          </cell>
          <cell r="J2955">
            <v>143487.47889999999</v>
          </cell>
          <cell r="K2955">
            <v>9785396.3699999992</v>
          </cell>
          <cell r="L2955" t="str">
            <v>贷</v>
          </cell>
          <cell r="M2955">
            <v>29745.132699999998</v>
          </cell>
          <cell r="N2955">
            <v>4.2227199999999998</v>
          </cell>
          <cell r="O2955">
            <v>125605.5</v>
          </cell>
        </row>
        <row r="2956">
          <cell r="A2956" t="str">
            <v>05</v>
          </cell>
          <cell r="F2956" t="str">
            <v>累    计</v>
          </cell>
          <cell r="G2956">
            <v>0</v>
          </cell>
          <cell r="H2956">
            <v>361967.15419999999</v>
          </cell>
          <cell r="I2956">
            <v>29889297.5</v>
          </cell>
          <cell r="J2956">
            <v>543385.81189999997</v>
          </cell>
          <cell r="K2956">
            <v>38419253.630000003</v>
          </cell>
          <cell r="L2956" t="str">
            <v>贷</v>
          </cell>
          <cell r="M2956">
            <v>29745.132699999998</v>
          </cell>
          <cell r="N2956">
            <v>4.2227199999999998</v>
          </cell>
          <cell r="O2956">
            <v>125605.5</v>
          </cell>
        </row>
        <row r="2957">
          <cell r="A2957" t="str">
            <v>06</v>
          </cell>
          <cell r="F2957" t="str">
            <v>本月合计</v>
          </cell>
          <cell r="G2957">
            <v>0</v>
          </cell>
          <cell r="H2957">
            <v>1136134.19</v>
          </cell>
          <cell r="I2957">
            <v>25026785.690000001</v>
          </cell>
          <cell r="J2957">
            <v>1186339.5900000001</v>
          </cell>
          <cell r="K2957">
            <v>25341117.449999999</v>
          </cell>
          <cell r="L2957" t="str">
            <v>贷</v>
          </cell>
          <cell r="M2957">
            <v>79950.532699999996</v>
          </cell>
          <cell r="N2957">
            <v>5.5026200000000003</v>
          </cell>
          <cell r="O2957">
            <v>439937.26</v>
          </cell>
        </row>
        <row r="2958">
          <cell r="A2958" t="str">
            <v>06</v>
          </cell>
          <cell r="F2958" t="str">
            <v>累    计</v>
          </cell>
          <cell r="G2958">
            <v>0</v>
          </cell>
          <cell r="H2958">
            <v>1498101.3441999999</v>
          </cell>
          <cell r="I2958">
            <v>54916083.189999998</v>
          </cell>
          <cell r="J2958">
            <v>1729725.4018999999</v>
          </cell>
          <cell r="K2958">
            <v>63760371.079999998</v>
          </cell>
          <cell r="L2958" t="str">
            <v>贷</v>
          </cell>
          <cell r="M2958">
            <v>79950.532699999996</v>
          </cell>
          <cell r="N2958">
            <v>5.5026200000000003</v>
          </cell>
          <cell r="O2958">
            <v>439937.26</v>
          </cell>
        </row>
        <row r="2959">
          <cell r="A2959" t="str">
            <v>07</v>
          </cell>
          <cell r="F2959" t="str">
            <v>本月合计</v>
          </cell>
          <cell r="G2959">
            <v>0</v>
          </cell>
          <cell r="H2959">
            <v>135176.56210000001</v>
          </cell>
          <cell r="I2959">
            <v>10882940.73</v>
          </cell>
          <cell r="J2959">
            <v>127737.3621</v>
          </cell>
          <cell r="K2959">
            <v>10911359.76</v>
          </cell>
          <cell r="L2959" t="str">
            <v>贷</v>
          </cell>
          <cell r="M2959">
            <v>72511.332699999999</v>
          </cell>
          <cell r="N2959">
            <v>6.4590800000000002</v>
          </cell>
          <cell r="O2959">
            <v>468356.29</v>
          </cell>
        </row>
        <row r="2960">
          <cell r="A2960" t="str">
            <v>07</v>
          </cell>
          <cell r="F2960" t="str">
            <v>累    计</v>
          </cell>
          <cell r="G2960">
            <v>0</v>
          </cell>
          <cell r="H2960">
            <v>1633277.9062999999</v>
          </cell>
          <cell r="I2960">
            <v>65799023.920000002</v>
          </cell>
          <cell r="J2960">
            <v>1857462.764</v>
          </cell>
          <cell r="K2960">
            <v>74671730.840000004</v>
          </cell>
          <cell r="L2960" t="str">
            <v>贷</v>
          </cell>
          <cell r="M2960">
            <v>72511.332699999999</v>
          </cell>
          <cell r="N2960">
            <v>6.4590800000000002</v>
          </cell>
          <cell r="O2960">
            <v>468356.29</v>
          </cell>
        </row>
        <row r="2961">
          <cell r="A2961" t="str">
            <v>08</v>
          </cell>
          <cell r="F2961" t="str">
            <v>本月合计</v>
          </cell>
          <cell r="G2961">
            <v>0</v>
          </cell>
          <cell r="H2961">
            <v>50147.461000000003</v>
          </cell>
          <cell r="I2961">
            <v>9525303.2300000004</v>
          </cell>
          <cell r="J2961">
            <v>1207.461</v>
          </cell>
          <cell r="K2961">
            <v>9366844.8200000003</v>
          </cell>
          <cell r="L2961" t="str">
            <v>贷</v>
          </cell>
          <cell r="M2961">
            <v>23571.332699999999</v>
          </cell>
          <cell r="N2961">
            <v>13.14724</v>
          </cell>
          <cell r="O2961">
            <v>309897.88</v>
          </cell>
        </row>
        <row r="2962">
          <cell r="A2962" t="str">
            <v>08</v>
          </cell>
          <cell r="F2962" t="str">
            <v>累    计</v>
          </cell>
          <cell r="G2962">
            <v>0</v>
          </cell>
          <cell r="H2962">
            <v>1683425.3673</v>
          </cell>
          <cell r="I2962">
            <v>75324327.150000006</v>
          </cell>
          <cell r="J2962">
            <v>1858670.2250000001</v>
          </cell>
          <cell r="K2962">
            <v>84038575.659999996</v>
          </cell>
          <cell r="L2962" t="str">
            <v>贷</v>
          </cell>
          <cell r="M2962">
            <v>23571.332699999999</v>
          </cell>
          <cell r="N2962">
            <v>13.14724</v>
          </cell>
          <cell r="O2962">
            <v>309897.88</v>
          </cell>
        </row>
        <row r="2963">
          <cell r="A2963" t="str">
            <v>09</v>
          </cell>
          <cell r="F2963" t="str">
            <v>本月合计</v>
          </cell>
          <cell r="G2963">
            <v>0</v>
          </cell>
          <cell r="H2963">
            <v>50120.896999999997</v>
          </cell>
          <cell r="I2963">
            <v>10902562.810000001</v>
          </cell>
          <cell r="J2963">
            <v>83620.096999999994</v>
          </cell>
          <cell r="K2963">
            <v>11131830.49</v>
          </cell>
          <cell r="L2963" t="str">
            <v>贷</v>
          </cell>
          <cell r="M2963">
            <v>57070.532700000003</v>
          </cell>
          <cell r="N2963">
            <v>9.4473500000000001</v>
          </cell>
          <cell r="O2963">
            <v>539165.56000000006</v>
          </cell>
        </row>
        <row r="2964">
          <cell r="A2964" t="str">
            <v>09</v>
          </cell>
          <cell r="F2964" t="str">
            <v>累    计</v>
          </cell>
          <cell r="G2964">
            <v>0</v>
          </cell>
          <cell r="H2964">
            <v>1733546.2642999999</v>
          </cell>
          <cell r="I2964">
            <v>86226889.959999993</v>
          </cell>
          <cell r="J2964">
            <v>1942290.3219999999</v>
          </cell>
          <cell r="K2964">
            <v>95170406.150000006</v>
          </cell>
          <cell r="L2964" t="str">
            <v>贷</v>
          </cell>
          <cell r="M2964">
            <v>57070.532700000003</v>
          </cell>
          <cell r="N2964">
            <v>9.4473500000000001</v>
          </cell>
          <cell r="O2964">
            <v>539165.56000000006</v>
          </cell>
        </row>
        <row r="2965">
          <cell r="A2965" t="str">
            <v>10</v>
          </cell>
          <cell r="F2965" t="str">
            <v>本月合计</v>
          </cell>
          <cell r="G2965">
            <v>0</v>
          </cell>
          <cell r="H2965">
            <v>267618.02</v>
          </cell>
          <cell r="I2965">
            <v>8476587.5600000005</v>
          </cell>
          <cell r="J2965">
            <v>215370.3</v>
          </cell>
          <cell r="K2965">
            <v>7785986.7400000002</v>
          </cell>
          <cell r="L2965" t="str">
            <v>借</v>
          </cell>
          <cell r="M2965">
            <v>-4822.8127000000004</v>
          </cell>
          <cell r="N2965">
            <v>31.39978</v>
          </cell>
          <cell r="O2965">
            <v>151435.26</v>
          </cell>
        </row>
        <row r="2966">
          <cell r="A2966" t="str">
            <v>10</v>
          </cell>
          <cell r="F2966" t="str">
            <v>累    计</v>
          </cell>
          <cell r="G2966">
            <v>0</v>
          </cell>
          <cell r="H2966">
            <v>2001164.2842999999</v>
          </cell>
          <cell r="I2966">
            <v>94703477.519999996</v>
          </cell>
          <cell r="J2966">
            <v>2157660.622</v>
          </cell>
          <cell r="K2966">
            <v>102956392.89</v>
          </cell>
          <cell r="L2966" t="str">
            <v>借</v>
          </cell>
          <cell r="M2966">
            <v>-4822.8127000000004</v>
          </cell>
          <cell r="N2966">
            <v>31.39978</v>
          </cell>
          <cell r="O2966">
            <v>151435.26</v>
          </cell>
        </row>
        <row r="2967">
          <cell r="A2967" t="str">
            <v>11</v>
          </cell>
          <cell r="F2967" t="str">
            <v>本月合计</v>
          </cell>
          <cell r="G2967">
            <v>0</v>
          </cell>
          <cell r="H2967">
            <v>-6286.1319999999996</v>
          </cell>
          <cell r="I2967">
            <v>3173672.25</v>
          </cell>
          <cell r="J2967">
            <v>-82819.911999999997</v>
          </cell>
          <cell r="K2967">
            <v>2162833.2999999998</v>
          </cell>
          <cell r="L2967" t="str">
            <v>借</v>
          </cell>
          <cell r="M2967">
            <v>71710.967300000004</v>
          </cell>
          <cell r="N2967">
            <v>16.20776</v>
          </cell>
          <cell r="O2967">
            <v>1162274.21</v>
          </cell>
        </row>
        <row r="2968">
          <cell r="A2968" t="str">
            <v>11</v>
          </cell>
          <cell r="F2968" t="str">
            <v>累    计</v>
          </cell>
          <cell r="G2968">
            <v>0</v>
          </cell>
          <cell r="H2968">
            <v>1994878.1523</v>
          </cell>
          <cell r="I2968">
            <v>97877149.769999996</v>
          </cell>
          <cell r="J2968">
            <v>2074840.71</v>
          </cell>
          <cell r="K2968">
            <v>105119226.19</v>
          </cell>
          <cell r="L2968" t="str">
            <v>借</v>
          </cell>
          <cell r="M2968">
            <v>71710.967300000004</v>
          </cell>
          <cell r="N2968">
            <v>16.20776</v>
          </cell>
          <cell r="O2968">
            <v>1162274.21</v>
          </cell>
        </row>
        <row r="2969">
          <cell r="A2969" t="str">
            <v>12</v>
          </cell>
          <cell r="F2969" t="str">
            <v>本月合计</v>
          </cell>
          <cell r="G2969">
            <v>0</v>
          </cell>
          <cell r="H2969">
            <v>146314.81</v>
          </cell>
          <cell r="I2969">
            <v>9909891.3800000008</v>
          </cell>
          <cell r="J2969">
            <v>89309.240300000005</v>
          </cell>
          <cell r="K2969">
            <v>8627353.4800000004</v>
          </cell>
          <cell r="L2969" t="str">
            <v>借</v>
          </cell>
          <cell r="M2969">
            <v>128716.537</v>
          </cell>
          <cell r="N2969">
            <v>18.993770000000001</v>
          </cell>
          <cell r="O2969">
            <v>2444812.11</v>
          </cell>
        </row>
        <row r="2970">
          <cell r="A2970" t="str">
            <v>12</v>
          </cell>
          <cell r="F2970" t="str">
            <v>本年累计</v>
          </cell>
          <cell r="G2970">
            <v>0</v>
          </cell>
          <cell r="H2970">
            <v>2141192.9622999998</v>
          </cell>
          <cell r="I2970">
            <v>107787041.15000001</v>
          </cell>
          <cell r="J2970">
            <v>2164149.9503000001</v>
          </cell>
          <cell r="K2970">
            <v>113746579.67</v>
          </cell>
          <cell r="L2970" t="str">
            <v>借</v>
          </cell>
          <cell r="M2970">
            <v>128716.537</v>
          </cell>
          <cell r="N2970">
            <v>18.993770000000001</v>
          </cell>
          <cell r="O2970">
            <v>2444812.11</v>
          </cell>
        </row>
      </sheetData>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s>
    <sheetDataSet>
      <sheetData sheetId="0" refreshError="1"/>
      <sheetData sheetId="1" refreshError="1">
        <row r="3">
          <cell r="B3">
            <v>38168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表头信息"/>
      <sheetName val="12月份品种酒生产月报表"/>
      <sheetName val="品种酒生产月报10月"/>
      <sheetName val="广州库"/>
      <sheetName val="#REF"/>
      <sheetName val="35.1租赁明细"/>
      <sheetName val="出库"/>
      <sheetName val="入库"/>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调整分录表"/>
      <sheetName val="平衡表"/>
      <sheetName val="资产评估备案表1"/>
      <sheetName val="资产评估备案表2"/>
      <sheetName val="资产评估备案表3"/>
      <sheetName val="项目信息"/>
      <sheetName val="汇总表"/>
      <sheetName val="分类汇总"/>
      <sheetName val="流资"/>
      <sheetName val="货币"/>
      <sheetName val="现金"/>
      <sheetName val="银存"/>
      <sheetName val="其他货币"/>
      <sheetName val="短期投资"/>
      <sheetName val="股票"/>
      <sheetName val="债券"/>
      <sheetName val="应收票据"/>
      <sheetName val="应收账款"/>
      <sheetName val="应收股利(利润)"/>
      <sheetName val="应收利息"/>
      <sheetName val="预付账款"/>
      <sheetName val="应收补贴款"/>
      <sheetName val="其他应收款"/>
      <sheetName val="存货"/>
      <sheetName val="原材料"/>
      <sheetName val="材料采购(在途物资)"/>
      <sheetName val="在库低耗品"/>
      <sheetName val="包装物(库存物资)"/>
      <sheetName val="委托加工材料"/>
      <sheetName val="产成品(库存商品)"/>
      <sheetName val="在产品(自制半成品)"/>
      <sheetName val="分期收款发出商品"/>
      <sheetName val="在用低值易耗品"/>
      <sheetName val="委托代销商品"/>
      <sheetName val="受托代销商品"/>
      <sheetName val="待摊费用"/>
      <sheetName val="待处理流动资产净损失"/>
      <sheetName val="一年内到期的长期债券投资"/>
      <sheetName val="其他流动资产"/>
      <sheetName val="长期投资"/>
      <sheetName val="长期股票"/>
      <sheetName val="长期债券"/>
      <sheetName val="长期其他投资"/>
      <sheetName val="固定资产"/>
      <sheetName val="房屋建筑"/>
      <sheetName val="构筑物"/>
      <sheetName val="管道沟槽"/>
      <sheetName val="机器设备"/>
      <sheetName val="运输设备"/>
      <sheetName val="车辆评估计算"/>
      <sheetName val="电子设备"/>
      <sheetName val="家具用具"/>
      <sheetName val="工程物资"/>
      <sheetName val="土建工程"/>
      <sheetName val="设备安装"/>
      <sheetName val="固定资产清理"/>
      <sheetName val="待处固定资产净损失"/>
      <sheetName val="土地"/>
      <sheetName val="其他无形资产"/>
      <sheetName val="开办费"/>
      <sheetName val="长期待摊费用"/>
      <sheetName val="其他长期资产"/>
      <sheetName val="递延税款借项"/>
      <sheetName val="流动负债"/>
      <sheetName val="短期借款"/>
      <sheetName val="应付票据"/>
      <sheetName val="应付账款"/>
      <sheetName val="预收账款"/>
      <sheetName val="代销商品款"/>
      <sheetName val="其他应付款"/>
      <sheetName val="应付工资"/>
      <sheetName val="应付福利费"/>
      <sheetName val="应交税金"/>
      <sheetName val="应付利润(股利)"/>
      <sheetName val="其他应交款"/>
      <sheetName val="预提费用"/>
      <sheetName val="一年内到期的长期负债"/>
      <sheetName val="其他流动负债"/>
      <sheetName val="长期负债"/>
      <sheetName val="长期借款"/>
      <sheetName val="应付债券"/>
      <sheetName val="长期应付款"/>
      <sheetName val="住房周转金"/>
      <sheetName val="递延税款贷项"/>
      <sheetName val="其他长期负债"/>
      <sheetName val="科目名称表"/>
      <sheetName val="表头信息"/>
    </sheetNames>
    <sheetDataSet>
      <sheetData sheetId="0"/>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项目信息"/>
      <sheetName val="科目名称表"/>
    </sheetNames>
    <sheetDataSet>
      <sheetData sheetId="0"/>
      <sheetData sheetId="1"/>
      <sheetData sheetId="2"/>
      <sheetData sheetId="3"/>
      <sheetData sheetId="4"/>
      <sheetData sheetId="5" refreshError="1">
        <row r="6">
          <cell r="A6" t="str">
            <v xml:space="preserve"> 流动资产: </v>
          </cell>
        </row>
        <row r="7">
          <cell r="A7" t="str">
            <v xml:space="preserve">    货币资金 </v>
          </cell>
          <cell r="B7">
            <v>535651858.81999999</v>
          </cell>
          <cell r="C7">
            <v>0</v>
          </cell>
          <cell r="D7">
            <v>535651858.81999999</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4568593.62</v>
          </cell>
          <cell r="C14">
            <v>-1485531.25</v>
          </cell>
          <cell r="D14">
            <v>3083062.37</v>
          </cell>
        </row>
        <row r="15">
          <cell r="A15" t="str">
            <v xml:space="preserve">              减：应收账款坏帐准备</v>
          </cell>
          <cell r="B15">
            <v>250013.1</v>
          </cell>
          <cell r="C15">
            <v>-74276.56</v>
          </cell>
          <cell r="D15">
            <v>175736.54</v>
          </cell>
        </row>
        <row r="16">
          <cell r="A16" t="str">
            <v xml:space="preserve">    应收帐款净值  </v>
          </cell>
          <cell r="B16">
            <v>4318580.5199999996</v>
          </cell>
          <cell r="C16">
            <v>-1411254.69</v>
          </cell>
          <cell r="D16">
            <v>2907325.83</v>
          </cell>
        </row>
        <row r="17">
          <cell r="A17" t="str">
            <v xml:space="preserve">    其他应收款</v>
          </cell>
          <cell r="B17">
            <v>276146350.44</v>
          </cell>
          <cell r="C17">
            <v>0</v>
          </cell>
          <cell r="D17">
            <v>276146350.44</v>
          </cell>
        </row>
        <row r="18">
          <cell r="A18" t="str">
            <v xml:space="preserve">              减：其他应收款坏帐准备</v>
          </cell>
          <cell r="B18">
            <v>1092246.56</v>
          </cell>
          <cell r="C18">
            <v>0</v>
          </cell>
          <cell r="D18">
            <v>1092246.56</v>
          </cell>
        </row>
        <row r="19">
          <cell r="A19" t="str">
            <v xml:space="preserve">    其他应收款净值  </v>
          </cell>
          <cell r="B19">
            <v>275054103.88</v>
          </cell>
          <cell r="C19">
            <v>0</v>
          </cell>
          <cell r="D19">
            <v>275054103.88</v>
          </cell>
        </row>
        <row r="20">
          <cell r="A20" t="str">
            <v xml:space="preserve">    预付帐款 </v>
          </cell>
          <cell r="B20">
            <v>83531052.319999993</v>
          </cell>
          <cell r="C20">
            <v>0</v>
          </cell>
          <cell r="D20">
            <v>83531052.319999993</v>
          </cell>
        </row>
        <row r="21">
          <cell r="A21" t="str">
            <v xml:space="preserve">    应收补贴款</v>
          </cell>
          <cell r="B21">
            <v>0</v>
          </cell>
          <cell r="C21">
            <v>0</v>
          </cell>
          <cell r="D21">
            <v>0</v>
          </cell>
        </row>
        <row r="22">
          <cell r="A22" t="str">
            <v xml:space="preserve">    存货 </v>
          </cell>
          <cell r="B22">
            <v>471698017.47000003</v>
          </cell>
          <cell r="C22">
            <v>-28918598.100000001</v>
          </cell>
          <cell r="D22">
            <v>442779419.37</v>
          </cell>
        </row>
        <row r="23">
          <cell r="A23" t="str">
            <v xml:space="preserve">              减：存货跌价准备</v>
          </cell>
          <cell r="B23">
            <v>186188.31</v>
          </cell>
          <cell r="C23">
            <v>0</v>
          </cell>
          <cell r="D23">
            <v>186188.31</v>
          </cell>
        </row>
        <row r="24">
          <cell r="A24" t="str">
            <v xml:space="preserve">    存货净值 </v>
          </cell>
          <cell r="B24">
            <v>471511829.16000003</v>
          </cell>
          <cell r="C24">
            <v>-28918598.100000001</v>
          </cell>
          <cell r="D24">
            <v>442593231.06</v>
          </cell>
        </row>
        <row r="25">
          <cell r="A25" t="str">
            <v xml:space="preserve">    待摊费用 </v>
          </cell>
          <cell r="B25">
            <v>101166186.23999999</v>
          </cell>
          <cell r="C25">
            <v>0</v>
          </cell>
          <cell r="D25">
            <v>101166186.23999999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1471233610.9400001</v>
          </cell>
          <cell r="C28">
            <v>-30329852.789999999</v>
          </cell>
          <cell r="D28">
            <v>1440903758.1500001</v>
          </cell>
        </row>
        <row r="29">
          <cell r="D29">
            <v>0</v>
          </cell>
        </row>
        <row r="30">
          <cell r="A30" t="str">
            <v xml:space="preserve"> 长期投资: </v>
          </cell>
          <cell r="C30">
            <v>0</v>
          </cell>
          <cell r="D30">
            <v>0</v>
          </cell>
        </row>
        <row r="31">
          <cell r="A31" t="str">
            <v xml:space="preserve">    长期股权投资</v>
          </cell>
          <cell r="B31">
            <v>219322856.71000001</v>
          </cell>
          <cell r="C31">
            <v>-215512592.27000001</v>
          </cell>
          <cell r="D31">
            <v>3810264.44</v>
          </cell>
        </row>
        <row r="32">
          <cell r="A32" t="str">
            <v xml:space="preserve">              减：长期股权投资减值准备</v>
          </cell>
          <cell r="B32">
            <v>0</v>
          </cell>
          <cell r="C32">
            <v>0</v>
          </cell>
          <cell r="D32">
            <v>0</v>
          </cell>
        </row>
        <row r="33">
          <cell r="A33" t="str">
            <v xml:space="preserve">    长期股权投资净值</v>
          </cell>
          <cell r="B33">
            <v>219322856.71000001</v>
          </cell>
          <cell r="C33">
            <v>-215512592.27000001</v>
          </cell>
          <cell r="D33">
            <v>3810264.44</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219322856.71000001</v>
          </cell>
          <cell r="C37">
            <v>-215512592.27000001</v>
          </cell>
          <cell r="D37">
            <v>3810264.44</v>
          </cell>
        </row>
        <row r="38">
          <cell r="D38">
            <v>0</v>
          </cell>
        </row>
        <row r="39">
          <cell r="A39" t="str">
            <v xml:space="preserve"> 固定资产: </v>
          </cell>
          <cell r="C39">
            <v>0</v>
          </cell>
          <cell r="D39">
            <v>0</v>
          </cell>
        </row>
        <row r="40">
          <cell r="A40" t="str">
            <v xml:space="preserve">    固定资产原价 </v>
          </cell>
          <cell r="B40">
            <v>582191542.53999996</v>
          </cell>
          <cell r="C40">
            <v>0</v>
          </cell>
          <cell r="D40">
            <v>582191542.53999996</v>
          </cell>
        </row>
        <row r="41">
          <cell r="A41" t="str">
            <v xml:space="preserve">      减：累计折旧 </v>
          </cell>
          <cell r="B41">
            <v>112984059.76000001</v>
          </cell>
          <cell r="C41">
            <v>0</v>
          </cell>
          <cell r="D41">
            <v>112984059.76000001</v>
          </cell>
        </row>
        <row r="42">
          <cell r="A42" t="str">
            <v xml:space="preserve">    固定资产净值 </v>
          </cell>
          <cell r="B42">
            <v>469207482.77999997</v>
          </cell>
          <cell r="C42">
            <v>0</v>
          </cell>
          <cell r="D42">
            <v>469207482.77999997</v>
          </cell>
        </row>
        <row r="43">
          <cell r="A43" t="str">
            <v xml:space="preserve">      减：固定资产减值准备</v>
          </cell>
          <cell r="B43">
            <v>4932365.68</v>
          </cell>
          <cell r="C43">
            <v>0</v>
          </cell>
          <cell r="D43">
            <v>4932365.68</v>
          </cell>
        </row>
        <row r="44">
          <cell r="A44" t="str">
            <v xml:space="preserve">    固定资产净额</v>
          </cell>
          <cell r="B44">
            <v>464275117.10000002</v>
          </cell>
          <cell r="C44">
            <v>0</v>
          </cell>
          <cell r="D44">
            <v>464275117.10000002</v>
          </cell>
        </row>
        <row r="45">
          <cell r="A45" t="str">
            <v xml:space="preserve">    工程物资</v>
          </cell>
          <cell r="B45">
            <v>0</v>
          </cell>
          <cell r="C45">
            <v>0</v>
          </cell>
          <cell r="D45">
            <v>0</v>
          </cell>
        </row>
        <row r="46">
          <cell r="A46" t="str">
            <v xml:space="preserve">    在建工程 </v>
          </cell>
          <cell r="B46">
            <v>969904.33</v>
          </cell>
          <cell r="C46">
            <v>0</v>
          </cell>
          <cell r="D46">
            <v>969904.33</v>
          </cell>
        </row>
        <row r="47">
          <cell r="A47" t="str">
            <v xml:space="preserve">      减：在建工程减值准备</v>
          </cell>
          <cell r="B47">
            <v>0</v>
          </cell>
          <cell r="C47">
            <v>0</v>
          </cell>
          <cell r="D47">
            <v>0</v>
          </cell>
        </row>
        <row r="48">
          <cell r="A48" t="str">
            <v xml:space="preserve">    在建工程净值 </v>
          </cell>
          <cell r="B48">
            <v>969904.33</v>
          </cell>
          <cell r="C48">
            <v>0</v>
          </cell>
          <cell r="D48">
            <v>969904.33</v>
          </cell>
        </row>
        <row r="49">
          <cell r="A49" t="str">
            <v xml:space="preserve">    固定资产清理 </v>
          </cell>
          <cell r="B49">
            <v>0</v>
          </cell>
          <cell r="C49">
            <v>0</v>
          </cell>
          <cell r="D49">
            <v>0</v>
          </cell>
        </row>
        <row r="50">
          <cell r="A50" t="str">
            <v xml:space="preserve">    固定资产合计 </v>
          </cell>
          <cell r="B50">
            <v>465245021.43000001</v>
          </cell>
          <cell r="C50">
            <v>0</v>
          </cell>
          <cell r="D50">
            <v>465245021.43000001</v>
          </cell>
        </row>
        <row r="51">
          <cell r="D51">
            <v>0</v>
          </cell>
        </row>
        <row r="52">
          <cell r="A52" t="str">
            <v xml:space="preserve"> 无形及其他资产: </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419796225.81999999</v>
          </cell>
          <cell r="C56">
            <v>0</v>
          </cell>
          <cell r="D56">
            <v>419796225.81999999</v>
          </cell>
        </row>
        <row r="57">
          <cell r="A57" t="str">
            <v xml:space="preserve">    其他长期资产</v>
          </cell>
          <cell r="B57">
            <v>3500000</v>
          </cell>
          <cell r="C57">
            <v>0</v>
          </cell>
          <cell r="D57">
            <v>3500000</v>
          </cell>
        </row>
        <row r="58">
          <cell r="A58" t="str">
            <v xml:space="preserve">    无形及其他资产合计 </v>
          </cell>
          <cell r="B58">
            <v>423296225.81999999</v>
          </cell>
          <cell r="C58">
            <v>0</v>
          </cell>
          <cell r="D58">
            <v>423296225.81999999</v>
          </cell>
        </row>
        <row r="59">
          <cell r="D59">
            <v>0</v>
          </cell>
        </row>
        <row r="60">
          <cell r="A60" t="str">
            <v xml:space="preserve">    资产总计 </v>
          </cell>
          <cell r="B60">
            <v>2579097714.9000001</v>
          </cell>
          <cell r="C60">
            <v>-245842445.06</v>
          </cell>
          <cell r="D60">
            <v>2333255269.8400002</v>
          </cell>
        </row>
        <row r="62">
          <cell r="A62" t="str">
            <v>资产负债表（续）</v>
          </cell>
        </row>
        <row r="64">
          <cell r="A64" t="str">
            <v>编制单位：华联合并</v>
          </cell>
          <cell r="B64" t="str">
            <v>编制：吴海鸥</v>
          </cell>
          <cell r="C64" t="str">
            <v>复核：</v>
          </cell>
          <cell r="D64" t="str">
            <v>索引：A8</v>
          </cell>
        </row>
        <row r="65">
          <cell r="A65" t="str">
            <v>会计期间：2002.12.31</v>
          </cell>
          <cell r="B65" t="str">
            <v>日期:April 02</v>
          </cell>
          <cell r="C65" t="str">
            <v>日期：</v>
          </cell>
          <cell r="D65" t="str">
            <v>页次：2</v>
          </cell>
        </row>
        <row r="66">
          <cell r="A66" t="str">
            <v>项         目</v>
          </cell>
          <cell r="B66" t="str">
            <v>合并</v>
          </cell>
          <cell r="C66" t="str">
            <v>抵消</v>
          </cell>
          <cell r="D66" t="str">
            <v>审定</v>
          </cell>
        </row>
        <row r="67">
          <cell r="A67" t="str">
            <v xml:space="preserve"> 流动负债: </v>
          </cell>
        </row>
        <row r="68">
          <cell r="A68" t="str">
            <v xml:space="preserve">    短期借款 </v>
          </cell>
          <cell r="B68">
            <v>628000000</v>
          </cell>
          <cell r="C68">
            <v>0</v>
          </cell>
          <cell r="D68">
            <v>628000000</v>
          </cell>
        </row>
        <row r="69">
          <cell r="A69" t="str">
            <v xml:space="preserve">    应付票据</v>
          </cell>
          <cell r="B69">
            <v>18813476</v>
          </cell>
          <cell r="C69">
            <v>0</v>
          </cell>
          <cell r="D69">
            <v>18813476</v>
          </cell>
        </row>
        <row r="70">
          <cell r="A70" t="str">
            <v xml:space="preserve">    应付帐款 </v>
          </cell>
          <cell r="B70">
            <v>679669746.75999999</v>
          </cell>
          <cell r="C70">
            <v>-28918598.100000001</v>
          </cell>
          <cell r="D70">
            <v>650751148.65999997</v>
          </cell>
        </row>
        <row r="71">
          <cell r="A71" t="str">
            <v xml:space="preserve">    预收帐款 </v>
          </cell>
          <cell r="B71">
            <v>15083334.57</v>
          </cell>
          <cell r="C71">
            <v>-1485531.25</v>
          </cell>
          <cell r="D71">
            <v>13597803.32</v>
          </cell>
        </row>
        <row r="72">
          <cell r="A72" t="str">
            <v xml:space="preserve">    应付工资 </v>
          </cell>
          <cell r="B72">
            <v>5229215.87</v>
          </cell>
          <cell r="C72">
            <v>0</v>
          </cell>
          <cell r="D72">
            <v>5229215.87</v>
          </cell>
        </row>
        <row r="73">
          <cell r="A73" t="str">
            <v xml:space="preserve">    应付福利费 </v>
          </cell>
          <cell r="B73">
            <v>4506968.24</v>
          </cell>
          <cell r="C73">
            <v>0</v>
          </cell>
          <cell r="D73">
            <v>4506968.24</v>
          </cell>
        </row>
        <row r="74">
          <cell r="A74" t="str">
            <v xml:space="preserve">    应付股利</v>
          </cell>
          <cell r="B74">
            <v>25114580</v>
          </cell>
          <cell r="C74">
            <v>0</v>
          </cell>
          <cell r="D74">
            <v>25114580</v>
          </cell>
        </row>
        <row r="75">
          <cell r="A75" t="str">
            <v xml:space="preserve">    应交税金 </v>
          </cell>
          <cell r="B75">
            <v>21493799.440000001</v>
          </cell>
          <cell r="C75">
            <v>0</v>
          </cell>
          <cell r="D75">
            <v>21493799.440000001</v>
          </cell>
        </row>
        <row r="76">
          <cell r="A76" t="str">
            <v xml:space="preserve">    其他未交款 </v>
          </cell>
          <cell r="B76">
            <v>909829.51</v>
          </cell>
          <cell r="C76">
            <v>0</v>
          </cell>
          <cell r="D76">
            <v>909829.51</v>
          </cell>
        </row>
        <row r="77">
          <cell r="A77" t="str">
            <v xml:space="preserve">    其他应付款 </v>
          </cell>
          <cell r="B77">
            <v>45931555.259999998</v>
          </cell>
          <cell r="C77">
            <v>0</v>
          </cell>
          <cell r="D77">
            <v>45931555.259999998</v>
          </cell>
        </row>
        <row r="78">
          <cell r="A78" t="str">
            <v xml:space="preserve">    预提费用 </v>
          </cell>
          <cell r="B78">
            <v>16736980.470000001</v>
          </cell>
          <cell r="C78">
            <v>0</v>
          </cell>
          <cell r="D78">
            <v>16736980.470000001</v>
          </cell>
        </row>
        <row r="79">
          <cell r="A79" t="str">
            <v xml:space="preserve">    预计负债</v>
          </cell>
          <cell r="B79">
            <v>0</v>
          </cell>
          <cell r="C79">
            <v>0</v>
          </cell>
          <cell r="D79">
            <v>0</v>
          </cell>
        </row>
        <row r="80">
          <cell r="A80" t="str">
            <v xml:space="preserve">    一年内到期的长期负债</v>
          </cell>
          <cell r="B80">
            <v>10000000</v>
          </cell>
          <cell r="C80">
            <v>0</v>
          </cell>
          <cell r="D80">
            <v>10000000</v>
          </cell>
        </row>
        <row r="81">
          <cell r="A81" t="str">
            <v xml:space="preserve">    其他流动负债</v>
          </cell>
          <cell r="B81">
            <v>0</v>
          </cell>
          <cell r="C81">
            <v>0</v>
          </cell>
          <cell r="D81">
            <v>0</v>
          </cell>
        </row>
        <row r="83">
          <cell r="A83" t="str">
            <v xml:space="preserve">    流动负债合计 </v>
          </cell>
          <cell r="B83">
            <v>1471489486.1199999</v>
          </cell>
          <cell r="C83">
            <v>-30404129.350000001</v>
          </cell>
          <cell r="D83">
            <v>1441085356.77</v>
          </cell>
        </row>
        <row r="85">
          <cell r="A85" t="str">
            <v xml:space="preserve"> 长期负债: </v>
          </cell>
          <cell r="C85">
            <v>0</v>
          </cell>
        </row>
        <row r="86">
          <cell r="A86" t="str">
            <v xml:space="preserve">    长期借款 </v>
          </cell>
          <cell r="B86">
            <v>177000000</v>
          </cell>
          <cell r="C86">
            <v>0</v>
          </cell>
          <cell r="D86">
            <v>177000000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0</v>
          </cell>
          <cell r="C90">
            <v>0</v>
          </cell>
          <cell r="D90">
            <v>0</v>
          </cell>
        </row>
        <row r="91">
          <cell r="A91" t="str">
            <v xml:space="preserve">    长期负债合计 </v>
          </cell>
          <cell r="B91">
            <v>177000000</v>
          </cell>
          <cell r="C91">
            <v>0</v>
          </cell>
          <cell r="D91">
            <v>177000000</v>
          </cell>
        </row>
        <row r="93">
          <cell r="A93" t="str">
            <v xml:space="preserve">    负债合计 </v>
          </cell>
          <cell r="B93">
            <v>1648489486.1199999</v>
          </cell>
          <cell r="C93">
            <v>-30404129.350000001</v>
          </cell>
          <cell r="D93">
            <v>1618085356.77</v>
          </cell>
        </row>
        <row r="94">
          <cell r="A94" t="str">
            <v xml:space="preserve">  少数股东权益</v>
          </cell>
          <cell r="C94">
            <v>147948421.97</v>
          </cell>
          <cell r="D94">
            <v>147948421.97</v>
          </cell>
        </row>
        <row r="95">
          <cell r="A95" t="str">
            <v xml:space="preserve"> 所有者权益: </v>
          </cell>
          <cell r="C95">
            <v>0</v>
          </cell>
        </row>
        <row r="96">
          <cell r="A96" t="str">
            <v xml:space="preserve">    实收资本</v>
          </cell>
          <cell r="B96">
            <v>470932900</v>
          </cell>
          <cell r="C96">
            <v>-345360000</v>
          </cell>
          <cell r="D96">
            <v>125572900</v>
          </cell>
        </row>
        <row r="97">
          <cell r="A97" t="str">
            <v xml:space="preserve">    资本公积 </v>
          </cell>
          <cell r="B97">
            <v>360983816.13999999</v>
          </cell>
          <cell r="C97">
            <v>-492169.9</v>
          </cell>
          <cell r="D97">
            <v>360491646.24000001</v>
          </cell>
        </row>
        <row r="98">
          <cell r="A98" t="str">
            <v xml:space="preserve">    盈余公积 </v>
          </cell>
          <cell r="B98">
            <v>19144874.16</v>
          </cell>
          <cell r="C98">
            <v>-1408947.72</v>
          </cell>
          <cell r="D98">
            <v>17735926.440000001</v>
          </cell>
        </row>
        <row r="99">
          <cell r="A99" t="str">
            <v xml:space="preserve">      其中：公益金</v>
          </cell>
          <cell r="B99">
            <v>6381624.7199999997</v>
          </cell>
          <cell r="C99">
            <v>-469649.24</v>
          </cell>
          <cell r="D99">
            <v>5911975.4800000004</v>
          </cell>
        </row>
        <row r="100">
          <cell r="A100" t="str">
            <v xml:space="preserve">    未分配利润 </v>
          </cell>
          <cell r="B100">
            <v>79546638.480000004</v>
          </cell>
          <cell r="C100">
            <v>-16125620.060000001</v>
          </cell>
          <cell r="D100">
            <v>63421018.420000002</v>
          </cell>
        </row>
        <row r="102">
          <cell r="A102" t="str">
            <v xml:space="preserve">    所有者权益合计 </v>
          </cell>
          <cell r="B102">
            <v>930608228.77999997</v>
          </cell>
          <cell r="C102">
            <v>-363386737.68000001</v>
          </cell>
          <cell r="D102">
            <v>567221491.10000002</v>
          </cell>
        </row>
        <row r="104">
          <cell r="A104" t="str">
            <v xml:space="preserve">   负债及所有者权益总计 </v>
          </cell>
          <cell r="B104">
            <v>2579097714.9000001</v>
          </cell>
          <cell r="C104">
            <v>-245842445.06</v>
          </cell>
          <cell r="D104">
            <v>2333255269.8400002</v>
          </cell>
        </row>
        <row r="105">
          <cell r="A105" t="str">
            <v>利  润  表</v>
          </cell>
        </row>
        <row r="107">
          <cell r="A107" t="str">
            <v>编制单位：华联合并</v>
          </cell>
          <cell r="B107" t="str">
            <v>编制：吴海鸥</v>
          </cell>
          <cell r="C107" t="str">
            <v>复核：</v>
          </cell>
          <cell r="D107" t="str">
            <v>索引：A8</v>
          </cell>
        </row>
        <row r="108">
          <cell r="A108" t="str">
            <v xml:space="preserve">会计期间：2002年度 </v>
          </cell>
          <cell r="B108" t="str">
            <v>日期:April 02</v>
          </cell>
          <cell r="C108" t="str">
            <v>日期：</v>
          </cell>
          <cell r="D108" t="str">
            <v>页次：3</v>
          </cell>
        </row>
        <row r="109">
          <cell r="A109" t="str">
            <v>项         目</v>
          </cell>
          <cell r="B109" t="str">
            <v>合并</v>
          </cell>
          <cell r="C109" t="str">
            <v>抵消</v>
          </cell>
          <cell r="D109" t="str">
            <v>审定</v>
          </cell>
        </row>
        <row r="110">
          <cell r="A110" t="str">
            <v>一、主营业务收入</v>
          </cell>
          <cell r="B110">
            <v>2669453803.6399999</v>
          </cell>
          <cell r="C110">
            <v>-33035748.949999999</v>
          </cell>
          <cell r="D110">
            <v>2636418054.6900001</v>
          </cell>
        </row>
        <row r="111">
          <cell r="A111" t="str">
            <v xml:space="preserve">    减：主营业务成本</v>
          </cell>
          <cell r="B111">
            <v>2277815660.04</v>
          </cell>
          <cell r="C111">
            <v>-33035748.949999999</v>
          </cell>
          <cell r="D111">
            <v>2244779911.0900002</v>
          </cell>
        </row>
        <row r="112">
          <cell r="A112" t="str">
            <v xml:space="preserve">        主营业务税金及附加</v>
          </cell>
          <cell r="B112">
            <v>9813851.3200000003</v>
          </cell>
          <cell r="C112">
            <v>0</v>
          </cell>
          <cell r="D112">
            <v>9813851.3200000003</v>
          </cell>
        </row>
        <row r="114">
          <cell r="A114" t="str">
            <v>二、主营业务利润</v>
          </cell>
          <cell r="B114">
            <v>381824292.27999997</v>
          </cell>
          <cell r="C114">
            <v>0</v>
          </cell>
          <cell r="D114">
            <v>381824292.27999997</v>
          </cell>
        </row>
        <row r="115">
          <cell r="A115" t="str">
            <v xml:space="preserve">    加：其他业务利润</v>
          </cell>
          <cell r="B115">
            <v>68348641.920000002</v>
          </cell>
          <cell r="C115">
            <v>0</v>
          </cell>
          <cell r="D115">
            <v>68348641.920000002</v>
          </cell>
        </row>
        <row r="116">
          <cell r="A116" t="str">
            <v xml:space="preserve">    减：营业费用</v>
          </cell>
          <cell r="B116">
            <v>261927391.03</v>
          </cell>
          <cell r="C116">
            <v>0</v>
          </cell>
          <cell r="D116">
            <v>261927391.03</v>
          </cell>
        </row>
        <row r="117">
          <cell r="A117" t="str">
            <v xml:space="preserve">        管理费用</v>
          </cell>
          <cell r="B117">
            <v>83715995.969999999</v>
          </cell>
          <cell r="C117">
            <v>-28285.86</v>
          </cell>
          <cell r="D117">
            <v>83687710.109999999</v>
          </cell>
        </row>
        <row r="118">
          <cell r="A118" t="str">
            <v xml:space="preserve">        财务费用</v>
          </cell>
          <cell r="B118">
            <v>35985709.670000002</v>
          </cell>
          <cell r="C118">
            <v>0</v>
          </cell>
          <cell r="D118">
            <v>35985709.670000002</v>
          </cell>
        </row>
        <row r="120">
          <cell r="A120" t="str">
            <v>三、营业利润</v>
          </cell>
          <cell r="B120">
            <v>68543837.530000001</v>
          </cell>
          <cell r="C120">
            <v>28285.86</v>
          </cell>
          <cell r="D120">
            <v>68572123.390000001</v>
          </cell>
        </row>
        <row r="121">
          <cell r="A121" t="str">
            <v xml:space="preserve">    加：投资收益</v>
          </cell>
          <cell r="B121">
            <v>7290748.8899999997</v>
          </cell>
          <cell r="C121">
            <v>-7482030.3200000003</v>
          </cell>
          <cell r="D121">
            <v>-191281.43</v>
          </cell>
        </row>
        <row r="122">
          <cell r="A122" t="str">
            <v xml:space="preserve">        补贴收入</v>
          </cell>
          <cell r="B122">
            <v>0</v>
          </cell>
          <cell r="C122">
            <v>0</v>
          </cell>
          <cell r="D122">
            <v>0</v>
          </cell>
        </row>
        <row r="123">
          <cell r="A123" t="str">
            <v xml:space="preserve">        营业外收入</v>
          </cell>
          <cell r="B123">
            <v>3726552.96</v>
          </cell>
          <cell r="C123">
            <v>0</v>
          </cell>
          <cell r="D123">
            <v>3726552.96</v>
          </cell>
        </row>
        <row r="124">
          <cell r="A124" t="str">
            <v xml:space="preserve">    减：营业外支出</v>
          </cell>
          <cell r="B124">
            <v>703451.78</v>
          </cell>
          <cell r="C124">
            <v>0</v>
          </cell>
          <cell r="D124">
            <v>703451.78</v>
          </cell>
        </row>
        <row r="126">
          <cell r="A126" t="str">
            <v xml:space="preserve">四、利润总额 </v>
          </cell>
          <cell r="B126">
            <v>78857687.599999994</v>
          </cell>
          <cell r="C126">
            <v>-7453744.46</v>
          </cell>
          <cell r="D126">
            <v>71403943.140000001</v>
          </cell>
        </row>
        <row r="127">
          <cell r="A127" t="str">
            <v xml:space="preserve">    减：所得税</v>
          </cell>
          <cell r="B127">
            <v>26701939</v>
          </cell>
          <cell r="C127">
            <v>0</v>
          </cell>
          <cell r="D127">
            <v>26701939</v>
          </cell>
        </row>
        <row r="128">
          <cell r="A128" t="str">
            <v xml:space="preserve">                    少数股东本期收益</v>
          </cell>
          <cell r="B128">
            <v>0</v>
          </cell>
          <cell r="C128">
            <v>8146754.21</v>
          </cell>
          <cell r="D128">
            <v>8146754.21</v>
          </cell>
        </row>
        <row r="129">
          <cell r="A129" t="str">
            <v>五、净利润</v>
          </cell>
          <cell r="B129">
            <v>52155748.600000001</v>
          </cell>
          <cell r="C129">
            <v>-15600498.67</v>
          </cell>
          <cell r="D129">
            <v>36555249.93</v>
          </cell>
        </row>
        <row r="131">
          <cell r="A131" t="str">
            <v>利 润 分 配 表</v>
          </cell>
        </row>
        <row r="133">
          <cell r="A133" t="str">
            <v>编制单位：华联合并</v>
          </cell>
          <cell r="B133" t="str">
            <v>编制：吴海鸥</v>
          </cell>
          <cell r="C133" t="str">
            <v>复核：</v>
          </cell>
          <cell r="D133" t="str">
            <v>索引：A8</v>
          </cell>
        </row>
        <row r="134">
          <cell r="A134" t="str">
            <v xml:space="preserve">会计期间：2002年度 </v>
          </cell>
          <cell r="B134" t="str">
            <v>日期:April 02</v>
          </cell>
          <cell r="C134" t="str">
            <v>日期：</v>
          </cell>
          <cell r="D134" t="str">
            <v>页次：3</v>
          </cell>
        </row>
        <row r="135">
          <cell r="A135" t="str">
            <v>项         目</v>
          </cell>
          <cell r="B135" t="str">
            <v>合并</v>
          </cell>
          <cell r="C135" t="str">
            <v>抵消</v>
          </cell>
          <cell r="D135" t="str">
            <v>审定</v>
          </cell>
        </row>
        <row r="136">
          <cell r="A136" t="str">
            <v>一、净利润</v>
          </cell>
          <cell r="B136">
            <v>52155748.600000001</v>
          </cell>
          <cell r="C136">
            <v>-15600498.67</v>
          </cell>
          <cell r="D136">
            <v>36555249.93</v>
          </cell>
        </row>
        <row r="137">
          <cell r="A137" t="str">
            <v xml:space="preserve">    加：年初未分配利润</v>
          </cell>
          <cell r="B137">
            <v>60053881.270000003</v>
          </cell>
          <cell r="C137">
            <v>-1509680.56</v>
          </cell>
          <cell r="D137">
            <v>58544200.710000001</v>
          </cell>
        </row>
        <row r="138">
          <cell r="A138" t="str">
            <v xml:space="preserve">        其他转入</v>
          </cell>
          <cell r="B138">
            <v>0</v>
          </cell>
          <cell r="C138">
            <v>0</v>
          </cell>
          <cell r="D138">
            <v>0</v>
          </cell>
        </row>
        <row r="140">
          <cell r="A140" t="str">
            <v>二、可供分配的利润</v>
          </cell>
          <cell r="B140">
            <v>112209629.87</v>
          </cell>
          <cell r="C140">
            <v>-17110179.23</v>
          </cell>
          <cell r="D140">
            <v>95099450.640000001</v>
          </cell>
        </row>
        <row r="141">
          <cell r="A141" t="str">
            <v xml:space="preserve">    减：提取法定盈余公积</v>
          </cell>
          <cell r="B141">
            <v>5032274.26</v>
          </cell>
          <cell r="C141">
            <v>-656372.78</v>
          </cell>
          <cell r="D141">
            <v>4375901.4800000004</v>
          </cell>
        </row>
        <row r="142">
          <cell r="A142" t="str">
            <v xml:space="preserve">        提取法定公益金</v>
          </cell>
          <cell r="B142">
            <v>2516137.13</v>
          </cell>
          <cell r="C142">
            <v>-328186.39</v>
          </cell>
          <cell r="D142">
            <v>2187950.7400000002</v>
          </cell>
        </row>
        <row r="144">
          <cell r="A144" t="str">
            <v>三、可供股东分配的利润</v>
          </cell>
          <cell r="B144">
            <v>104661218.48</v>
          </cell>
          <cell r="C144">
            <v>-16125620.060000001</v>
          </cell>
          <cell r="D144">
            <v>88535598.420000002</v>
          </cell>
        </row>
        <row r="145">
          <cell r="A145" t="str">
            <v xml:space="preserve">    减：应付优先股股利</v>
          </cell>
          <cell r="B145">
            <v>0</v>
          </cell>
          <cell r="C145">
            <v>0</v>
          </cell>
          <cell r="D145">
            <v>0</v>
          </cell>
        </row>
        <row r="146">
          <cell r="A146" t="str">
            <v xml:space="preserve">        提取任意盈余公积</v>
          </cell>
          <cell r="B146">
            <v>0</v>
          </cell>
          <cell r="C146">
            <v>0</v>
          </cell>
          <cell r="D146">
            <v>0</v>
          </cell>
        </row>
        <row r="147">
          <cell r="A147" t="str">
            <v xml:space="preserve">                    应付普通股股利</v>
          </cell>
          <cell r="B147">
            <v>25114580</v>
          </cell>
          <cell r="C147">
            <v>0</v>
          </cell>
          <cell r="D147">
            <v>25114580</v>
          </cell>
        </row>
        <row r="148">
          <cell r="A148" t="str">
            <v xml:space="preserve">        转作股本的普通股股利</v>
          </cell>
          <cell r="B148">
            <v>0</v>
          </cell>
          <cell r="C148">
            <v>0</v>
          </cell>
          <cell r="D148">
            <v>0</v>
          </cell>
        </row>
        <row r="150">
          <cell r="A150" t="str">
            <v>四、未分配利润</v>
          </cell>
          <cell r="B150">
            <v>79546638.480000004</v>
          </cell>
          <cell r="C150">
            <v>-16125620.060000001</v>
          </cell>
          <cell r="D150">
            <v>63421018.420000002</v>
          </cell>
        </row>
      </sheetData>
      <sheetData sheetId="6" refreshError="1"/>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 val="上期报表"/>
      <sheetName val="项目信息"/>
      <sheetName val="商务折扣"/>
      <sheetName val="表头信息"/>
    </sheetNames>
    <sheetDataSet>
      <sheetData sheetId="0" refreshError="1"/>
      <sheetData sheetId="1" refreshError="1"/>
      <sheetData sheetId="2" refreshError="1"/>
      <sheetData sheetId="3" refreshError="1"/>
      <sheetData sheetId="4" refreshError="1"/>
      <sheetData sheetId="5" refreshError="1">
        <row r="2">
          <cell r="A2" t="str">
            <v>月份</v>
          </cell>
          <cell r="B2" t="str">
            <v>凭证号</v>
          </cell>
          <cell r="C2" t="str">
            <v xml:space="preserve">摘要 </v>
          </cell>
          <cell r="D2" t="str">
            <v>借方金额</v>
          </cell>
        </row>
        <row r="3">
          <cell r="D3" t="str">
            <v>贷方科目</v>
          </cell>
        </row>
        <row r="4">
          <cell r="A4" t="str">
            <v>01</v>
          </cell>
          <cell r="B4" t="str">
            <v>现字     1</v>
          </cell>
          <cell r="C4" t="str">
            <v>付高新亮差费</v>
          </cell>
        </row>
        <row r="5">
          <cell r="A5" t="str">
            <v>01</v>
          </cell>
          <cell r="B5" t="str">
            <v>现字    13</v>
          </cell>
          <cell r="C5" t="str">
            <v>付牛云龙通讯费</v>
          </cell>
        </row>
        <row r="6">
          <cell r="A6" t="str">
            <v>01</v>
          </cell>
          <cell r="B6" t="str">
            <v>现字    31</v>
          </cell>
          <cell r="C6" t="str">
            <v>付乔马东制作卡证款</v>
          </cell>
        </row>
        <row r="7">
          <cell r="A7" t="str">
            <v>01</v>
          </cell>
          <cell r="B7" t="str">
            <v>现字    34</v>
          </cell>
          <cell r="C7" t="str">
            <v>付杨炳瑞书款</v>
          </cell>
        </row>
        <row r="8">
          <cell r="A8" t="str">
            <v>01</v>
          </cell>
          <cell r="B8" t="str">
            <v>现字    41</v>
          </cell>
          <cell r="C8" t="str">
            <v>付刘跃林另工费</v>
          </cell>
        </row>
        <row r="9">
          <cell r="A9" t="str">
            <v>01</v>
          </cell>
          <cell r="B9" t="str">
            <v>现字    58</v>
          </cell>
          <cell r="C9" t="str">
            <v>付王永岭等三人差费</v>
          </cell>
        </row>
        <row r="10">
          <cell r="A10" t="str">
            <v>01</v>
          </cell>
          <cell r="B10" t="str">
            <v>转字    15</v>
          </cell>
          <cell r="C10" t="str">
            <v>冲生产成本</v>
          </cell>
        </row>
        <row r="11">
          <cell r="A11" t="str">
            <v>01</v>
          </cell>
          <cell r="B11" t="str">
            <v>转字    15</v>
          </cell>
          <cell r="C11" t="str">
            <v>冲生产成本</v>
          </cell>
        </row>
        <row r="12">
          <cell r="A12" t="str">
            <v>01</v>
          </cell>
          <cell r="B12" t="str">
            <v>转字    18</v>
          </cell>
          <cell r="C12" t="str">
            <v>生产用其它材料</v>
          </cell>
        </row>
        <row r="13">
          <cell r="A13" t="str">
            <v>01</v>
          </cell>
          <cell r="B13" t="str">
            <v>转字    18</v>
          </cell>
          <cell r="C13" t="str">
            <v>生产用普机配件</v>
          </cell>
        </row>
        <row r="14">
          <cell r="A14" t="str">
            <v>01</v>
          </cell>
          <cell r="B14" t="str">
            <v>转字    18</v>
          </cell>
          <cell r="C14" t="str">
            <v>生产用材料差异</v>
          </cell>
        </row>
        <row r="15">
          <cell r="A15" t="str">
            <v>01</v>
          </cell>
          <cell r="B15" t="str">
            <v>转字    18</v>
          </cell>
          <cell r="C15" t="str">
            <v>生产用劳保用品</v>
          </cell>
        </row>
        <row r="16">
          <cell r="A16" t="str">
            <v>01</v>
          </cell>
          <cell r="B16" t="str">
            <v>转字    18</v>
          </cell>
          <cell r="C16" t="str">
            <v>生产用电缆</v>
          </cell>
        </row>
        <row r="17">
          <cell r="A17" t="str">
            <v>01</v>
          </cell>
          <cell r="B17" t="str">
            <v>转字    18</v>
          </cell>
          <cell r="C17" t="str">
            <v>生产用运输皮带</v>
          </cell>
        </row>
        <row r="18">
          <cell r="A18" t="str">
            <v>01</v>
          </cell>
          <cell r="B18" t="str">
            <v>转字    18</v>
          </cell>
          <cell r="C18" t="str">
            <v>生产用钢材</v>
          </cell>
        </row>
        <row r="19">
          <cell r="A19" t="str">
            <v>01</v>
          </cell>
          <cell r="B19" t="str">
            <v>转字    18</v>
          </cell>
          <cell r="C19" t="str">
            <v>生产用雷管</v>
          </cell>
        </row>
        <row r="20">
          <cell r="A20" t="str">
            <v>01</v>
          </cell>
          <cell r="B20" t="str">
            <v>转字    18</v>
          </cell>
          <cell r="C20" t="str">
            <v>生产用钢铁管</v>
          </cell>
        </row>
        <row r="21">
          <cell r="A21" t="str">
            <v>01</v>
          </cell>
          <cell r="B21" t="str">
            <v>转字    18</v>
          </cell>
          <cell r="C21" t="str">
            <v>生产用钢丝绳</v>
          </cell>
        </row>
        <row r="22">
          <cell r="A22" t="str">
            <v>01</v>
          </cell>
          <cell r="B22" t="str">
            <v>转字    18</v>
          </cell>
          <cell r="C22" t="str">
            <v>生产用坑木</v>
          </cell>
        </row>
        <row r="23">
          <cell r="A23" t="str">
            <v>01</v>
          </cell>
          <cell r="B23" t="str">
            <v>转字    18</v>
          </cell>
          <cell r="C23" t="str">
            <v>生产用金属网</v>
          </cell>
        </row>
        <row r="24">
          <cell r="A24" t="str">
            <v>01</v>
          </cell>
          <cell r="B24" t="str">
            <v>转字    18</v>
          </cell>
          <cell r="C24" t="str">
            <v>生产用火药</v>
          </cell>
        </row>
        <row r="25">
          <cell r="A25" t="str">
            <v>01</v>
          </cell>
          <cell r="B25" t="str">
            <v>转字    22</v>
          </cell>
          <cell r="C25" t="str">
            <v>提本月折旧基金68581*10</v>
          </cell>
        </row>
        <row r="26">
          <cell r="A26" t="str">
            <v>01</v>
          </cell>
          <cell r="B26" t="str">
            <v>转字    24</v>
          </cell>
          <cell r="C26" t="str">
            <v>提本月育林基金68581*0.25</v>
          </cell>
        </row>
        <row r="27">
          <cell r="A27" t="str">
            <v>01</v>
          </cell>
          <cell r="B27" t="str">
            <v>转字    25</v>
          </cell>
          <cell r="C27" t="str">
            <v>结转本月电费</v>
          </cell>
        </row>
        <row r="28">
          <cell r="A28" t="str">
            <v>01</v>
          </cell>
          <cell r="B28" t="str">
            <v>转字    26</v>
          </cell>
          <cell r="C28" t="str">
            <v>由2004年元月份电费进项税转出额提税金入</v>
          </cell>
        </row>
        <row r="29">
          <cell r="A29" t="str">
            <v>01</v>
          </cell>
          <cell r="B29" t="str">
            <v>转字    27</v>
          </cell>
          <cell r="C29" t="str">
            <v>提本月工资</v>
          </cell>
        </row>
        <row r="30">
          <cell r="A30" t="str">
            <v>01</v>
          </cell>
          <cell r="B30" t="str">
            <v>转字    28</v>
          </cell>
          <cell r="C30" t="str">
            <v>提本月福利费19455.4*14%</v>
          </cell>
        </row>
        <row r="31">
          <cell r="A31" t="str">
            <v>01</v>
          </cell>
          <cell r="B31" t="str">
            <v>转字    29</v>
          </cell>
          <cell r="C31" t="str">
            <v>由关联额转入</v>
          </cell>
        </row>
        <row r="32">
          <cell r="C32" t="str">
            <v>本月合计</v>
          </cell>
          <cell r="D32">
            <v>3295902.01</v>
          </cell>
        </row>
        <row r="33">
          <cell r="A33" t="str">
            <v>02</v>
          </cell>
          <cell r="B33" t="str">
            <v>现字     3</v>
          </cell>
          <cell r="C33" t="str">
            <v>靳连瑞报差旅费</v>
          </cell>
        </row>
        <row r="34">
          <cell r="A34" t="str">
            <v>02</v>
          </cell>
          <cell r="B34" t="str">
            <v>现字    38</v>
          </cell>
          <cell r="C34" t="str">
            <v>付牛云龙差费</v>
          </cell>
        </row>
        <row r="35">
          <cell r="A35" t="str">
            <v>02</v>
          </cell>
          <cell r="B35" t="str">
            <v>现字    50</v>
          </cell>
          <cell r="C35" t="str">
            <v>由李红军报通风图板制作入</v>
          </cell>
        </row>
        <row r="36">
          <cell r="A36" t="str">
            <v>02</v>
          </cell>
          <cell r="B36" t="str">
            <v>转字    43</v>
          </cell>
          <cell r="C36" t="str">
            <v>提本月福利费</v>
          </cell>
        </row>
        <row r="37">
          <cell r="A37" t="str">
            <v>02</v>
          </cell>
          <cell r="B37" t="str">
            <v>转字    55</v>
          </cell>
          <cell r="C37" t="str">
            <v>结转2004年2月份电费</v>
          </cell>
        </row>
        <row r="38">
          <cell r="A38" t="str">
            <v>02</v>
          </cell>
          <cell r="B38" t="str">
            <v>转字    56</v>
          </cell>
          <cell r="C38" t="str">
            <v>生产领用劳保用品</v>
          </cell>
        </row>
        <row r="39">
          <cell r="A39" t="str">
            <v>02</v>
          </cell>
          <cell r="B39" t="str">
            <v>转字    56</v>
          </cell>
          <cell r="C39" t="str">
            <v>生产领用其他材料</v>
          </cell>
        </row>
        <row r="40">
          <cell r="A40" t="str">
            <v>02</v>
          </cell>
          <cell r="B40" t="str">
            <v>转字    56</v>
          </cell>
          <cell r="C40" t="str">
            <v>生产用材料差异</v>
          </cell>
        </row>
        <row r="41">
          <cell r="A41" t="str">
            <v>02</v>
          </cell>
          <cell r="B41" t="str">
            <v>转字    56</v>
          </cell>
          <cell r="C41" t="str">
            <v>生产领用专用工具</v>
          </cell>
        </row>
        <row r="42">
          <cell r="A42" t="str">
            <v>02</v>
          </cell>
          <cell r="B42" t="str">
            <v>转字    56</v>
          </cell>
          <cell r="C42" t="str">
            <v>生产领用配件</v>
          </cell>
        </row>
        <row r="43">
          <cell r="A43" t="str">
            <v>02</v>
          </cell>
          <cell r="B43" t="str">
            <v>转字    56</v>
          </cell>
          <cell r="C43" t="str">
            <v>生产领用配件</v>
          </cell>
        </row>
        <row r="44">
          <cell r="A44" t="str">
            <v>02</v>
          </cell>
          <cell r="B44" t="str">
            <v>转字    56</v>
          </cell>
          <cell r="C44" t="str">
            <v>生产领用矿灯</v>
          </cell>
        </row>
        <row r="45">
          <cell r="A45" t="str">
            <v>02</v>
          </cell>
          <cell r="B45" t="str">
            <v>转字    56</v>
          </cell>
          <cell r="C45" t="str">
            <v>生产领用7.5KW以上电机</v>
          </cell>
        </row>
        <row r="46">
          <cell r="A46" t="str">
            <v>02</v>
          </cell>
          <cell r="B46" t="str">
            <v>转字    56</v>
          </cell>
          <cell r="C46" t="str">
            <v>生产领用10KWA以下开关</v>
          </cell>
        </row>
        <row r="47">
          <cell r="A47" t="str">
            <v>02</v>
          </cell>
          <cell r="B47" t="str">
            <v>转字    56</v>
          </cell>
          <cell r="C47" t="str">
            <v>生产领用电缆</v>
          </cell>
        </row>
        <row r="48">
          <cell r="A48" t="str">
            <v>02</v>
          </cell>
          <cell r="B48" t="str">
            <v>转字    56</v>
          </cell>
          <cell r="C48" t="str">
            <v>生产领用钢材</v>
          </cell>
        </row>
        <row r="49">
          <cell r="A49" t="str">
            <v>02</v>
          </cell>
          <cell r="B49" t="str">
            <v>转字    56</v>
          </cell>
          <cell r="C49" t="str">
            <v>生产领用电煤钻</v>
          </cell>
        </row>
        <row r="50">
          <cell r="A50" t="str">
            <v>02</v>
          </cell>
          <cell r="B50" t="str">
            <v>转字    56</v>
          </cell>
          <cell r="C50" t="str">
            <v>生产领用雷管</v>
          </cell>
        </row>
        <row r="51">
          <cell r="A51" t="str">
            <v>02</v>
          </cell>
          <cell r="B51" t="str">
            <v>转字    56</v>
          </cell>
          <cell r="C51" t="str">
            <v>生产领用钢铁管</v>
          </cell>
        </row>
        <row r="52">
          <cell r="A52" t="str">
            <v>02</v>
          </cell>
          <cell r="B52" t="str">
            <v>转字    56</v>
          </cell>
          <cell r="C52" t="str">
            <v>生产领用钢丝绳</v>
          </cell>
        </row>
        <row r="53">
          <cell r="A53" t="str">
            <v>02</v>
          </cell>
          <cell r="B53" t="str">
            <v>转字    56</v>
          </cell>
          <cell r="C53" t="str">
            <v>生产领用坑木</v>
          </cell>
        </row>
        <row r="54">
          <cell r="A54" t="str">
            <v>02</v>
          </cell>
          <cell r="B54" t="str">
            <v>转字    56</v>
          </cell>
          <cell r="C54" t="str">
            <v>生产领用坑代品</v>
          </cell>
        </row>
        <row r="55">
          <cell r="A55" t="str">
            <v>02</v>
          </cell>
          <cell r="B55" t="str">
            <v>转字    56</v>
          </cell>
          <cell r="C55" t="str">
            <v>生产领用火药</v>
          </cell>
        </row>
        <row r="56">
          <cell r="A56" t="str">
            <v>02</v>
          </cell>
          <cell r="B56" t="str">
            <v>转字    58</v>
          </cell>
          <cell r="C56" t="str">
            <v>提本月累计折旧130652*10</v>
          </cell>
        </row>
        <row r="57">
          <cell r="A57" t="str">
            <v>02</v>
          </cell>
          <cell r="B57" t="str">
            <v>转字    60</v>
          </cell>
          <cell r="C57" t="str">
            <v>提本月育林基金130652*0.25</v>
          </cell>
        </row>
        <row r="58">
          <cell r="A58" t="str">
            <v>02</v>
          </cell>
          <cell r="B58" t="str">
            <v>转字    62</v>
          </cell>
          <cell r="C58" t="str">
            <v>由二月份电费进项税转出提税金入</v>
          </cell>
        </row>
        <row r="59">
          <cell r="A59" t="str">
            <v>02</v>
          </cell>
          <cell r="B59" t="str">
            <v>转字    63</v>
          </cell>
          <cell r="C59" t="str">
            <v>由关联额转入</v>
          </cell>
        </row>
        <row r="60">
          <cell r="A60" t="str">
            <v>02</v>
          </cell>
          <cell r="B60" t="str">
            <v>转字    64</v>
          </cell>
          <cell r="C60" t="str">
            <v>提本月工资</v>
          </cell>
        </row>
        <row r="61">
          <cell r="A61" t="str">
            <v>02</v>
          </cell>
          <cell r="B61" t="str">
            <v>现字    95</v>
          </cell>
          <cell r="C61" t="str">
            <v>由常洁报差旅费入</v>
          </cell>
        </row>
        <row r="62">
          <cell r="A62" t="str">
            <v>02</v>
          </cell>
          <cell r="C62" t="str">
            <v>本月合计</v>
          </cell>
          <cell r="D62">
            <v>6269056.8600000003</v>
          </cell>
        </row>
        <row r="63">
          <cell r="A63" t="str">
            <v>03</v>
          </cell>
          <cell r="B63" t="str">
            <v>现字    21</v>
          </cell>
          <cell r="C63" t="str">
            <v>收电费</v>
          </cell>
        </row>
        <row r="64">
          <cell r="A64" t="str">
            <v>03</v>
          </cell>
          <cell r="B64" t="str">
            <v>现字    28</v>
          </cell>
          <cell r="C64" t="str">
            <v>收电费</v>
          </cell>
        </row>
        <row r="65">
          <cell r="A65" t="str">
            <v>03</v>
          </cell>
          <cell r="B65" t="str">
            <v>现字    31</v>
          </cell>
          <cell r="C65" t="str">
            <v>收电费</v>
          </cell>
        </row>
        <row r="66">
          <cell r="A66" t="str">
            <v>03</v>
          </cell>
          <cell r="B66" t="str">
            <v>转字     1</v>
          </cell>
          <cell r="C66" t="str">
            <v>出售废铁提税金入</v>
          </cell>
        </row>
        <row r="67">
          <cell r="A67" t="str">
            <v>03</v>
          </cell>
          <cell r="B67" t="str">
            <v>现字    35</v>
          </cell>
          <cell r="C67" t="str">
            <v>出售废铁冲成本</v>
          </cell>
        </row>
        <row r="68">
          <cell r="A68" t="str">
            <v>03</v>
          </cell>
          <cell r="B68" t="str">
            <v>现字    54</v>
          </cell>
          <cell r="C68" t="str">
            <v>由魏杨敏报修理费入</v>
          </cell>
        </row>
        <row r="69">
          <cell r="A69" t="str">
            <v>03</v>
          </cell>
          <cell r="B69" t="str">
            <v>银字    43</v>
          </cell>
          <cell r="C69" t="str">
            <v>入联轴器修理费</v>
          </cell>
        </row>
        <row r="70">
          <cell r="A70" t="str">
            <v>03</v>
          </cell>
          <cell r="B70" t="str">
            <v>现字    62</v>
          </cell>
          <cell r="C70" t="str">
            <v>由常洁报晒图费、办公用品、差旅费入</v>
          </cell>
        </row>
        <row r="71">
          <cell r="A71" t="str">
            <v>03</v>
          </cell>
          <cell r="B71" t="str">
            <v>现字    66</v>
          </cell>
          <cell r="C71" t="str">
            <v>由牛和平报修理费入</v>
          </cell>
        </row>
        <row r="72">
          <cell r="A72" t="str">
            <v>03</v>
          </cell>
          <cell r="B72" t="str">
            <v>现字    79</v>
          </cell>
          <cell r="C72" t="str">
            <v>由魏杨敏报修理费入</v>
          </cell>
        </row>
        <row r="73">
          <cell r="A73" t="str">
            <v>03</v>
          </cell>
          <cell r="B73" t="str">
            <v>现字    81</v>
          </cell>
          <cell r="C73" t="str">
            <v>由高新亮报零工费、复印费入</v>
          </cell>
        </row>
        <row r="74">
          <cell r="A74" t="str">
            <v>03</v>
          </cell>
          <cell r="B74" t="str">
            <v>转字    35</v>
          </cell>
          <cell r="C74" t="str">
            <v>入生产成本</v>
          </cell>
        </row>
        <row r="75">
          <cell r="A75" t="str">
            <v>03</v>
          </cell>
          <cell r="B75" t="str">
            <v>转字    36</v>
          </cell>
          <cell r="C75" t="str">
            <v>冲生产成本</v>
          </cell>
        </row>
        <row r="76">
          <cell r="A76" t="str">
            <v>03</v>
          </cell>
          <cell r="B76" t="str">
            <v>转字    36</v>
          </cell>
          <cell r="C76" t="str">
            <v>冲生产成本</v>
          </cell>
        </row>
        <row r="77">
          <cell r="A77" t="str">
            <v>03</v>
          </cell>
          <cell r="B77" t="str">
            <v>转字    55</v>
          </cell>
          <cell r="C77" t="str">
            <v>收电费进项税转出、提各项税金入</v>
          </cell>
        </row>
        <row r="78">
          <cell r="A78" t="str">
            <v>03</v>
          </cell>
          <cell r="B78" t="str">
            <v>转字    59</v>
          </cell>
          <cell r="C78" t="str">
            <v>提本月福利费188227.1*14%</v>
          </cell>
        </row>
        <row r="79">
          <cell r="A79" t="str">
            <v>03</v>
          </cell>
          <cell r="B79" t="str">
            <v>转字    62</v>
          </cell>
          <cell r="C79" t="str">
            <v>入三月份电费</v>
          </cell>
        </row>
        <row r="80">
          <cell r="A80" t="str">
            <v>03</v>
          </cell>
          <cell r="B80" t="str">
            <v>转字    63</v>
          </cell>
          <cell r="C80" t="str">
            <v>三月份外转应收电费进项税转出应提城建税、教育费附加、价调基金入</v>
          </cell>
        </row>
        <row r="81">
          <cell r="A81" t="str">
            <v>03</v>
          </cell>
          <cell r="B81" t="str">
            <v>转字    64</v>
          </cell>
          <cell r="C81" t="str">
            <v>出售废铁提税金入成本</v>
          </cell>
        </row>
        <row r="82">
          <cell r="A82" t="str">
            <v>03</v>
          </cell>
          <cell r="B82" t="str">
            <v>转字    66</v>
          </cell>
          <cell r="C82" t="str">
            <v>提本月累计折旧144892*10</v>
          </cell>
        </row>
        <row r="83">
          <cell r="A83" t="str">
            <v>03</v>
          </cell>
          <cell r="B83" t="str">
            <v>转字    68</v>
          </cell>
          <cell r="C83" t="str">
            <v>提本月育林基金144892*0.25</v>
          </cell>
        </row>
        <row r="84">
          <cell r="A84" t="str">
            <v>03</v>
          </cell>
          <cell r="B84" t="str">
            <v>转字    72</v>
          </cell>
          <cell r="C84" t="str">
            <v>生产领用其他材料</v>
          </cell>
        </row>
        <row r="85">
          <cell r="A85" t="str">
            <v>03</v>
          </cell>
          <cell r="B85" t="str">
            <v>转字    72</v>
          </cell>
          <cell r="C85" t="str">
            <v>生产领用其他</v>
          </cell>
        </row>
        <row r="86">
          <cell r="A86" t="str">
            <v>03</v>
          </cell>
          <cell r="B86" t="str">
            <v>转字    72</v>
          </cell>
          <cell r="C86" t="str">
            <v>入材料差异</v>
          </cell>
        </row>
        <row r="87">
          <cell r="A87" t="str">
            <v>03</v>
          </cell>
          <cell r="B87" t="str">
            <v>转字    72</v>
          </cell>
          <cell r="C87" t="str">
            <v>生产领用劳保用品</v>
          </cell>
        </row>
        <row r="88">
          <cell r="A88" t="str">
            <v>03</v>
          </cell>
          <cell r="B88" t="str">
            <v>转字    72</v>
          </cell>
          <cell r="C88" t="str">
            <v>生产领用自救器</v>
          </cell>
        </row>
        <row r="89">
          <cell r="A89" t="str">
            <v>03</v>
          </cell>
          <cell r="B89" t="str">
            <v>转字    72</v>
          </cell>
          <cell r="C89" t="str">
            <v>生产领用其他</v>
          </cell>
        </row>
        <row r="90">
          <cell r="A90" t="str">
            <v>03</v>
          </cell>
          <cell r="B90" t="str">
            <v>转字    72</v>
          </cell>
          <cell r="C90" t="str">
            <v>生产领用普机配件</v>
          </cell>
        </row>
        <row r="91">
          <cell r="A91" t="str">
            <v>03</v>
          </cell>
          <cell r="B91" t="str">
            <v>转字    72</v>
          </cell>
          <cell r="C91" t="str">
            <v>生产领用电煤钻</v>
          </cell>
        </row>
        <row r="92">
          <cell r="A92" t="str">
            <v>03</v>
          </cell>
          <cell r="B92" t="str">
            <v>转字    72</v>
          </cell>
          <cell r="C92" t="str">
            <v>生产领用矿灯</v>
          </cell>
        </row>
        <row r="93">
          <cell r="A93" t="str">
            <v>03</v>
          </cell>
          <cell r="B93" t="str">
            <v>转字    72</v>
          </cell>
          <cell r="C93" t="str">
            <v>生产领用四吨以下矿车</v>
          </cell>
        </row>
        <row r="94">
          <cell r="A94" t="str">
            <v>03</v>
          </cell>
          <cell r="B94" t="str">
            <v>转字    72</v>
          </cell>
          <cell r="C94" t="str">
            <v>生产领用电缆</v>
          </cell>
        </row>
        <row r="95">
          <cell r="A95" t="str">
            <v>03</v>
          </cell>
          <cell r="B95" t="str">
            <v>转字    72</v>
          </cell>
          <cell r="C95" t="str">
            <v>生产领用运输皮带</v>
          </cell>
        </row>
        <row r="96">
          <cell r="A96" t="str">
            <v>03</v>
          </cell>
          <cell r="B96" t="str">
            <v>转字    72</v>
          </cell>
          <cell r="C96" t="str">
            <v>生产领用钢材</v>
          </cell>
        </row>
        <row r="97">
          <cell r="A97" t="str">
            <v>03</v>
          </cell>
          <cell r="B97" t="str">
            <v>转字    72</v>
          </cell>
          <cell r="C97" t="str">
            <v>生产领用雷管</v>
          </cell>
        </row>
        <row r="98">
          <cell r="A98" t="str">
            <v>03</v>
          </cell>
          <cell r="B98" t="str">
            <v>转字    72</v>
          </cell>
          <cell r="C98" t="str">
            <v>生产领用钢铁管</v>
          </cell>
        </row>
        <row r="99">
          <cell r="A99" t="str">
            <v>03</v>
          </cell>
          <cell r="B99" t="str">
            <v>转字    72</v>
          </cell>
          <cell r="C99" t="str">
            <v>生产领用钢丝绳</v>
          </cell>
        </row>
        <row r="100">
          <cell r="A100" t="str">
            <v>03</v>
          </cell>
          <cell r="B100" t="str">
            <v>转字    72</v>
          </cell>
          <cell r="C100" t="str">
            <v>生产领用坑木</v>
          </cell>
        </row>
        <row r="101">
          <cell r="A101" t="str">
            <v>03</v>
          </cell>
          <cell r="B101" t="str">
            <v>转字    72</v>
          </cell>
          <cell r="C101" t="str">
            <v>生产领用金属网</v>
          </cell>
        </row>
        <row r="102">
          <cell r="A102" t="str">
            <v>03</v>
          </cell>
          <cell r="B102" t="str">
            <v>转字    72</v>
          </cell>
          <cell r="C102" t="str">
            <v>生产领用火药</v>
          </cell>
        </row>
        <row r="103">
          <cell r="A103" t="str">
            <v>03</v>
          </cell>
          <cell r="B103" t="str">
            <v>转字    73</v>
          </cell>
          <cell r="C103" t="str">
            <v>提本月生产系统人员工资</v>
          </cell>
        </row>
        <row r="104">
          <cell r="A104" t="str">
            <v>03</v>
          </cell>
          <cell r="B104" t="str">
            <v>转字    76</v>
          </cell>
          <cell r="C104" t="str">
            <v>由关联交易转入</v>
          </cell>
        </row>
        <row r="105">
          <cell r="A105" t="str">
            <v>03</v>
          </cell>
          <cell r="B105" t="str">
            <v>现字   105</v>
          </cell>
          <cell r="C105" t="str">
            <v>出售废铁冲成本</v>
          </cell>
        </row>
        <row r="106">
          <cell r="A106" t="str">
            <v>03</v>
          </cell>
          <cell r="C106" t="str">
            <v>本月合计</v>
          </cell>
          <cell r="D106">
            <v>6920848.0499999998</v>
          </cell>
        </row>
        <row r="107">
          <cell r="A107" t="str">
            <v>04</v>
          </cell>
          <cell r="B107" t="str">
            <v>现字     8</v>
          </cell>
          <cell r="C107" t="str">
            <v>收电费（小用户）冲成本</v>
          </cell>
        </row>
        <row r="108">
          <cell r="A108" t="str">
            <v>04</v>
          </cell>
          <cell r="B108" t="str">
            <v>现字    19</v>
          </cell>
          <cell r="C108" t="str">
            <v>由王庆弟报会务费入</v>
          </cell>
        </row>
        <row r="109">
          <cell r="A109" t="str">
            <v>04</v>
          </cell>
          <cell r="B109" t="str">
            <v>现字    36</v>
          </cell>
          <cell r="C109" t="str">
            <v>收电费</v>
          </cell>
        </row>
        <row r="110">
          <cell r="A110" t="str">
            <v>04</v>
          </cell>
          <cell r="B110" t="str">
            <v>现字    45</v>
          </cell>
          <cell r="C110" t="str">
            <v>由常洁报差旅费入</v>
          </cell>
        </row>
        <row r="111">
          <cell r="A111" t="str">
            <v>04</v>
          </cell>
          <cell r="B111" t="str">
            <v>转字    16</v>
          </cell>
          <cell r="C111" t="str">
            <v>扣除火工品款</v>
          </cell>
        </row>
        <row r="112">
          <cell r="A112" t="str">
            <v>04</v>
          </cell>
          <cell r="B112" t="str">
            <v>转字    16</v>
          </cell>
          <cell r="C112" t="str">
            <v>扣除火工品款</v>
          </cell>
        </row>
        <row r="113">
          <cell r="A113" t="str">
            <v>04</v>
          </cell>
          <cell r="B113" t="str">
            <v>转字    17</v>
          </cell>
          <cell r="C113" t="str">
            <v>扣除火工品款</v>
          </cell>
        </row>
        <row r="114">
          <cell r="A114" t="str">
            <v>04</v>
          </cell>
          <cell r="B114" t="str">
            <v>转字    17</v>
          </cell>
          <cell r="C114" t="str">
            <v>扣除火工品款</v>
          </cell>
        </row>
        <row r="115">
          <cell r="A115" t="str">
            <v>04</v>
          </cell>
          <cell r="B115" t="str">
            <v>转字    39</v>
          </cell>
          <cell r="C115" t="str">
            <v>由李斌报差旅费入</v>
          </cell>
        </row>
        <row r="116">
          <cell r="A116" t="str">
            <v>04</v>
          </cell>
          <cell r="B116" t="str">
            <v>转字    39</v>
          </cell>
          <cell r="C116" t="str">
            <v>由李斌报培训费入</v>
          </cell>
        </row>
        <row r="117">
          <cell r="A117" t="str">
            <v>04</v>
          </cell>
          <cell r="B117" t="str">
            <v>转字    48</v>
          </cell>
          <cell r="C117" t="str">
            <v>冲3月份转64号凭证</v>
          </cell>
        </row>
        <row r="118">
          <cell r="A118" t="str">
            <v>04</v>
          </cell>
          <cell r="B118" t="str">
            <v>转字    49</v>
          </cell>
          <cell r="C118" t="str">
            <v>调整3月现字105号</v>
          </cell>
        </row>
        <row r="119">
          <cell r="A119" t="str">
            <v>04</v>
          </cell>
          <cell r="B119" t="str">
            <v>转字    50</v>
          </cell>
          <cell r="C119" t="str">
            <v>调整3月转55号多提税金</v>
          </cell>
        </row>
        <row r="120">
          <cell r="A120" t="str">
            <v>04</v>
          </cell>
          <cell r="B120" t="str">
            <v>转字    51</v>
          </cell>
          <cell r="C120" t="str">
            <v>4月份收电费提税金入</v>
          </cell>
        </row>
        <row r="121">
          <cell r="A121" t="str">
            <v>04</v>
          </cell>
          <cell r="B121" t="str">
            <v>转字    63</v>
          </cell>
          <cell r="C121" t="str">
            <v>2003年让售材料应交增值税及补提税金入</v>
          </cell>
        </row>
        <row r="122">
          <cell r="A122" t="str">
            <v>04</v>
          </cell>
          <cell r="B122" t="str">
            <v>转字    64</v>
          </cell>
          <cell r="C122" t="str">
            <v>调3月现35号凭证</v>
          </cell>
        </row>
        <row r="123">
          <cell r="A123" t="str">
            <v>04</v>
          </cell>
          <cell r="B123" t="str">
            <v>转字    65</v>
          </cell>
          <cell r="C123" t="str">
            <v>冲3月转1号凭证</v>
          </cell>
        </row>
        <row r="124">
          <cell r="A124" t="str">
            <v>04</v>
          </cell>
          <cell r="B124" t="str">
            <v>转字    66</v>
          </cell>
          <cell r="C124" t="str">
            <v>调2003年应做进项税转出材料</v>
          </cell>
        </row>
        <row r="125">
          <cell r="A125" t="str">
            <v>04</v>
          </cell>
          <cell r="B125" t="str">
            <v>转字    66</v>
          </cell>
          <cell r="C125" t="str">
            <v>调2003年应做进项税转出材料</v>
          </cell>
        </row>
        <row r="126">
          <cell r="A126" t="str">
            <v>04</v>
          </cell>
          <cell r="B126" t="str">
            <v>转字    68</v>
          </cell>
          <cell r="C126" t="str">
            <v>调03年12月转90号材料应入固定资产进项税出提税金入</v>
          </cell>
        </row>
        <row r="127">
          <cell r="A127" t="str">
            <v>04</v>
          </cell>
          <cell r="B127" t="str">
            <v>现字    85</v>
          </cell>
          <cell r="C127" t="str">
            <v>由张军报洗煤厂技术实用手册及新技术资料费入</v>
          </cell>
        </row>
        <row r="128">
          <cell r="A128" t="str">
            <v>04</v>
          </cell>
          <cell r="B128" t="str">
            <v>现字    88</v>
          </cell>
          <cell r="C128" t="str">
            <v>由牛和平报激振器修理费入</v>
          </cell>
        </row>
        <row r="129">
          <cell r="A129" t="str">
            <v>04</v>
          </cell>
          <cell r="B129" t="str">
            <v>转字    75</v>
          </cell>
          <cell r="C129" t="str">
            <v>提本月福利费1622433.05*14%</v>
          </cell>
        </row>
        <row r="130">
          <cell r="A130" t="str">
            <v>04</v>
          </cell>
          <cell r="B130" t="str">
            <v>转字    78</v>
          </cell>
          <cell r="C130" t="str">
            <v>调三月份非生产领用材料</v>
          </cell>
        </row>
        <row r="131">
          <cell r="A131" t="str">
            <v>04</v>
          </cell>
          <cell r="B131" t="str">
            <v>转字    78</v>
          </cell>
          <cell r="C131" t="str">
            <v>调三月份非生产领用材料</v>
          </cell>
        </row>
        <row r="132">
          <cell r="A132" t="str">
            <v>04</v>
          </cell>
          <cell r="B132" t="str">
            <v>转字    78</v>
          </cell>
          <cell r="C132" t="str">
            <v>调三月份非生产领用材料</v>
          </cell>
        </row>
        <row r="133">
          <cell r="A133" t="str">
            <v>04</v>
          </cell>
          <cell r="B133" t="str">
            <v>转字    78</v>
          </cell>
          <cell r="C133" t="str">
            <v>调三月份非生产领用材料</v>
          </cell>
        </row>
        <row r="134">
          <cell r="A134" t="str">
            <v>04</v>
          </cell>
          <cell r="B134" t="str">
            <v>转字    78</v>
          </cell>
          <cell r="C134" t="str">
            <v>调三月份非生产领用材料</v>
          </cell>
        </row>
        <row r="135">
          <cell r="A135" t="str">
            <v>04</v>
          </cell>
          <cell r="B135" t="str">
            <v>转字    81</v>
          </cell>
          <cell r="C135" t="str">
            <v>由生产领用原材料入</v>
          </cell>
        </row>
        <row r="136">
          <cell r="A136" t="str">
            <v>04</v>
          </cell>
          <cell r="B136" t="str">
            <v>转字    81</v>
          </cell>
          <cell r="C136" t="str">
            <v>由生产领用原材料入</v>
          </cell>
        </row>
        <row r="137">
          <cell r="A137" t="str">
            <v>04</v>
          </cell>
          <cell r="B137" t="str">
            <v>转字    81</v>
          </cell>
          <cell r="C137" t="str">
            <v>由生产领用原材料入</v>
          </cell>
        </row>
        <row r="138">
          <cell r="A138" t="str">
            <v>04</v>
          </cell>
          <cell r="B138" t="str">
            <v>转字    81</v>
          </cell>
          <cell r="C138" t="str">
            <v>由生产领用原材料入</v>
          </cell>
        </row>
        <row r="139">
          <cell r="A139" t="str">
            <v>04</v>
          </cell>
          <cell r="B139" t="str">
            <v>转字    81</v>
          </cell>
          <cell r="C139" t="str">
            <v>由生产领用原材料入</v>
          </cell>
        </row>
        <row r="140">
          <cell r="A140" t="str">
            <v>04</v>
          </cell>
          <cell r="B140" t="str">
            <v>转字    81</v>
          </cell>
          <cell r="C140" t="str">
            <v>由生产领用原材料入</v>
          </cell>
        </row>
        <row r="141">
          <cell r="A141" t="str">
            <v>04</v>
          </cell>
          <cell r="B141" t="str">
            <v>转字    81</v>
          </cell>
          <cell r="C141" t="str">
            <v>由生产领用原材料入</v>
          </cell>
        </row>
        <row r="142">
          <cell r="A142" t="str">
            <v>04</v>
          </cell>
          <cell r="B142" t="str">
            <v>转字    81</v>
          </cell>
          <cell r="C142" t="str">
            <v>由生产领用原材料入</v>
          </cell>
        </row>
        <row r="143">
          <cell r="A143" t="str">
            <v>04</v>
          </cell>
          <cell r="B143" t="str">
            <v>转字    81</v>
          </cell>
          <cell r="C143" t="str">
            <v>由生产领用原材料入</v>
          </cell>
        </row>
        <row r="144">
          <cell r="A144" t="str">
            <v>04</v>
          </cell>
          <cell r="B144" t="str">
            <v>转字    81</v>
          </cell>
          <cell r="C144" t="str">
            <v>由生产领用原材料入</v>
          </cell>
        </row>
        <row r="145">
          <cell r="A145" t="str">
            <v>04</v>
          </cell>
          <cell r="B145" t="str">
            <v>转字    81</v>
          </cell>
          <cell r="C145" t="str">
            <v>由生产领用原材料入</v>
          </cell>
        </row>
        <row r="146">
          <cell r="A146" t="str">
            <v>04</v>
          </cell>
          <cell r="B146" t="str">
            <v>转字    81</v>
          </cell>
          <cell r="C146" t="str">
            <v>由生产领用原材料入</v>
          </cell>
        </row>
        <row r="147">
          <cell r="A147" t="str">
            <v>04</v>
          </cell>
          <cell r="B147" t="str">
            <v>转字    81</v>
          </cell>
          <cell r="C147" t="str">
            <v>由生产领用原材料入</v>
          </cell>
        </row>
        <row r="148">
          <cell r="A148" t="str">
            <v>04</v>
          </cell>
          <cell r="B148" t="str">
            <v>转字    81</v>
          </cell>
          <cell r="C148" t="str">
            <v>由生产领用原材料入</v>
          </cell>
        </row>
        <row r="149">
          <cell r="A149" t="str">
            <v>04</v>
          </cell>
          <cell r="B149" t="str">
            <v>转字    81</v>
          </cell>
          <cell r="C149" t="str">
            <v>由生产领用原材料入</v>
          </cell>
        </row>
        <row r="150">
          <cell r="A150" t="str">
            <v>04</v>
          </cell>
          <cell r="B150" t="str">
            <v>转字    84</v>
          </cell>
          <cell r="C150" t="str">
            <v>提本月折旧142347*10</v>
          </cell>
        </row>
        <row r="151">
          <cell r="A151" t="str">
            <v>04</v>
          </cell>
          <cell r="B151" t="str">
            <v>转字    86</v>
          </cell>
          <cell r="C151" t="str">
            <v>提本月育林基金142347*0.25</v>
          </cell>
        </row>
        <row r="152">
          <cell r="A152" t="str">
            <v>04</v>
          </cell>
          <cell r="B152" t="str">
            <v>转字    89</v>
          </cell>
          <cell r="C152" t="str">
            <v>提本月工资</v>
          </cell>
        </row>
        <row r="153">
          <cell r="A153" t="str">
            <v>04</v>
          </cell>
          <cell r="B153" t="str">
            <v>转字    90</v>
          </cell>
          <cell r="C153" t="str">
            <v>提本月电费</v>
          </cell>
        </row>
        <row r="154">
          <cell r="A154" t="str">
            <v>04</v>
          </cell>
          <cell r="B154" t="str">
            <v>转字    91</v>
          </cell>
          <cell r="C154" t="str">
            <v>由关联交易转入</v>
          </cell>
        </row>
        <row r="155">
          <cell r="A155" t="str">
            <v>04</v>
          </cell>
          <cell r="B155" t="str">
            <v>转字    99</v>
          </cell>
          <cell r="C155" t="str">
            <v>补转63号少提</v>
          </cell>
        </row>
        <row r="156">
          <cell r="A156" t="str">
            <v>04</v>
          </cell>
          <cell r="B156" t="str">
            <v>转字   100</v>
          </cell>
          <cell r="C156" t="str">
            <v>结转本月生产成本</v>
          </cell>
        </row>
        <row r="157">
          <cell r="C157" t="str">
            <v>本月合计</v>
          </cell>
          <cell r="D157">
            <v>6589588.5</v>
          </cell>
        </row>
        <row r="158">
          <cell r="A158" t="str">
            <v>05</v>
          </cell>
          <cell r="B158" t="str">
            <v>转字     2</v>
          </cell>
          <cell r="C158" t="str">
            <v>由高新亮报费用入</v>
          </cell>
        </row>
        <row r="159">
          <cell r="A159" t="str">
            <v>05</v>
          </cell>
          <cell r="B159" t="str">
            <v>现字    30</v>
          </cell>
          <cell r="C159" t="str">
            <v>收电费冲成本94/1.17</v>
          </cell>
        </row>
        <row r="160">
          <cell r="A160" t="str">
            <v>05</v>
          </cell>
          <cell r="B160" t="str">
            <v>现字    59</v>
          </cell>
          <cell r="C160" t="str">
            <v>由机电科报钢丝绳试验费入</v>
          </cell>
        </row>
        <row r="161">
          <cell r="A161" t="str">
            <v>05</v>
          </cell>
          <cell r="B161" t="str">
            <v>现字    62</v>
          </cell>
          <cell r="C161" t="str">
            <v>由李红军报费用入</v>
          </cell>
        </row>
        <row r="162">
          <cell r="A162" t="str">
            <v>05</v>
          </cell>
          <cell r="B162" t="str">
            <v>转字    11</v>
          </cell>
          <cell r="C162" t="str">
            <v>由范军红报其他费入</v>
          </cell>
        </row>
        <row r="163">
          <cell r="A163" t="str">
            <v>05</v>
          </cell>
          <cell r="B163" t="str">
            <v>转字    32</v>
          </cell>
          <cell r="C163" t="str">
            <v>入其他费用</v>
          </cell>
        </row>
        <row r="164">
          <cell r="A164" t="str">
            <v>05</v>
          </cell>
          <cell r="B164" t="str">
            <v>转字    38</v>
          </cell>
          <cell r="C164" t="str">
            <v>扣除火工品款</v>
          </cell>
        </row>
        <row r="165">
          <cell r="A165" t="str">
            <v>05</v>
          </cell>
          <cell r="B165" t="str">
            <v>转字    38</v>
          </cell>
          <cell r="C165" t="str">
            <v>扣除火工品款</v>
          </cell>
        </row>
        <row r="166">
          <cell r="A166" t="str">
            <v>05</v>
          </cell>
          <cell r="B166" t="str">
            <v>银字    48</v>
          </cell>
          <cell r="C166" t="str">
            <v>入仪器检定费</v>
          </cell>
        </row>
        <row r="167">
          <cell r="A167" t="str">
            <v>05</v>
          </cell>
          <cell r="B167" t="str">
            <v>银字    49</v>
          </cell>
          <cell r="C167" t="str">
            <v>入锅炉检验费</v>
          </cell>
        </row>
        <row r="168">
          <cell r="A168" t="str">
            <v>05</v>
          </cell>
          <cell r="B168" t="str">
            <v>现字    82</v>
          </cell>
          <cell r="C168" t="str">
            <v>入费用</v>
          </cell>
        </row>
        <row r="169">
          <cell r="A169" t="str">
            <v>05</v>
          </cell>
          <cell r="B169" t="str">
            <v>转字    48</v>
          </cell>
          <cell r="C169" t="str">
            <v>冲4月份预提电费</v>
          </cell>
        </row>
        <row r="170">
          <cell r="A170" t="str">
            <v>05</v>
          </cell>
          <cell r="B170" t="str">
            <v>转字    49</v>
          </cell>
          <cell r="C170" t="str">
            <v>入4月份电费</v>
          </cell>
        </row>
        <row r="171">
          <cell r="A171" t="str">
            <v>05</v>
          </cell>
          <cell r="B171" t="str">
            <v>现字    84</v>
          </cell>
          <cell r="C171" t="str">
            <v>入费用</v>
          </cell>
        </row>
        <row r="172">
          <cell r="A172" t="str">
            <v>05</v>
          </cell>
          <cell r="B172" t="str">
            <v>现字    87</v>
          </cell>
          <cell r="C172" t="str">
            <v>入费用</v>
          </cell>
        </row>
        <row r="173">
          <cell r="A173" t="str">
            <v>05</v>
          </cell>
          <cell r="B173" t="str">
            <v>转字    51</v>
          </cell>
          <cell r="C173" t="str">
            <v>电费进项税转出提税金</v>
          </cell>
        </row>
        <row r="174">
          <cell r="A174" t="str">
            <v>05</v>
          </cell>
          <cell r="B174" t="str">
            <v>转字    56</v>
          </cell>
          <cell r="C174" t="str">
            <v>提本月福利费</v>
          </cell>
        </row>
        <row r="175">
          <cell r="A175" t="str">
            <v>05</v>
          </cell>
          <cell r="B175" t="str">
            <v>转字    67</v>
          </cell>
          <cell r="C175" t="str">
            <v>提本月折旧156847*10</v>
          </cell>
        </row>
        <row r="176">
          <cell r="A176" t="str">
            <v>05</v>
          </cell>
          <cell r="B176" t="str">
            <v>转字    69</v>
          </cell>
          <cell r="C176" t="str">
            <v>提育林基金156847*0.25</v>
          </cell>
        </row>
        <row r="177">
          <cell r="A177" t="str">
            <v>05</v>
          </cell>
          <cell r="B177" t="str">
            <v>转字    72</v>
          </cell>
          <cell r="C177" t="str">
            <v>由生产领用原材料入</v>
          </cell>
        </row>
        <row r="178">
          <cell r="A178" t="str">
            <v>05</v>
          </cell>
          <cell r="B178" t="str">
            <v>转字    72</v>
          </cell>
          <cell r="C178" t="str">
            <v>由生产领用原材料入</v>
          </cell>
        </row>
        <row r="179">
          <cell r="A179" t="str">
            <v>05</v>
          </cell>
          <cell r="B179" t="str">
            <v>转字    72</v>
          </cell>
          <cell r="C179" t="str">
            <v>由生产领用原材料入</v>
          </cell>
        </row>
        <row r="180">
          <cell r="A180" t="str">
            <v>05</v>
          </cell>
          <cell r="B180" t="str">
            <v>转字    72</v>
          </cell>
          <cell r="C180" t="str">
            <v>由生产领用原材料入</v>
          </cell>
        </row>
        <row r="181">
          <cell r="A181" t="str">
            <v>05</v>
          </cell>
          <cell r="B181" t="str">
            <v>转字    72</v>
          </cell>
          <cell r="C181" t="str">
            <v>由生产领用原材料入</v>
          </cell>
        </row>
        <row r="182">
          <cell r="A182" t="str">
            <v>05</v>
          </cell>
          <cell r="B182" t="str">
            <v>转字    72</v>
          </cell>
          <cell r="C182" t="str">
            <v>由生产领用原材料入</v>
          </cell>
        </row>
        <row r="183">
          <cell r="A183" t="str">
            <v>05</v>
          </cell>
          <cell r="B183" t="str">
            <v>转字    72</v>
          </cell>
          <cell r="C183" t="str">
            <v>由生产领用原材料入</v>
          </cell>
        </row>
        <row r="184">
          <cell r="A184" t="str">
            <v>05</v>
          </cell>
          <cell r="B184" t="str">
            <v>转字    72</v>
          </cell>
          <cell r="C184" t="str">
            <v>由生产领用原材料入</v>
          </cell>
        </row>
        <row r="185">
          <cell r="A185" t="str">
            <v>05</v>
          </cell>
          <cell r="B185" t="str">
            <v>转字    72</v>
          </cell>
          <cell r="C185" t="str">
            <v>由生产领用原材料入</v>
          </cell>
        </row>
        <row r="186">
          <cell r="A186" t="str">
            <v>05</v>
          </cell>
          <cell r="B186" t="str">
            <v>转字    72</v>
          </cell>
          <cell r="C186" t="str">
            <v>由生产领用原材料入</v>
          </cell>
        </row>
        <row r="187">
          <cell r="A187" t="str">
            <v>05</v>
          </cell>
          <cell r="B187" t="str">
            <v>转字    72</v>
          </cell>
          <cell r="C187" t="str">
            <v>由生产领用原材料入</v>
          </cell>
        </row>
        <row r="188">
          <cell r="A188" t="str">
            <v>05</v>
          </cell>
          <cell r="B188" t="str">
            <v>转字    72</v>
          </cell>
          <cell r="C188" t="str">
            <v>由生产领用原材料入</v>
          </cell>
        </row>
        <row r="189">
          <cell r="A189" t="str">
            <v>05</v>
          </cell>
          <cell r="B189" t="str">
            <v>转字    72</v>
          </cell>
          <cell r="C189" t="str">
            <v>由生产领用原材料入</v>
          </cell>
        </row>
        <row r="190">
          <cell r="A190" t="str">
            <v>05</v>
          </cell>
          <cell r="B190" t="str">
            <v>转字    72</v>
          </cell>
          <cell r="C190" t="str">
            <v>由生产领用原材料入</v>
          </cell>
        </row>
        <row r="191">
          <cell r="A191" t="str">
            <v>05</v>
          </cell>
          <cell r="B191" t="str">
            <v>转字    72</v>
          </cell>
          <cell r="C191" t="str">
            <v>由生产领用原材料入</v>
          </cell>
        </row>
        <row r="192">
          <cell r="A192" t="str">
            <v>05</v>
          </cell>
          <cell r="B192" t="str">
            <v>转字    72</v>
          </cell>
          <cell r="C192" t="str">
            <v>由生产领用原材料入</v>
          </cell>
        </row>
        <row r="193">
          <cell r="A193" t="str">
            <v>05</v>
          </cell>
          <cell r="B193" t="str">
            <v>转字    73</v>
          </cell>
          <cell r="C193" t="str">
            <v>提本月工资</v>
          </cell>
        </row>
        <row r="194">
          <cell r="A194" t="str">
            <v>05</v>
          </cell>
          <cell r="B194" t="str">
            <v>转字    74</v>
          </cell>
          <cell r="C194" t="str">
            <v>提本月电费</v>
          </cell>
        </row>
        <row r="195">
          <cell r="A195" t="str">
            <v>05</v>
          </cell>
          <cell r="B195" t="str">
            <v>转字    75</v>
          </cell>
          <cell r="C195" t="str">
            <v>由关联交易入</v>
          </cell>
        </row>
        <row r="196">
          <cell r="A196" t="str">
            <v>05</v>
          </cell>
          <cell r="B196" t="str">
            <v>现字   104</v>
          </cell>
          <cell r="C196" t="str">
            <v>入其他费用</v>
          </cell>
        </row>
        <row r="197">
          <cell r="A197" t="str">
            <v>05</v>
          </cell>
          <cell r="C197" t="str">
            <v>本月合计</v>
          </cell>
          <cell r="D197">
            <v>7065431.1399999997</v>
          </cell>
        </row>
        <row r="198">
          <cell r="A198" t="str">
            <v>06</v>
          </cell>
          <cell r="B198" t="str">
            <v>现字    40</v>
          </cell>
          <cell r="C198" t="str">
            <v>收电费冲成本</v>
          </cell>
        </row>
        <row r="199">
          <cell r="A199" t="str">
            <v>06</v>
          </cell>
          <cell r="B199" t="str">
            <v>现字    44</v>
          </cell>
          <cell r="C199" t="str">
            <v>入其他费用</v>
          </cell>
        </row>
        <row r="200">
          <cell r="A200" t="str">
            <v>06</v>
          </cell>
          <cell r="B200" t="str">
            <v>现字    46</v>
          </cell>
          <cell r="C200" t="str">
            <v>入其他费用</v>
          </cell>
        </row>
        <row r="201">
          <cell r="A201" t="str">
            <v>06</v>
          </cell>
          <cell r="B201" t="str">
            <v>现字    57</v>
          </cell>
          <cell r="C201" t="str">
            <v>收电费冲成本</v>
          </cell>
        </row>
        <row r="202">
          <cell r="A202" t="str">
            <v>06</v>
          </cell>
          <cell r="B202" t="str">
            <v>转字    13</v>
          </cell>
          <cell r="C202" t="str">
            <v>差旅费入</v>
          </cell>
        </row>
        <row r="203">
          <cell r="A203" t="str">
            <v>06</v>
          </cell>
          <cell r="B203" t="str">
            <v>现字    67</v>
          </cell>
          <cell r="C203" t="str">
            <v>差旅费入</v>
          </cell>
        </row>
        <row r="204">
          <cell r="A204" t="str">
            <v>06</v>
          </cell>
          <cell r="B204" t="str">
            <v>现字    82</v>
          </cell>
          <cell r="C204" t="str">
            <v>入费用</v>
          </cell>
        </row>
        <row r="205">
          <cell r="A205" t="str">
            <v>06</v>
          </cell>
          <cell r="B205" t="str">
            <v>转字    20</v>
          </cell>
          <cell r="C205" t="str">
            <v>入费用</v>
          </cell>
        </row>
        <row r="206">
          <cell r="A206" t="str">
            <v>06</v>
          </cell>
          <cell r="B206" t="str">
            <v>转字    40</v>
          </cell>
          <cell r="C206" t="str">
            <v>入费用</v>
          </cell>
        </row>
        <row r="207">
          <cell r="A207" t="str">
            <v>06</v>
          </cell>
          <cell r="B207" t="str">
            <v>现字   103</v>
          </cell>
          <cell r="C207" t="str">
            <v>入费用</v>
          </cell>
        </row>
        <row r="208">
          <cell r="A208" t="str">
            <v>06</v>
          </cell>
          <cell r="B208" t="str">
            <v>转字    45</v>
          </cell>
          <cell r="C208" t="str">
            <v>冲五月份预提电费</v>
          </cell>
        </row>
        <row r="209">
          <cell r="A209" t="str">
            <v>06</v>
          </cell>
          <cell r="B209" t="str">
            <v>转字    46</v>
          </cell>
          <cell r="C209" t="str">
            <v>入五月份电费</v>
          </cell>
        </row>
        <row r="210">
          <cell r="A210" t="str">
            <v>06</v>
          </cell>
          <cell r="B210" t="str">
            <v>转字    47</v>
          </cell>
          <cell r="C210" t="str">
            <v>电费进项税转出提税金</v>
          </cell>
        </row>
        <row r="211">
          <cell r="A211" t="str">
            <v>06</v>
          </cell>
          <cell r="B211" t="str">
            <v>转字    77</v>
          </cell>
          <cell r="C211" t="str">
            <v>提本月福利费1664299.8*14%</v>
          </cell>
        </row>
        <row r="212">
          <cell r="A212" t="str">
            <v>06</v>
          </cell>
          <cell r="B212" t="str">
            <v>转字    80</v>
          </cell>
          <cell r="C212" t="str">
            <v>提本月折旧114194*10</v>
          </cell>
        </row>
        <row r="213">
          <cell r="A213" t="str">
            <v>06</v>
          </cell>
          <cell r="B213" t="str">
            <v>转字    82</v>
          </cell>
          <cell r="C213" t="str">
            <v>提育林基金114194*0.25</v>
          </cell>
        </row>
        <row r="214">
          <cell r="A214" t="str">
            <v>06</v>
          </cell>
          <cell r="B214" t="str">
            <v>转字    84</v>
          </cell>
          <cell r="C214" t="str">
            <v>由生产领用原材料入</v>
          </cell>
        </row>
        <row r="215">
          <cell r="A215" t="str">
            <v>06</v>
          </cell>
          <cell r="B215" t="str">
            <v>转字    84</v>
          </cell>
          <cell r="C215" t="str">
            <v>由生产领用原材料入</v>
          </cell>
        </row>
        <row r="216">
          <cell r="A216" t="str">
            <v>06</v>
          </cell>
          <cell r="B216" t="str">
            <v>转字    84</v>
          </cell>
          <cell r="C216" t="str">
            <v>由生产领用原材料入</v>
          </cell>
        </row>
        <row r="217">
          <cell r="A217" t="str">
            <v>06</v>
          </cell>
          <cell r="B217" t="str">
            <v>转字    84</v>
          </cell>
          <cell r="C217" t="str">
            <v>由生产领用原材料入</v>
          </cell>
        </row>
        <row r="218">
          <cell r="A218" t="str">
            <v>06</v>
          </cell>
          <cell r="B218" t="str">
            <v>转字    84</v>
          </cell>
          <cell r="C218" t="str">
            <v>由生产领用原材料入</v>
          </cell>
        </row>
        <row r="219">
          <cell r="A219" t="str">
            <v>06</v>
          </cell>
          <cell r="B219" t="str">
            <v>转字    84</v>
          </cell>
          <cell r="C219" t="str">
            <v>由生产领用原材料入</v>
          </cell>
        </row>
        <row r="220">
          <cell r="A220" t="str">
            <v>06</v>
          </cell>
          <cell r="B220" t="str">
            <v>转字    84</v>
          </cell>
          <cell r="C220" t="str">
            <v>由生产领用原材料入</v>
          </cell>
        </row>
        <row r="221">
          <cell r="A221" t="str">
            <v>06</v>
          </cell>
          <cell r="B221" t="str">
            <v>转字    84</v>
          </cell>
          <cell r="C221" t="str">
            <v>由生产领用原材料入</v>
          </cell>
        </row>
        <row r="222">
          <cell r="A222" t="str">
            <v>06</v>
          </cell>
          <cell r="B222" t="str">
            <v>转字    84</v>
          </cell>
          <cell r="C222" t="str">
            <v>由生产领用原材料入</v>
          </cell>
        </row>
        <row r="223">
          <cell r="A223" t="str">
            <v>06</v>
          </cell>
          <cell r="B223" t="str">
            <v>转字    84</v>
          </cell>
          <cell r="C223" t="str">
            <v>由生产领用原材料入</v>
          </cell>
        </row>
        <row r="224">
          <cell r="A224" t="str">
            <v>06</v>
          </cell>
          <cell r="B224" t="str">
            <v>转字    84</v>
          </cell>
          <cell r="C224" t="str">
            <v>由生产领用原材料入</v>
          </cell>
        </row>
        <row r="225">
          <cell r="A225" t="str">
            <v>06</v>
          </cell>
          <cell r="B225" t="str">
            <v>转字    84</v>
          </cell>
          <cell r="C225" t="str">
            <v>由生产领用原材料入</v>
          </cell>
        </row>
        <row r="226">
          <cell r="A226" t="str">
            <v>06</v>
          </cell>
          <cell r="B226" t="str">
            <v>转字    84</v>
          </cell>
          <cell r="C226" t="str">
            <v>由生产领用原材料入</v>
          </cell>
        </row>
        <row r="227">
          <cell r="A227" t="str">
            <v>06</v>
          </cell>
          <cell r="B227" t="str">
            <v>转字    84</v>
          </cell>
          <cell r="C227" t="str">
            <v>由生产领用原材料入</v>
          </cell>
        </row>
        <row r="228">
          <cell r="A228" t="str">
            <v>06</v>
          </cell>
          <cell r="B228" t="str">
            <v>转字    84</v>
          </cell>
          <cell r="C228" t="str">
            <v>由生产领用原材料入</v>
          </cell>
        </row>
        <row r="229">
          <cell r="A229" t="str">
            <v>06</v>
          </cell>
          <cell r="B229" t="str">
            <v>转字    84</v>
          </cell>
          <cell r="C229" t="str">
            <v>由生产领用原材料入</v>
          </cell>
        </row>
        <row r="230">
          <cell r="A230" t="str">
            <v>06</v>
          </cell>
          <cell r="B230" t="str">
            <v>转字    85</v>
          </cell>
          <cell r="C230" t="str">
            <v>提本月工资</v>
          </cell>
        </row>
        <row r="231">
          <cell r="A231" t="str">
            <v>06</v>
          </cell>
          <cell r="B231" t="str">
            <v>转字    86</v>
          </cell>
          <cell r="C231" t="str">
            <v>提本月电费</v>
          </cell>
        </row>
        <row r="232">
          <cell r="A232" t="str">
            <v>06</v>
          </cell>
          <cell r="B232" t="str">
            <v>转字    89</v>
          </cell>
          <cell r="C232" t="str">
            <v>由关联交易入</v>
          </cell>
        </row>
        <row r="233">
          <cell r="A233" t="str">
            <v>06</v>
          </cell>
          <cell r="B233" t="str">
            <v>现字   134</v>
          </cell>
          <cell r="C233" t="str">
            <v>入费用</v>
          </cell>
        </row>
        <row r="234">
          <cell r="C234" t="str">
            <v>本月合计</v>
          </cell>
          <cell r="D234">
            <v>5308446.74</v>
          </cell>
        </row>
        <row r="235">
          <cell r="C235" t="str">
            <v>本年累计</v>
          </cell>
          <cell r="D235">
            <v>35449273.299999997</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休息"/>
      <sheetName val="您好"/>
      <sheetName val="参数"/>
      <sheetName val="目录"/>
      <sheetName val="汇总"/>
      <sheetName val="分类汇总1"/>
      <sheetName val="分类汇总2"/>
      <sheetName val="流动资产汇总"/>
      <sheetName val="现金"/>
      <sheetName val="银行存款"/>
      <sheetName val="其他货币资金"/>
      <sheetName val="短期投资汇总"/>
      <sheetName val="短期投资-股票"/>
      <sheetName val="短期投资-债券"/>
      <sheetName val="应收票据"/>
      <sheetName val="应收股利"/>
      <sheetName val="应收利息"/>
      <sheetName val="应收帐款"/>
      <sheetName val="其他应收款"/>
      <sheetName val="预付帐款"/>
      <sheetName val="应收补贴款"/>
      <sheetName val="存货汇总"/>
      <sheetName val="存货-原材料"/>
      <sheetName val="存货-材料采购"/>
      <sheetName val="存货-在库低值易耗品"/>
      <sheetName val="存货-包装物"/>
      <sheetName val="存货-委托加工材料"/>
      <sheetName val="存货-产成品"/>
      <sheetName val="存货-在产品"/>
      <sheetName val="存货-分期收款发出商品"/>
      <sheetName val="存货-在用低值易耗品"/>
      <sheetName val="存货-委托代销商品"/>
      <sheetName val="存货-受托代销商品"/>
      <sheetName val="待摊费用"/>
      <sheetName val="待处理流动资产净损失"/>
      <sheetName val="一年内到期的长期投资"/>
      <sheetName val="其他流动资产"/>
      <sheetName val="长期投资汇总"/>
      <sheetName val="长期投资-股票"/>
      <sheetName val="长期投资-债券"/>
      <sheetName val="其他长期投资"/>
      <sheetName val="固定资产汇总"/>
      <sheetName val="固定资产-建筑物"/>
      <sheetName val="固定资产-构筑物"/>
      <sheetName val="固定资产-管沟"/>
      <sheetName val="固定资产-机器设备"/>
      <sheetName val="固定资产-车辆"/>
      <sheetName val="固定资产-电子设备"/>
      <sheetName val="工程物资"/>
      <sheetName val="在建工程-土建"/>
      <sheetName val="在建工程-设备"/>
      <sheetName val="固定资产清理"/>
      <sheetName val="待处理固定资产净损失"/>
      <sheetName val="无形资产-土地"/>
      <sheetName val="其他无形资产"/>
      <sheetName val="开办费"/>
      <sheetName val="长期待摊费用"/>
      <sheetName val="其他长期资产"/>
      <sheetName val="递延税款借项"/>
      <sheetName val="流动负债汇总"/>
      <sheetName val="短期借款"/>
      <sheetName val="应付票据"/>
      <sheetName val="应付帐款"/>
      <sheetName val="预收帐款"/>
      <sheetName val="其他应付款"/>
      <sheetName val="应付工资"/>
      <sheetName val="应付福利费"/>
      <sheetName val="应交税金"/>
      <sheetName val="应付利润"/>
      <sheetName val="其他应交款"/>
      <sheetName val="预提费用"/>
      <sheetName val="预计负债"/>
      <sheetName val="一年内到期的长期负债"/>
      <sheetName val="其他流动负债"/>
      <sheetName val="长期负债汇总"/>
      <sheetName val="长期借款"/>
      <sheetName val="应付债券"/>
      <sheetName val="长期应付款"/>
      <sheetName val="专项应付款"/>
      <sheetName val="其他长期负债"/>
      <sheetName val="递延税款贷项"/>
      <sheetName val="各项准备"/>
      <sheetName val="评估分析"/>
      <sheetName val="使用说明"/>
      <sheetName val="正式版信息"/>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完"/>
      <sheetName val="Investment Property"/>
      <sheetName val="Main"/>
      <sheetName val="5月"/>
      <sheetName val="6月"/>
      <sheetName val="B"/>
      <sheetName val="生产成本账"/>
      <sheetName val="现金"/>
      <sheetName val="科目名称表"/>
      <sheetName val="科目表"/>
      <sheetName val="唯一合同编号"/>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53037596.979999997</v>
          </cell>
          <cell r="D7">
            <v>53037596.979999997</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763110.9</v>
          </cell>
          <cell r="D17">
            <v>763110.9</v>
          </cell>
        </row>
        <row r="18">
          <cell r="A18" t="str">
            <v xml:space="preserve">              减：其他应收款坏帐准备</v>
          </cell>
          <cell r="B18">
            <v>0</v>
          </cell>
          <cell r="D18">
            <v>0</v>
          </cell>
        </row>
        <row r="19">
          <cell r="A19" t="str">
            <v xml:space="preserve">    其他应收款净值  </v>
          </cell>
          <cell r="B19">
            <v>0</v>
          </cell>
          <cell r="C19">
            <v>0</v>
          </cell>
          <cell r="D19">
            <v>763110.9</v>
          </cell>
        </row>
        <row r="20">
          <cell r="A20" t="str">
            <v xml:space="preserve">    预付帐款 </v>
          </cell>
          <cell r="B20">
            <v>5557655.9400000004</v>
          </cell>
          <cell r="D20">
            <v>5557655.9400000004</v>
          </cell>
        </row>
        <row r="21">
          <cell r="A21" t="str">
            <v xml:space="preserve">    应收补贴款</v>
          </cell>
          <cell r="B21">
            <v>0</v>
          </cell>
          <cell r="D21">
            <v>0</v>
          </cell>
        </row>
        <row r="22">
          <cell r="A22" t="str">
            <v xml:space="preserve">    存货 </v>
          </cell>
          <cell r="B22">
            <v>4843464.2699999996</v>
          </cell>
          <cell r="D22">
            <v>4843464.2699999996</v>
          </cell>
        </row>
        <row r="23">
          <cell r="A23" t="str">
            <v xml:space="preserve">              减：存货跌价准备</v>
          </cell>
          <cell r="B23">
            <v>0</v>
          </cell>
          <cell r="D23">
            <v>0</v>
          </cell>
        </row>
        <row r="24">
          <cell r="A24" t="str">
            <v xml:space="preserve">    存货净值 </v>
          </cell>
          <cell r="B24">
            <v>0</v>
          </cell>
          <cell r="C24">
            <v>0</v>
          </cell>
          <cell r="D24">
            <v>4843464.2699999996</v>
          </cell>
        </row>
        <row r="25">
          <cell r="A25" t="str">
            <v xml:space="preserve">    待摊费用 </v>
          </cell>
          <cell r="B25">
            <v>3270174.74</v>
          </cell>
          <cell r="D25">
            <v>3270174.74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67472002.829999983</v>
          </cell>
          <cell r="C28">
            <v>0</v>
          </cell>
          <cell r="D28">
            <v>67472002.829999983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63377664</v>
          </cell>
          <cell r="D40">
            <v>63377664</v>
          </cell>
        </row>
        <row r="41">
          <cell r="A41" t="str">
            <v xml:space="preserve">      减：累计折旧 </v>
          </cell>
          <cell r="B41">
            <v>2368346.7400000002</v>
          </cell>
          <cell r="D41">
            <v>2368346.7400000002</v>
          </cell>
        </row>
        <row r="42">
          <cell r="A42" t="str">
            <v xml:space="preserve">    固定资产净值 </v>
          </cell>
          <cell r="B42">
            <v>61009317.259999998</v>
          </cell>
          <cell r="C42">
            <v>0</v>
          </cell>
          <cell r="D42">
            <v>61009317.259999998</v>
          </cell>
        </row>
        <row r="43">
          <cell r="A43" t="str">
            <v xml:space="preserve">      减：固定资产减值准备</v>
          </cell>
          <cell r="B43">
            <v>0</v>
          </cell>
          <cell r="D43">
            <v>0</v>
          </cell>
        </row>
        <row r="44">
          <cell r="A44" t="str">
            <v xml:space="preserve">    固定资产净额</v>
          </cell>
          <cell r="B44">
            <v>61009317.259999998</v>
          </cell>
          <cell r="C44">
            <v>0</v>
          </cell>
          <cell r="D44">
            <v>61009317.259999998</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61009317.259999998</v>
          </cell>
          <cell r="C50">
            <v>0</v>
          </cell>
          <cell r="D50">
            <v>61009317.259999998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0</v>
          </cell>
          <cell r="D56">
            <v>0</v>
          </cell>
        </row>
        <row r="57">
          <cell r="A57" t="str">
            <v xml:space="preserve">    其他长期资产</v>
          </cell>
          <cell r="B57">
            <v>0</v>
          </cell>
          <cell r="D57">
            <v>0</v>
          </cell>
        </row>
        <row r="58">
          <cell r="A58" t="str">
            <v xml:space="preserve">    无形及其他资产合计 </v>
          </cell>
          <cell r="B58">
            <v>0</v>
          </cell>
          <cell r="C58">
            <v>0</v>
          </cell>
          <cell r="D58">
            <v>0</v>
          </cell>
        </row>
        <row r="59">
          <cell r="B59">
            <v>0</v>
          </cell>
          <cell r="D59">
            <v>0</v>
          </cell>
        </row>
        <row r="60">
          <cell r="A60" t="str">
            <v xml:space="preserve">    资产总计 </v>
          </cell>
          <cell r="B60">
            <v>128481320.08999997</v>
          </cell>
          <cell r="C60">
            <v>0</v>
          </cell>
          <cell r="D60">
            <v>128481320.08999997</v>
          </cell>
        </row>
        <row r="62">
          <cell r="A62" t="str">
            <v>资产负债表（续）</v>
          </cell>
        </row>
        <row r="64">
          <cell r="A64" t="str">
            <v>编制单位：呼和浩特金宇</v>
          </cell>
          <cell r="B64" t="str">
            <v>编制：吴海鸥</v>
          </cell>
          <cell r="C64" t="str">
            <v>复核：</v>
          </cell>
          <cell r="D64" t="str">
            <v>索引：A9</v>
          </cell>
        </row>
        <row r="65">
          <cell r="A65" t="str">
            <v>会计期间：2003.6.30</v>
          </cell>
          <cell r="B65" t="str">
            <v>日期:July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20000000</v>
          </cell>
          <cell r="D68">
            <v>20000000</v>
          </cell>
        </row>
        <row r="69">
          <cell r="A69" t="str">
            <v xml:space="preserve">    应付票据</v>
          </cell>
          <cell r="B69">
            <v>0</v>
          </cell>
          <cell r="D69">
            <v>0</v>
          </cell>
        </row>
        <row r="70">
          <cell r="A70" t="str">
            <v xml:space="preserve">    应付帐款 </v>
          </cell>
          <cell r="B70">
            <v>19865629.239999998</v>
          </cell>
          <cell r="D70">
            <v>19865629.239999998</v>
          </cell>
        </row>
        <row r="71">
          <cell r="A71" t="str">
            <v xml:space="preserve">    预收帐款 </v>
          </cell>
          <cell r="B71">
            <v>71815.600000000006</v>
          </cell>
          <cell r="D71">
            <v>71815.600000000006</v>
          </cell>
        </row>
        <row r="72">
          <cell r="A72" t="str">
            <v xml:space="preserve">    应付工资 </v>
          </cell>
          <cell r="B72">
            <v>-60726.84</v>
          </cell>
          <cell r="D72">
            <v>-60726.84</v>
          </cell>
        </row>
        <row r="73">
          <cell r="A73" t="str">
            <v xml:space="preserve">    应付福利费 </v>
          </cell>
          <cell r="B73">
            <v>-31466.36</v>
          </cell>
          <cell r="D73">
            <v>-31466.36</v>
          </cell>
        </row>
        <row r="74">
          <cell r="A74" t="str">
            <v xml:space="preserve">    应付股利</v>
          </cell>
          <cell r="B74">
            <v>0</v>
          </cell>
          <cell r="D74">
            <v>0</v>
          </cell>
        </row>
        <row r="75">
          <cell r="A75" t="str">
            <v xml:space="preserve">    应交税金 </v>
          </cell>
          <cell r="B75">
            <v>38261.46</v>
          </cell>
          <cell r="D75">
            <v>38261.46</v>
          </cell>
        </row>
        <row r="76">
          <cell r="A76" t="str">
            <v xml:space="preserve">    其他未交款 </v>
          </cell>
          <cell r="B76">
            <v>7448.61</v>
          </cell>
          <cell r="D76">
            <v>7448.61</v>
          </cell>
        </row>
        <row r="77">
          <cell r="A77" t="str">
            <v xml:space="preserve">    其他应付款 </v>
          </cell>
          <cell r="B77">
            <v>4096159.72</v>
          </cell>
          <cell r="D77">
            <v>4096159.72</v>
          </cell>
        </row>
        <row r="78">
          <cell r="A78" t="str">
            <v xml:space="preserve">    预提费用 </v>
          </cell>
          <cell r="B78">
            <v>391206.76</v>
          </cell>
          <cell r="D78">
            <v>391206.76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44378328.18999999</v>
          </cell>
          <cell r="C83">
            <v>0</v>
          </cell>
          <cell r="D83">
            <v>44378328.18999999</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44378328.18999999</v>
          </cell>
          <cell r="C93">
            <v>0</v>
          </cell>
          <cell r="D93">
            <v>44378328.18999999</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85360000</v>
          </cell>
          <cell r="D96">
            <v>85360000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-1257008.1000000001</v>
          </cell>
          <cell r="C100">
            <v>0</v>
          </cell>
          <cell r="D100">
            <v>754833.80999999878</v>
          </cell>
        </row>
        <row r="101">
          <cell r="B101">
            <v>84102991.900000006</v>
          </cell>
        </row>
        <row r="102">
          <cell r="A102" t="str">
            <v xml:space="preserve">    所有者权益合计 </v>
          </cell>
          <cell r="B102">
            <v>0</v>
          </cell>
          <cell r="C102">
            <v>0</v>
          </cell>
          <cell r="D102">
            <v>86114833.810000002</v>
          </cell>
        </row>
        <row r="103">
          <cell r="B103">
            <v>0</v>
          </cell>
        </row>
        <row r="104">
          <cell r="A104" t="str">
            <v xml:space="preserve">   负债及所有者权益总计 </v>
          </cell>
          <cell r="B104">
            <v>128481320.09</v>
          </cell>
          <cell r="C104">
            <v>0</v>
          </cell>
          <cell r="D104">
            <v>130493162</v>
          </cell>
        </row>
        <row r="105">
          <cell r="A105" t="str">
            <v>利  润  表</v>
          </cell>
        </row>
        <row r="107">
          <cell r="A107" t="str">
            <v>编制单位：呼和浩特金宇</v>
          </cell>
          <cell r="B107" t="str">
            <v>编制：吴海鸥</v>
          </cell>
          <cell r="C107" t="str">
            <v>复核：</v>
          </cell>
          <cell r="D107" t="str">
            <v>索引：A9</v>
          </cell>
        </row>
        <row r="108">
          <cell r="A108" t="str">
            <v>会计期间：2003年1-6</v>
          </cell>
          <cell r="B108" t="str">
            <v>日期:July 17</v>
          </cell>
          <cell r="C108" t="str">
            <v>日期：</v>
          </cell>
          <cell r="D108" t="str">
            <v>页次：3</v>
          </cell>
        </row>
        <row r="109">
          <cell r="A109" t="str">
            <v>项         目</v>
          </cell>
          <cell r="B109" t="str">
            <v>原报</v>
          </cell>
          <cell r="C109" t="str">
            <v>调整</v>
          </cell>
          <cell r="D109" t="str">
            <v>审定</v>
          </cell>
        </row>
        <row r="110">
          <cell r="A110" t="str">
            <v>一、主营业务收入</v>
          </cell>
          <cell r="B110">
            <v>56439384.399999999</v>
          </cell>
          <cell r="D110">
            <v>56439384.399999999</v>
          </cell>
        </row>
        <row r="111">
          <cell r="A111" t="str">
            <v xml:space="preserve">    减：主营业务成本</v>
          </cell>
          <cell r="B111">
            <v>51447792.68</v>
          </cell>
          <cell r="D111">
            <v>51447792.68</v>
          </cell>
        </row>
        <row r="112">
          <cell r="A112" t="str">
            <v xml:space="preserve">        主营业务税金及附加</v>
          </cell>
          <cell r="B112">
            <v>165589.51</v>
          </cell>
          <cell r="D112">
            <v>165589.51</v>
          </cell>
        </row>
        <row r="113">
          <cell r="B113">
            <v>0</v>
          </cell>
        </row>
        <row r="114">
          <cell r="A114" t="str">
            <v>二、主营业务利润</v>
          </cell>
          <cell r="B114">
            <v>4826002.209999999</v>
          </cell>
          <cell r="C114">
            <v>0</v>
          </cell>
          <cell r="D114">
            <v>4826002.209999999</v>
          </cell>
        </row>
        <row r="115">
          <cell r="A115" t="str">
            <v xml:space="preserve">    加：其他业务利润</v>
          </cell>
          <cell r="B115">
            <v>3056571.74</v>
          </cell>
          <cell r="D115">
            <v>3056571.74</v>
          </cell>
        </row>
        <row r="116">
          <cell r="A116" t="str">
            <v xml:space="preserve">    减：营业费用</v>
          </cell>
          <cell r="B116">
            <v>4396195.2300000004</v>
          </cell>
          <cell r="D116">
            <v>4396195.2300000004</v>
          </cell>
        </row>
        <row r="117">
          <cell r="A117" t="str">
            <v xml:space="preserve">        管理费用</v>
          </cell>
          <cell r="B117">
            <v>1709489.35</v>
          </cell>
          <cell r="D117">
            <v>1709489.35</v>
          </cell>
        </row>
        <row r="118">
          <cell r="A118" t="str">
            <v xml:space="preserve">        财务费用</v>
          </cell>
          <cell r="B118">
            <v>631792.72</v>
          </cell>
          <cell r="D118">
            <v>631792.72</v>
          </cell>
        </row>
        <row r="119">
          <cell r="B119">
            <v>0</v>
          </cell>
        </row>
        <row r="120">
          <cell r="A120" t="str">
            <v>三、营业利润</v>
          </cell>
          <cell r="B120">
            <v>1145096.6499999987</v>
          </cell>
          <cell r="C120">
            <v>0</v>
          </cell>
          <cell r="D120">
            <v>1145096.6499999987</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21769.77</v>
          </cell>
          <cell r="D123">
            <v>21769.77</v>
          </cell>
        </row>
        <row r="124">
          <cell r="A124" t="str">
            <v xml:space="preserve">    减：营业外支出</v>
          </cell>
          <cell r="B124">
            <v>40248.76</v>
          </cell>
          <cell r="D124">
            <v>40248.76</v>
          </cell>
        </row>
        <row r="125">
          <cell r="B125">
            <v>0</v>
          </cell>
        </row>
        <row r="126">
          <cell r="A126" t="str">
            <v xml:space="preserve">四、利润总额 </v>
          </cell>
          <cell r="B126">
            <v>1126617.6599999988</v>
          </cell>
          <cell r="C126">
            <v>0</v>
          </cell>
          <cell r="D126">
            <v>1126617.6599999988</v>
          </cell>
        </row>
        <row r="127">
          <cell r="A127" t="str">
            <v xml:space="preserve">    减：所得税</v>
          </cell>
          <cell r="B127">
            <v>371783.85</v>
          </cell>
          <cell r="D127">
            <v>371783.85</v>
          </cell>
        </row>
        <row r="128">
          <cell r="A128" t="str">
            <v xml:space="preserve">                    少数股东本期收益</v>
          </cell>
          <cell r="B128">
            <v>0</v>
          </cell>
          <cell r="D128">
            <v>0</v>
          </cell>
        </row>
        <row r="129">
          <cell r="A129" t="str">
            <v>五、净利润</v>
          </cell>
          <cell r="B129">
            <v>754833.80999999878</v>
          </cell>
          <cell r="C129">
            <v>0</v>
          </cell>
          <cell r="D129">
            <v>754833.80999999878</v>
          </cell>
        </row>
        <row r="130">
          <cell r="B130">
            <v>0</v>
          </cell>
        </row>
        <row r="131">
          <cell r="A131" t="str">
            <v>利 润 分 配 表</v>
          </cell>
        </row>
        <row r="133">
          <cell r="A133" t="str">
            <v>编制单位：呼和浩特金宇</v>
          </cell>
          <cell r="B133" t="str">
            <v>编制：吴海鸥</v>
          </cell>
          <cell r="C133" t="str">
            <v>复核：</v>
          </cell>
          <cell r="D133" t="str">
            <v>索引：A9</v>
          </cell>
        </row>
        <row r="134">
          <cell r="A134" t="str">
            <v>会计期间：2003年1-6</v>
          </cell>
          <cell r="B134" t="str">
            <v>日期:July 17</v>
          </cell>
          <cell r="C134" t="str">
            <v>日期：</v>
          </cell>
          <cell r="D134" t="str">
            <v>页次：3</v>
          </cell>
        </row>
        <row r="135">
          <cell r="A135" t="str">
            <v>项         目</v>
          </cell>
          <cell r="B135" t="str">
            <v>原报</v>
          </cell>
          <cell r="C135" t="str">
            <v>调整</v>
          </cell>
          <cell r="D135" t="str">
            <v>审定</v>
          </cell>
        </row>
        <row r="136">
          <cell r="A136" t="str">
            <v>一、净利润</v>
          </cell>
          <cell r="B136">
            <v>754833.80999999878</v>
          </cell>
          <cell r="C136">
            <v>0</v>
          </cell>
          <cell r="D136">
            <v>754833.80999999878</v>
          </cell>
        </row>
        <row r="137">
          <cell r="A137" t="str">
            <v xml:space="preserve">    加：年初未分配利润</v>
          </cell>
          <cell r="D137">
            <v>0</v>
          </cell>
        </row>
        <row r="138">
          <cell r="A138" t="str">
            <v xml:space="preserve">        其他转入</v>
          </cell>
          <cell r="D13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大额未达"/>
      <sheetName val="B"/>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3430374.13</v>
          </cell>
          <cell r="D7">
            <v>3430374.13</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2610098.35</v>
          </cell>
          <cell r="D17">
            <v>2610098.35</v>
          </cell>
        </row>
        <row r="18">
          <cell r="A18" t="str">
            <v xml:space="preserve">              减：其他应收款坏帐准备</v>
          </cell>
          <cell r="B18">
            <v>0</v>
          </cell>
          <cell r="D18">
            <v>0</v>
          </cell>
        </row>
        <row r="19">
          <cell r="A19" t="str">
            <v xml:space="preserve">    其他应收款净值  </v>
          </cell>
          <cell r="B19">
            <v>0</v>
          </cell>
          <cell r="C19">
            <v>0</v>
          </cell>
          <cell r="D19">
            <v>2610098.35</v>
          </cell>
        </row>
        <row r="20">
          <cell r="A20" t="str">
            <v xml:space="preserve">    预付帐款 </v>
          </cell>
          <cell r="B20">
            <v>3818671.02</v>
          </cell>
          <cell r="D20">
            <v>3818671.02</v>
          </cell>
        </row>
        <row r="21">
          <cell r="A21" t="str">
            <v xml:space="preserve">    应收补贴款</v>
          </cell>
          <cell r="B21">
            <v>0</v>
          </cell>
          <cell r="D21">
            <v>0</v>
          </cell>
        </row>
        <row r="22">
          <cell r="A22" t="str">
            <v xml:space="preserve">    存货 </v>
          </cell>
          <cell r="B22">
            <v>7730470.0199999996</v>
          </cell>
          <cell r="D22">
            <v>7730470.0199999996</v>
          </cell>
        </row>
        <row r="23">
          <cell r="A23" t="str">
            <v xml:space="preserve">              减：存货跌价准备</v>
          </cell>
          <cell r="B23">
            <v>0</v>
          </cell>
          <cell r="D23">
            <v>0</v>
          </cell>
        </row>
        <row r="24">
          <cell r="A24" t="str">
            <v xml:space="preserve">    存货净值 </v>
          </cell>
          <cell r="B24">
            <v>0</v>
          </cell>
          <cell r="C24">
            <v>0</v>
          </cell>
          <cell r="D24">
            <v>7730470.0199999996</v>
          </cell>
        </row>
        <row r="25">
          <cell r="A25" t="str">
            <v xml:space="preserve">    待摊费用 </v>
          </cell>
          <cell r="B25">
            <v>2367327.89</v>
          </cell>
          <cell r="D25">
            <v>2367327.89</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19956941.41</v>
          </cell>
          <cell r="C28">
            <v>0</v>
          </cell>
          <cell r="D28">
            <v>19956941.41</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9059473.1400000006</v>
          </cell>
          <cell r="D40">
            <v>9059473.1400000006</v>
          </cell>
        </row>
        <row r="41">
          <cell r="A41" t="str">
            <v xml:space="preserve">      减：累计折旧 </v>
          </cell>
          <cell r="B41">
            <v>483615.7</v>
          </cell>
          <cell r="D41">
            <v>483615.7</v>
          </cell>
        </row>
        <row r="42">
          <cell r="A42" t="str">
            <v xml:space="preserve">    固定资产净值 </v>
          </cell>
          <cell r="B42">
            <v>8575857.4400000013</v>
          </cell>
          <cell r="C42">
            <v>0</v>
          </cell>
          <cell r="D42">
            <v>8575857.4400000013</v>
          </cell>
        </row>
        <row r="43">
          <cell r="A43" t="str">
            <v xml:space="preserve">      减：固定资产减值准备</v>
          </cell>
          <cell r="B43">
            <v>0</v>
          </cell>
          <cell r="D43">
            <v>0</v>
          </cell>
        </row>
        <row r="44">
          <cell r="A44" t="str">
            <v xml:space="preserve">    固定资产净额</v>
          </cell>
          <cell r="B44">
            <v>8575857.4400000013</v>
          </cell>
          <cell r="C44">
            <v>0</v>
          </cell>
          <cell r="D44">
            <v>8575857.4400000013</v>
          </cell>
        </row>
        <row r="45">
          <cell r="A45" t="str">
            <v xml:space="preserve">    工程物资</v>
          </cell>
          <cell r="B45">
            <v>0</v>
          </cell>
          <cell r="D45">
            <v>0</v>
          </cell>
        </row>
        <row r="46">
          <cell r="A46" t="str">
            <v xml:space="preserve">    在建工程 </v>
          </cell>
          <cell r="B46">
            <v>417892.98</v>
          </cell>
          <cell r="D46">
            <v>417892.98</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8993750.4200000018</v>
          </cell>
          <cell r="C50">
            <v>0</v>
          </cell>
          <cell r="D50">
            <v>8993750.4200000018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30220560.52</v>
          </cell>
          <cell r="D56">
            <v>30220560.52</v>
          </cell>
        </row>
        <row r="57">
          <cell r="A57" t="str">
            <v xml:space="preserve">    其他长期资产</v>
          </cell>
          <cell r="B57">
            <v>0</v>
          </cell>
          <cell r="D57">
            <v>0</v>
          </cell>
        </row>
        <row r="58">
          <cell r="A58" t="str">
            <v xml:space="preserve">    无形及其他资产合计 </v>
          </cell>
          <cell r="B58">
            <v>30220560.52</v>
          </cell>
          <cell r="C58">
            <v>0</v>
          </cell>
          <cell r="D58">
            <v>30220560.52</v>
          </cell>
        </row>
        <row r="59">
          <cell r="B59">
            <v>0</v>
          </cell>
          <cell r="D59">
            <v>0</v>
          </cell>
        </row>
        <row r="60">
          <cell r="A60" t="str">
            <v xml:space="preserve">    资产总计 </v>
          </cell>
          <cell r="B60">
            <v>59171252.350000001</v>
          </cell>
          <cell r="C60">
            <v>0</v>
          </cell>
          <cell r="D60">
            <v>59171252.350000001</v>
          </cell>
        </row>
        <row r="62">
          <cell r="A62" t="str">
            <v>资产负债表（续）</v>
          </cell>
        </row>
        <row r="64">
          <cell r="A64" t="str">
            <v>编制单位：太原</v>
          </cell>
          <cell r="B64" t="str">
            <v>编制：吴海鸥</v>
          </cell>
          <cell r="C64" t="str">
            <v>复核：</v>
          </cell>
          <cell r="D64" t="str">
            <v>索引：A9</v>
          </cell>
        </row>
        <row r="65">
          <cell r="A65" t="str">
            <v>会计期间：2003.6.30</v>
          </cell>
          <cell r="B65" t="str">
            <v>日期:August 18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17417067.710000001</v>
          </cell>
          <cell r="D70">
            <v>17417067.710000001</v>
          </cell>
        </row>
        <row r="71">
          <cell r="A71" t="str">
            <v xml:space="preserve">    预收帐款 </v>
          </cell>
          <cell r="B71">
            <v>150</v>
          </cell>
          <cell r="D71">
            <v>150</v>
          </cell>
        </row>
        <row r="72">
          <cell r="A72" t="str">
            <v xml:space="preserve">    应付工资 </v>
          </cell>
          <cell r="B72">
            <v>-96032.8</v>
          </cell>
          <cell r="D72">
            <v>-96032.8</v>
          </cell>
        </row>
        <row r="73">
          <cell r="A73" t="str">
            <v xml:space="preserve">    应付福利费 </v>
          </cell>
          <cell r="B73">
            <v>15821.06</v>
          </cell>
          <cell r="D73">
            <v>15821.06</v>
          </cell>
        </row>
        <row r="74">
          <cell r="A74" t="str">
            <v xml:space="preserve">    应付股利</v>
          </cell>
          <cell r="B74">
            <v>0</v>
          </cell>
          <cell r="D74">
            <v>0</v>
          </cell>
        </row>
        <row r="75">
          <cell r="A75" t="str">
            <v xml:space="preserve">    应交税金 </v>
          </cell>
          <cell r="B75">
            <v>86996.42</v>
          </cell>
          <cell r="D75">
            <v>86996.42</v>
          </cell>
        </row>
        <row r="76">
          <cell r="A76" t="str">
            <v xml:space="preserve">    其他未交款 </v>
          </cell>
          <cell r="B76">
            <v>4740.92</v>
          </cell>
          <cell r="D76">
            <v>4740.92</v>
          </cell>
        </row>
        <row r="77">
          <cell r="A77" t="str">
            <v xml:space="preserve">    其他应付款 </v>
          </cell>
          <cell r="B77">
            <v>988336.48</v>
          </cell>
          <cell r="D77">
            <v>988336.48</v>
          </cell>
        </row>
        <row r="78">
          <cell r="A78" t="str">
            <v xml:space="preserve">    预提费用 </v>
          </cell>
          <cell r="B78">
            <v>423527.3</v>
          </cell>
          <cell r="D78">
            <v>423527.3</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18840607.090000004</v>
          </cell>
          <cell r="C83">
            <v>0</v>
          </cell>
          <cell r="D83">
            <v>18840607.090000004</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41212872.700000003</v>
          </cell>
          <cell r="D90">
            <v>41212872.700000003</v>
          </cell>
        </row>
        <row r="91">
          <cell r="A91" t="str">
            <v xml:space="preserve">    长期负债合计 </v>
          </cell>
          <cell r="B91">
            <v>41212872.700000003</v>
          </cell>
          <cell r="C91">
            <v>0</v>
          </cell>
          <cell r="D91">
            <v>41212872.700000003</v>
          </cell>
        </row>
        <row r="92">
          <cell r="B92">
            <v>0</v>
          </cell>
        </row>
        <row r="93">
          <cell r="A93" t="str">
            <v xml:space="preserve">    负债合计 </v>
          </cell>
          <cell r="B93">
            <v>60053479.790000007</v>
          </cell>
          <cell r="C93">
            <v>0</v>
          </cell>
          <cell r="D93">
            <v>60053479.790000007</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-882227.44</v>
          </cell>
          <cell r="C100">
            <v>0</v>
          </cell>
          <cell r="D100">
            <v>162953220.12</v>
          </cell>
        </row>
        <row r="101">
          <cell r="B101">
            <v>-882227.44</v>
          </cell>
        </row>
        <row r="102">
          <cell r="A102" t="str">
            <v xml:space="preserve">    所有者权益合计 </v>
          </cell>
          <cell r="B102">
            <v>0</v>
          </cell>
          <cell r="C102">
            <v>0</v>
          </cell>
          <cell r="D102">
            <v>162953220.12</v>
          </cell>
        </row>
        <row r="103">
          <cell r="B103">
            <v>0</v>
          </cell>
        </row>
        <row r="104">
          <cell r="A104" t="str">
            <v xml:space="preserve">   负债及所有者权益总计 </v>
          </cell>
          <cell r="B104">
            <v>59171252.350000009</v>
          </cell>
          <cell r="C104">
            <v>0</v>
          </cell>
          <cell r="D104">
            <v>223006699.91000003</v>
          </cell>
        </row>
        <row r="105">
          <cell r="A105" t="str">
            <v>利  润  表</v>
          </cell>
        </row>
        <row r="107">
          <cell r="A107" t="str">
            <v>编制单位：太原</v>
          </cell>
          <cell r="B107" t="str">
            <v>编制：吴海鸥</v>
          </cell>
          <cell r="C107" t="str">
            <v>复核：</v>
          </cell>
          <cell r="D107" t="str">
            <v>索引：A9</v>
          </cell>
        </row>
        <row r="108">
          <cell r="A108" t="str">
            <v>会计期间：2003年1-6</v>
          </cell>
          <cell r="B108" t="str">
            <v>日期:August 18</v>
          </cell>
          <cell r="C108" t="str">
            <v>日期：</v>
          </cell>
          <cell r="D108" t="str">
            <v>页次：3</v>
          </cell>
        </row>
        <row r="109">
          <cell r="A109" t="str">
            <v>项         目</v>
          </cell>
          <cell r="B109" t="str">
            <v>原报</v>
          </cell>
          <cell r="C109" t="str">
            <v>调整</v>
          </cell>
          <cell r="D109" t="str">
            <v>审定</v>
          </cell>
        </row>
        <row r="110">
          <cell r="A110" t="str">
            <v>一、主营业务收入</v>
          </cell>
          <cell r="B110">
            <v>28920183.289999999</v>
          </cell>
          <cell r="D110">
            <v>28920183.289999999</v>
          </cell>
        </row>
        <row r="111">
          <cell r="A111" t="str">
            <v xml:space="preserve">    减：主营业务成本</v>
          </cell>
          <cell r="B111">
            <v>25931421.18</v>
          </cell>
          <cell r="D111">
            <v>25931421.18</v>
          </cell>
        </row>
        <row r="112">
          <cell r="A112" t="str">
            <v xml:space="preserve">        主营业务税金及附加</v>
          </cell>
          <cell r="B112">
            <v>159480.45000000001</v>
          </cell>
          <cell r="D112">
            <v>159480.45000000001</v>
          </cell>
        </row>
        <row r="113">
          <cell r="B113">
            <v>0</v>
          </cell>
        </row>
        <row r="114">
          <cell r="A114" t="str">
            <v>二、主营业务利润</v>
          </cell>
          <cell r="B114">
            <v>2829281.6599999992</v>
          </cell>
          <cell r="C114">
            <v>0</v>
          </cell>
          <cell r="D114">
            <v>2829281.6599999992</v>
          </cell>
        </row>
        <row r="115">
          <cell r="A115" t="str">
            <v xml:space="preserve">    加：其他业务利润</v>
          </cell>
          <cell r="B115">
            <v>3954124.15</v>
          </cell>
          <cell r="D115">
            <v>3954124.15</v>
          </cell>
        </row>
        <row r="116">
          <cell r="A116" t="str">
            <v xml:space="preserve">    减：营业费用</v>
          </cell>
          <cell r="B116">
            <v>7192863.0099999998</v>
          </cell>
          <cell r="D116">
            <v>7192863.0099999998</v>
          </cell>
        </row>
        <row r="117">
          <cell r="A117" t="str">
            <v xml:space="preserve">        管理费用</v>
          </cell>
          <cell r="B117">
            <v>510110.29</v>
          </cell>
          <cell r="D117">
            <v>510110.29</v>
          </cell>
        </row>
        <row r="118">
          <cell r="A118" t="str">
            <v xml:space="preserve">        财务费用</v>
          </cell>
          <cell r="B118">
            <v>3594.49</v>
          </cell>
          <cell r="D118">
            <v>3594.49</v>
          </cell>
        </row>
        <row r="119">
          <cell r="B119">
            <v>0</v>
          </cell>
        </row>
        <row r="120">
          <cell r="A120" t="str">
            <v>三、营业利润</v>
          </cell>
          <cell r="B120">
            <v>-923161.98000000115</v>
          </cell>
          <cell r="C120">
            <v>0</v>
          </cell>
          <cell r="D120">
            <v>-923161.98000000115</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41492.54</v>
          </cell>
          <cell r="D123">
            <v>41492.54</v>
          </cell>
        </row>
        <row r="124">
          <cell r="A124" t="str">
            <v xml:space="preserve">    减：营业外支出</v>
          </cell>
          <cell r="B124">
            <v>558</v>
          </cell>
          <cell r="D124">
            <v>558</v>
          </cell>
        </row>
        <row r="125">
          <cell r="B125">
            <v>0</v>
          </cell>
        </row>
        <row r="126">
          <cell r="A126" t="str">
            <v xml:space="preserve">四、利润总额 </v>
          </cell>
          <cell r="B126">
            <v>-882227.44000000111</v>
          </cell>
          <cell r="C126">
            <v>0</v>
          </cell>
          <cell r="D126">
            <v>-882227.44000000111</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-882227.44000000111</v>
          </cell>
          <cell r="C129">
            <v>0</v>
          </cell>
          <cell r="D129">
            <v>-882227.44000000111</v>
          </cell>
        </row>
        <row r="131">
          <cell r="A131" t="str">
            <v>利 润 分 配 表</v>
          </cell>
        </row>
        <row r="133">
          <cell r="A133" t="str">
            <v>编制单位：太原</v>
          </cell>
          <cell r="B133" t="str">
            <v>编制：吴海鸥</v>
          </cell>
          <cell r="C133" t="str">
            <v>复核：</v>
          </cell>
          <cell r="D133" t="str">
            <v>索引：A9</v>
          </cell>
        </row>
        <row r="134">
          <cell r="A134" t="str">
            <v>会计期间：2003年1-6</v>
          </cell>
          <cell r="B134" t="str">
            <v>日期:August 18</v>
          </cell>
          <cell r="C134" t="str">
            <v>日期：</v>
          </cell>
          <cell r="D134" t="str">
            <v>页次：3</v>
          </cell>
        </row>
        <row r="135">
          <cell r="A135" t="str">
            <v>项         目</v>
          </cell>
          <cell r="B135" t="str">
            <v>原报</v>
          </cell>
          <cell r="C135" t="str">
            <v>调整</v>
          </cell>
          <cell r="D135" t="str">
            <v>审定</v>
          </cell>
        </row>
        <row r="136">
          <cell r="A136" t="str">
            <v>一、净利润</v>
          </cell>
          <cell r="B136">
            <v>-882227.44000000111</v>
          </cell>
          <cell r="C136">
            <v>0</v>
          </cell>
          <cell r="D136">
            <v>-882227.44000000111</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row r="140">
          <cell r="A140" t="str">
            <v>二、可供分配的利润</v>
          </cell>
          <cell r="B140">
            <v>162953220.12</v>
          </cell>
          <cell r="C140">
            <v>0</v>
          </cell>
          <cell r="D140">
            <v>162953220.12</v>
          </cell>
        </row>
        <row r="141">
          <cell r="A141" t="str">
            <v xml:space="preserve">    减：提取法定盈余公积</v>
          </cell>
          <cell r="D141">
            <v>0</v>
          </cell>
        </row>
        <row r="142">
          <cell r="A142" t="str">
            <v xml:space="preserve">        提取法定公益金</v>
          </cell>
          <cell r="D142">
            <v>0</v>
          </cell>
        </row>
        <row r="144">
          <cell r="A144" t="str">
            <v>三、可供股东分配的利润</v>
          </cell>
          <cell r="B144">
            <v>162953220.12</v>
          </cell>
          <cell r="C144">
            <v>0</v>
          </cell>
          <cell r="D144">
            <v>162953220.12</v>
          </cell>
        </row>
        <row r="145">
          <cell r="A145" t="str">
            <v xml:space="preserve">    减：应付优先股股利</v>
          </cell>
          <cell r="D145">
            <v>0</v>
          </cell>
        </row>
        <row r="146">
          <cell r="A146" t="str">
            <v xml:space="preserve">        提取任意盈余公积</v>
          </cell>
          <cell r="D146">
            <v>0</v>
          </cell>
        </row>
        <row r="147">
          <cell r="A147" t="str">
            <v xml:space="preserve">                    应付普通股股利</v>
          </cell>
          <cell r="D147">
            <v>0</v>
          </cell>
        </row>
        <row r="148">
          <cell r="A148" t="str">
            <v xml:space="preserve">        转作股本的普通股股利</v>
          </cell>
          <cell r="D148">
            <v>0</v>
          </cell>
        </row>
        <row r="150">
          <cell r="A150" t="str">
            <v>四、未分配利润</v>
          </cell>
          <cell r="B150">
            <v>162953220.12</v>
          </cell>
          <cell r="C150">
            <v>0</v>
          </cell>
          <cell r="D150">
            <v>162953220.12</v>
          </cell>
        </row>
      </sheetData>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 val="本期报表"/>
      <sheetName val="产销存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I36"/>
  <sheetViews>
    <sheetView workbookViewId="0">
      <selection activeCell="AI36" sqref="AI36"/>
    </sheetView>
  </sheetViews>
  <sheetFormatPr defaultRowHeight="14.25"/>
  <sheetData>
    <row r="36" spans="35:35" ht="15">
      <c r="AI36" s="400">
        <f>SUM(AI26)+SUM(AI27)-SUM(AI32)</f>
        <v>0</v>
      </c>
    </row>
  </sheetData>
  <phoneticPr fontId="3"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39"/>
    <pageSetUpPr fitToPage="1"/>
  </sheetPr>
  <dimension ref="B1:M43"/>
  <sheetViews>
    <sheetView tabSelected="1" workbookViewId="0">
      <selection activeCell="C3" sqref="C3"/>
    </sheetView>
  </sheetViews>
  <sheetFormatPr defaultColWidth="7" defaultRowHeight="16.5"/>
  <cols>
    <col min="1" max="1" width="0.75" style="477" customWidth="1"/>
    <col min="2" max="2" width="3" style="477" customWidth="1"/>
    <col min="3" max="3" width="13.375" style="477" customWidth="1"/>
    <col min="4" max="4" width="14.5" style="477" customWidth="1"/>
    <col min="5" max="5" width="16.875" style="477" customWidth="1"/>
    <col min="6" max="6" width="10.875" style="477" customWidth="1"/>
    <col min="7" max="7" width="13.375" style="477" customWidth="1"/>
    <col min="8" max="8" width="8.625" style="477" customWidth="1"/>
    <col min="9" max="9" width="8.125" style="477" customWidth="1"/>
    <col min="10" max="10" width="7" style="477" customWidth="1"/>
    <col min="11" max="11" width="1.625" style="477" customWidth="1"/>
    <col min="12" max="12" width="5.5" style="968" bestFit="1" customWidth="1"/>
    <col min="13" max="13" width="18.375" style="541" bestFit="1" customWidth="1"/>
    <col min="14" max="16384" width="7" style="477"/>
  </cols>
  <sheetData>
    <row r="1" spans="2:13" ht="6.75" customHeight="1"/>
    <row r="2" spans="2:13" ht="17.25">
      <c r="B2" s="478" t="s">
        <v>579</v>
      </c>
      <c r="C2" s="479"/>
      <c r="D2" s="479"/>
      <c r="E2" s="479"/>
      <c r="F2" s="479"/>
      <c r="G2" s="479"/>
      <c r="H2" s="479"/>
      <c r="I2" s="479"/>
      <c r="J2" s="480"/>
      <c r="K2" s="481"/>
      <c r="L2" s="969" t="s">
        <v>580</v>
      </c>
      <c r="M2" s="542" t="s">
        <v>674</v>
      </c>
    </row>
    <row r="3" spans="2:13">
      <c r="B3" s="551"/>
      <c r="C3" s="484"/>
      <c r="D3" s="484"/>
      <c r="E3" s="484"/>
      <c r="F3" s="484"/>
      <c r="G3" s="484"/>
      <c r="H3" s="484"/>
      <c r="I3" s="484"/>
      <c r="J3" s="482"/>
      <c r="K3" s="481"/>
      <c r="L3" s="970">
        <v>1</v>
      </c>
      <c r="M3" s="594" t="s">
        <v>456</v>
      </c>
    </row>
    <row r="4" spans="2:13">
      <c r="B4" s="483">
        <v>1</v>
      </c>
      <c r="C4" s="484" t="s">
        <v>624</v>
      </c>
      <c r="D4" s="484"/>
      <c r="E4" s="484"/>
      <c r="F4" s="484"/>
      <c r="G4" s="484"/>
      <c r="H4" s="484"/>
      <c r="I4" s="484"/>
      <c r="J4" s="485"/>
      <c r="K4" s="481"/>
      <c r="L4" s="970">
        <v>2</v>
      </c>
      <c r="M4" s="594" t="s">
        <v>629</v>
      </c>
    </row>
    <row r="5" spans="2:13">
      <c r="B5" s="552"/>
      <c r="C5" s="484"/>
      <c r="D5" s="484"/>
      <c r="E5" s="484"/>
      <c r="F5" s="484"/>
      <c r="G5" s="484"/>
      <c r="H5" s="484"/>
      <c r="I5" s="484"/>
      <c r="J5" s="482"/>
      <c r="K5" s="481"/>
      <c r="L5" s="970">
        <v>3</v>
      </c>
      <c r="M5" s="594" t="s">
        <v>359</v>
      </c>
    </row>
    <row r="6" spans="2:13">
      <c r="B6" s="483">
        <v>2</v>
      </c>
      <c r="C6" s="484" t="s">
        <v>581</v>
      </c>
      <c r="D6" s="484"/>
      <c r="E6" s="484"/>
      <c r="F6" s="484"/>
      <c r="G6" s="484"/>
      <c r="H6" s="484"/>
      <c r="I6" s="484"/>
      <c r="J6" s="485"/>
      <c r="K6" s="481"/>
      <c r="L6" s="970">
        <v>4</v>
      </c>
      <c r="M6" s="594" t="s">
        <v>630</v>
      </c>
    </row>
    <row r="7" spans="2:13">
      <c r="B7" s="483"/>
      <c r="C7" s="484" t="s">
        <v>582</v>
      </c>
      <c r="D7" s="484"/>
      <c r="E7" s="484"/>
      <c r="F7" s="484"/>
      <c r="G7" s="484"/>
      <c r="H7" s="484"/>
      <c r="I7" s="484"/>
      <c r="J7" s="485"/>
      <c r="K7" s="481"/>
      <c r="L7" s="970">
        <v>5</v>
      </c>
      <c r="M7" s="594" t="s">
        <v>631</v>
      </c>
    </row>
    <row r="8" spans="2:13">
      <c r="B8" s="483"/>
      <c r="C8" s="484"/>
      <c r="D8" s="484"/>
      <c r="E8" s="484"/>
      <c r="F8" s="484"/>
      <c r="G8" s="484"/>
      <c r="H8" s="484"/>
      <c r="I8" s="484"/>
      <c r="J8" s="485"/>
      <c r="K8" s="481"/>
      <c r="L8" s="970">
        <v>6</v>
      </c>
      <c r="M8" s="594" t="s">
        <v>585</v>
      </c>
    </row>
    <row r="9" spans="2:13">
      <c r="B9" s="483">
        <v>3</v>
      </c>
      <c r="C9" s="486" t="s">
        <v>583</v>
      </c>
      <c r="D9" s="487" t="s">
        <v>625</v>
      </c>
      <c r="E9" s="484" t="s">
        <v>584</v>
      </c>
      <c r="F9" s="484"/>
      <c r="G9" s="484"/>
      <c r="H9" s="484"/>
      <c r="I9" s="484"/>
      <c r="J9" s="485"/>
      <c r="K9" s="481"/>
      <c r="L9" s="970">
        <v>7</v>
      </c>
      <c r="M9" s="594" t="s">
        <v>586</v>
      </c>
    </row>
    <row r="10" spans="2:13">
      <c r="B10" s="483"/>
      <c r="C10" s="484"/>
      <c r="D10" s="486"/>
      <c r="E10" s="484"/>
      <c r="F10" s="484"/>
      <c r="G10" s="484"/>
      <c r="H10" s="484"/>
      <c r="I10" s="484"/>
      <c r="J10" s="485"/>
      <c r="K10" s="481"/>
      <c r="L10" s="970">
        <v>8</v>
      </c>
      <c r="M10" s="594" t="s">
        <v>632</v>
      </c>
    </row>
    <row r="11" spans="2:13">
      <c r="B11" s="483">
        <v>4</v>
      </c>
      <c r="C11" s="484" t="s">
        <v>587</v>
      </c>
      <c r="D11" s="484"/>
      <c r="E11" s="484"/>
      <c r="F11" s="541"/>
      <c r="G11" s="488" t="s">
        <v>588</v>
      </c>
      <c r="H11" s="484" t="s">
        <v>589</v>
      </c>
      <c r="I11" s="484"/>
      <c r="J11" s="485"/>
      <c r="K11" s="481"/>
      <c r="L11" s="970">
        <v>9</v>
      </c>
      <c r="M11" s="594" t="s">
        <v>633</v>
      </c>
    </row>
    <row r="12" spans="2:13">
      <c r="B12" s="483"/>
      <c r="C12" s="484" t="s">
        <v>590</v>
      </c>
      <c r="D12" s="484"/>
      <c r="E12" s="488" t="s">
        <v>588</v>
      </c>
      <c r="F12" s="484" t="s">
        <v>591</v>
      </c>
      <c r="G12" s="484"/>
      <c r="H12" s="484"/>
      <c r="I12" s="484"/>
      <c r="J12" s="485"/>
      <c r="K12" s="481"/>
      <c r="L12" s="970">
        <v>10</v>
      </c>
      <c r="M12" s="594" t="s">
        <v>659</v>
      </c>
    </row>
    <row r="13" spans="2:13">
      <c r="B13" s="483"/>
      <c r="C13" s="484"/>
      <c r="D13" s="484"/>
      <c r="E13" s="484"/>
      <c r="F13" s="484"/>
      <c r="G13" s="484"/>
      <c r="H13" s="484"/>
      <c r="I13" s="484"/>
      <c r="J13" s="485"/>
      <c r="K13" s="481"/>
      <c r="L13" s="970">
        <v>11</v>
      </c>
      <c r="M13" s="594" t="s">
        <v>634</v>
      </c>
    </row>
    <row r="14" spans="2:13">
      <c r="B14" s="483">
        <v>5</v>
      </c>
      <c r="C14" s="487" t="s">
        <v>627</v>
      </c>
      <c r="D14" s="487" t="s">
        <v>628</v>
      </c>
      <c r="E14" s="484" t="s">
        <v>592</v>
      </c>
      <c r="F14" s="484"/>
      <c r="G14" s="484"/>
      <c r="H14" s="484"/>
      <c r="I14" s="484"/>
      <c r="J14" s="485"/>
      <c r="K14" s="481"/>
      <c r="L14" s="970">
        <v>12</v>
      </c>
      <c r="M14" s="594" t="s">
        <v>635</v>
      </c>
    </row>
    <row r="15" spans="2:13">
      <c r="B15" s="483"/>
      <c r="C15" s="484" t="s">
        <v>593</v>
      </c>
      <c r="D15" s="484"/>
      <c r="E15" s="484"/>
      <c r="F15" s="484"/>
      <c r="G15" s="484"/>
      <c r="H15" s="484"/>
      <c r="I15" s="484"/>
      <c r="J15" s="485"/>
      <c r="K15" s="481"/>
      <c r="L15" s="970">
        <v>13</v>
      </c>
      <c r="M15" s="594" t="s">
        <v>636</v>
      </c>
    </row>
    <row r="16" spans="2:13">
      <c r="B16" s="483"/>
      <c r="C16" s="486" t="s">
        <v>583</v>
      </c>
      <c r="D16" s="487" t="s">
        <v>588</v>
      </c>
      <c r="E16" s="484" t="s">
        <v>594</v>
      </c>
      <c r="F16" s="484"/>
      <c r="G16" s="484"/>
      <c r="H16" s="488" t="s">
        <v>595</v>
      </c>
      <c r="I16" s="484"/>
      <c r="J16" s="485"/>
      <c r="K16" s="481"/>
      <c r="L16" s="971">
        <v>14</v>
      </c>
      <c r="M16" s="596" t="s">
        <v>637</v>
      </c>
    </row>
    <row r="17" spans="2:13">
      <c r="B17" s="483"/>
      <c r="C17" s="484"/>
      <c r="D17" s="486"/>
      <c r="E17" s="484"/>
      <c r="F17" s="484"/>
      <c r="G17" s="484"/>
      <c r="H17" s="484"/>
      <c r="I17" s="484"/>
      <c r="J17" s="485"/>
      <c r="K17" s="489"/>
      <c r="L17" s="971">
        <v>15</v>
      </c>
      <c r="M17" s="596" t="s">
        <v>638</v>
      </c>
    </row>
    <row r="18" spans="2:13">
      <c r="B18" s="490"/>
      <c r="C18" s="491"/>
      <c r="D18" s="491"/>
      <c r="E18" s="491"/>
      <c r="F18" s="491"/>
      <c r="G18" s="491"/>
      <c r="H18" s="491"/>
      <c r="I18" s="491"/>
      <c r="J18" s="492"/>
      <c r="K18" s="489"/>
      <c r="L18" s="971">
        <v>16</v>
      </c>
      <c r="M18" s="596" t="s">
        <v>639</v>
      </c>
    </row>
    <row r="19" spans="2:13">
      <c r="B19" s="489"/>
      <c r="C19" s="489"/>
      <c r="D19" s="489"/>
      <c r="E19" s="489"/>
      <c r="F19" s="489"/>
      <c r="G19" s="489"/>
      <c r="H19" s="489"/>
      <c r="I19" s="489"/>
      <c r="J19" s="489"/>
      <c r="K19" s="489"/>
      <c r="L19" s="970">
        <v>17</v>
      </c>
      <c r="M19" s="594" t="s">
        <v>749</v>
      </c>
    </row>
    <row r="20" spans="2:13">
      <c r="K20" s="489"/>
      <c r="L20" s="970">
        <v>18</v>
      </c>
      <c r="M20" s="594" t="s">
        <v>758</v>
      </c>
    </row>
    <row r="21" spans="2:13" ht="17.25">
      <c r="C21" s="493" t="s">
        <v>596</v>
      </c>
      <c r="K21" s="489"/>
      <c r="L21" s="970">
        <v>19</v>
      </c>
      <c r="M21" s="594" t="s">
        <v>759</v>
      </c>
    </row>
    <row r="22" spans="2:13" ht="17.25">
      <c r="C22" s="1" t="s">
        <v>597</v>
      </c>
      <c r="D22" s="1111"/>
      <c r="E22" s="1115" t="s">
        <v>598</v>
      </c>
      <c r="F22" s="1116"/>
      <c r="G22" s="1111" t="s">
        <v>599</v>
      </c>
      <c r="H22" s="1111"/>
      <c r="I22" s="1117"/>
      <c r="L22" s="970">
        <v>20</v>
      </c>
      <c r="M22" s="594" t="s">
        <v>760</v>
      </c>
    </row>
    <row r="23" spans="2:13">
      <c r="C23" s="1120" t="s">
        <v>600</v>
      </c>
      <c r="D23" s="494" t="s">
        <v>601</v>
      </c>
      <c r="E23" s="622"/>
      <c r="F23" s="623"/>
      <c r="G23" s="1118" t="s">
        <v>602</v>
      </c>
      <c r="H23" s="1118"/>
      <c r="I23" s="1119"/>
      <c r="L23" s="970">
        <v>21</v>
      </c>
      <c r="M23" s="594" t="s">
        <v>626</v>
      </c>
    </row>
    <row r="24" spans="2:13">
      <c r="C24" s="1120"/>
      <c r="D24" s="495" t="s">
        <v>478</v>
      </c>
      <c r="E24" s="622"/>
      <c r="F24" s="623"/>
      <c r="G24" s="1118" t="s">
        <v>603</v>
      </c>
      <c r="H24" s="1118"/>
      <c r="I24" s="1119"/>
      <c r="L24" s="970">
        <v>22</v>
      </c>
      <c r="M24" s="594" t="s">
        <v>640</v>
      </c>
    </row>
    <row r="25" spans="2:13">
      <c r="C25" s="1120"/>
      <c r="D25" s="495" t="s">
        <v>479</v>
      </c>
      <c r="E25" s="622"/>
      <c r="F25" s="623"/>
      <c r="G25" s="1118" t="s">
        <v>605</v>
      </c>
      <c r="H25" s="1118"/>
      <c r="I25" s="1119"/>
      <c r="L25" s="970">
        <v>23</v>
      </c>
      <c r="M25" s="594" t="s">
        <v>641</v>
      </c>
    </row>
    <row r="26" spans="2:13">
      <c r="C26" s="1120"/>
      <c r="D26" s="495" t="s">
        <v>480</v>
      </c>
      <c r="E26" s="622"/>
      <c r="F26" s="623"/>
      <c r="G26" s="1118" t="s">
        <v>607</v>
      </c>
      <c r="H26" s="1118"/>
      <c r="I26" s="1119"/>
      <c r="L26" s="971">
        <v>24</v>
      </c>
      <c r="M26" s="596" t="s">
        <v>642</v>
      </c>
    </row>
    <row r="27" spans="2:13" ht="17.25">
      <c r="C27" s="1112"/>
      <c r="D27" s="1113"/>
      <c r="E27" s="1113"/>
      <c r="F27" s="1113"/>
      <c r="G27" s="1113"/>
      <c r="H27" s="1113"/>
      <c r="I27" s="1114"/>
      <c r="L27" s="971">
        <v>25</v>
      </c>
      <c r="M27" s="596" t="s">
        <v>643</v>
      </c>
    </row>
    <row r="28" spans="2:13">
      <c r="C28" s="1125" t="s">
        <v>610</v>
      </c>
      <c r="D28" s="496" t="s">
        <v>611</v>
      </c>
      <c r="E28" s="1129" t="s">
        <v>768</v>
      </c>
      <c r="F28" s="1130"/>
      <c r="G28" s="1127" t="s">
        <v>621</v>
      </c>
      <c r="H28" s="1127"/>
      <c r="I28" s="1128"/>
      <c r="J28" s="735" t="s">
        <v>766</v>
      </c>
      <c r="L28" s="971">
        <v>26</v>
      </c>
      <c r="M28" s="596" t="s">
        <v>644</v>
      </c>
    </row>
    <row r="29" spans="2:13">
      <c r="C29" s="1125"/>
      <c r="D29" s="496" t="s">
        <v>612</v>
      </c>
      <c r="E29" s="622" t="s">
        <v>1036</v>
      </c>
      <c r="F29" s="623"/>
      <c r="G29" s="1127" t="s">
        <v>622</v>
      </c>
      <c r="H29" s="1127"/>
      <c r="I29" s="1128"/>
      <c r="J29" s="735" t="s">
        <v>767</v>
      </c>
      <c r="L29" s="970">
        <v>27</v>
      </c>
      <c r="M29" s="594" t="s">
        <v>750</v>
      </c>
    </row>
    <row r="30" spans="2:13">
      <c r="C30" s="1125"/>
      <c r="D30" s="496" t="s">
        <v>613</v>
      </c>
      <c r="E30" s="622" t="s">
        <v>1037</v>
      </c>
      <c r="F30" s="623"/>
      <c r="G30" s="1127" t="s">
        <v>623</v>
      </c>
      <c r="H30" s="1127"/>
      <c r="I30" s="1128"/>
      <c r="J30" s="736"/>
      <c r="L30" s="971">
        <v>28</v>
      </c>
      <c r="M30" s="596" t="s">
        <v>645</v>
      </c>
    </row>
    <row r="31" spans="2:13">
      <c r="C31" s="1125"/>
      <c r="D31" s="496" t="s">
        <v>614</v>
      </c>
      <c r="E31" s="629">
        <v>43465</v>
      </c>
      <c r="F31" s="630"/>
      <c r="G31" s="1121" t="s">
        <v>615</v>
      </c>
      <c r="H31" s="1121"/>
      <c r="I31" s="1122"/>
      <c r="J31" s="737">
        <f>MONTH(E31)</f>
        <v>12</v>
      </c>
      <c r="L31" s="971">
        <v>29</v>
      </c>
      <c r="M31" s="596" t="s">
        <v>646</v>
      </c>
    </row>
    <row r="32" spans="2:13">
      <c r="C32" s="1125"/>
      <c r="D32" s="496" t="s">
        <v>616</v>
      </c>
      <c r="E32" s="629">
        <v>43830</v>
      </c>
      <c r="F32" s="630"/>
      <c r="G32" s="1121" t="s">
        <v>617</v>
      </c>
      <c r="H32" s="1121"/>
      <c r="I32" s="1122"/>
      <c r="J32" s="737">
        <f>MONTH(E32)</f>
        <v>12</v>
      </c>
      <c r="L32" s="971">
        <v>30</v>
      </c>
      <c r="M32" s="596" t="s">
        <v>647</v>
      </c>
    </row>
    <row r="33" spans="3:13">
      <c r="C33" s="1126"/>
      <c r="D33" s="469" t="s">
        <v>618</v>
      </c>
      <c r="E33" s="1123" t="s">
        <v>619</v>
      </c>
      <c r="F33" s="1123"/>
      <c r="G33" s="1123" t="s">
        <v>619</v>
      </c>
      <c r="H33" s="1123"/>
      <c r="I33" s="1124"/>
      <c r="L33" s="971">
        <v>31</v>
      </c>
      <c r="M33" s="596" t="s">
        <v>604</v>
      </c>
    </row>
    <row r="34" spans="3:13">
      <c r="C34" s="497" t="s">
        <v>620</v>
      </c>
      <c r="D34" s="498" t="s">
        <v>355</v>
      </c>
      <c r="L34" s="971">
        <v>32</v>
      </c>
      <c r="M34" s="596" t="s">
        <v>606</v>
      </c>
    </row>
    <row r="35" spans="3:13">
      <c r="L35" s="971">
        <v>33</v>
      </c>
      <c r="M35" s="596" t="s">
        <v>608</v>
      </c>
    </row>
    <row r="36" spans="3:13">
      <c r="L36" s="971">
        <v>34</v>
      </c>
      <c r="M36" s="596" t="s">
        <v>609</v>
      </c>
    </row>
    <row r="37" spans="3:13">
      <c r="L37" s="970">
        <v>35</v>
      </c>
      <c r="M37" s="594" t="s">
        <v>471</v>
      </c>
    </row>
    <row r="38" spans="3:13">
      <c r="L38" s="970">
        <v>36</v>
      </c>
      <c r="M38" s="734" t="s">
        <v>673</v>
      </c>
    </row>
    <row r="39" spans="3:13">
      <c r="L39" s="971">
        <v>37</v>
      </c>
      <c r="M39" s="596" t="s">
        <v>751</v>
      </c>
    </row>
    <row r="40" spans="3:13">
      <c r="L40" s="971">
        <v>38</v>
      </c>
      <c r="M40" s="596" t="s">
        <v>752</v>
      </c>
    </row>
    <row r="41" spans="3:13">
      <c r="L41" s="971">
        <v>39</v>
      </c>
      <c r="M41" s="596" t="s">
        <v>753</v>
      </c>
    </row>
    <row r="42" spans="3:13">
      <c r="L42" s="971">
        <v>40</v>
      </c>
      <c r="M42" s="596" t="s">
        <v>754</v>
      </c>
    </row>
    <row r="43" spans="3:13">
      <c r="L43" s="972">
        <v>41</v>
      </c>
      <c r="M43" s="595" t="s">
        <v>755</v>
      </c>
    </row>
  </sheetData>
  <sheetProtection formatCells="0" insertRows="0" autoFilter="0" pivotTables="0"/>
  <mergeCells count="18">
    <mergeCell ref="G31:I31"/>
    <mergeCell ref="G32:I32"/>
    <mergeCell ref="G33:I33"/>
    <mergeCell ref="C28:C33"/>
    <mergeCell ref="E33:F33"/>
    <mergeCell ref="G28:I28"/>
    <mergeCell ref="G29:I29"/>
    <mergeCell ref="G30:I30"/>
    <mergeCell ref="E28:F28"/>
    <mergeCell ref="C22:D22"/>
    <mergeCell ref="C27:I27"/>
    <mergeCell ref="E22:F22"/>
    <mergeCell ref="G22:I22"/>
    <mergeCell ref="G23:I23"/>
    <mergeCell ref="G24:I24"/>
    <mergeCell ref="G25:I25"/>
    <mergeCell ref="G26:I26"/>
    <mergeCell ref="C23:C26"/>
  </mergeCells>
  <phoneticPr fontId="3" type="noConversion"/>
  <dataValidations count="1">
    <dataValidation type="list" allowBlank="1" showInputMessage="1" showErrorMessage="1" prompt="报表类型不同，资产负债表的相应项目随之改变。" sqref="E28:F28">
      <formula1>$J$28:$J$29</formula1>
    </dataValidation>
  </dataValidations>
  <hyperlinks>
    <hyperlink ref="D9" location="说明!C21" display="“基本参数”"/>
    <hyperlink ref="G11" location="报表格式!A1" display="“报表格式”"/>
    <hyperlink ref="E12" location="说明!A1" display="“报表格式”"/>
    <hyperlink ref="D16" location="报表格式!Print_Titles" display="“报表格式”"/>
    <hyperlink ref="H16" location="报表格式!AA:AA" display="“报表格式AA列”"/>
    <hyperlink ref="C14" location="权益抵销!E5" display="“权益抵销”"/>
    <hyperlink ref="D14" location="往来交易抵销!E5" display="“往来交易抵销”"/>
    <hyperlink ref="M3" location="'说明'!A1" display="'说明'!A1"/>
    <hyperlink ref="M4" location="'TEST'!A1" display="'TEST'!A1"/>
    <hyperlink ref="M5" location="'报表格式'!A1" display="'报表格式'!A1"/>
    <hyperlink ref="M6" location="'年初BS审定'!A1" display="'年初BS审定'!A1"/>
    <hyperlink ref="M7" location="'上年PL审定'!A1" display="'上年PL审定'!A1"/>
    <hyperlink ref="M8" location="'期初核对BS'!A1" display="'期初核对BS'!A1"/>
    <hyperlink ref="M9" location="'期初核对PL'!A1" display="'期初核对PL'!A1"/>
    <hyperlink ref="M10" location="'母公司BS原报汇总'!A1" display="'母公司BS原报汇总'!A1"/>
    <hyperlink ref="M11" location="'母公司PL原报汇总'!A1" display="'母公司PL原报汇总'!A1"/>
    <hyperlink ref="M12" location="'母公司CF原报汇总'!A1" display="'母公司CF原报汇总'!A1"/>
    <hyperlink ref="M13" location="'母公司汇总抵销'!A1" display="'母公司汇总抵销'!A1"/>
    <hyperlink ref="M14" location="'母公司账项调整'!A1" display="'母公司账项调整'!A1"/>
    <hyperlink ref="M15" location="'母公司报表调整'!A1" display="'母公司报表调整'!A1"/>
    <hyperlink ref="M16" location="'母公司TB资产'!A1" display="'母公司TB资产'!A1"/>
    <hyperlink ref="M17" location="'母公司TB负债'!A1" display="'母公司TB负债'!A1"/>
    <hyperlink ref="M18" location="'母公司TB损益'!A1" display="'母公司TB损益'!A1"/>
    <hyperlink ref="M19" location="'TB母公司CF'!A1" display="'TB母公司CF'!A1"/>
    <hyperlink ref="M20" location="合并BS汇总!D7" display="合并BS汇总"/>
    <hyperlink ref="M21" location="合并PL汇总!D6" display="合并PL汇总"/>
    <hyperlink ref="M22" location="合并CF汇总!D7" display="合并CF汇总"/>
    <hyperlink ref="M23" location="'权益抵销'!A1" display="'权益抵销'!A1"/>
    <hyperlink ref="M24" location="'往来交易抵销'!A1" display="'往来交易抵销'!A1"/>
    <hyperlink ref="M25" location="'合并报表调整 '!A1" display="'合并报表调整 '!A1"/>
    <hyperlink ref="M26" location="'合并TB资产'!A1" display="'合并TB资产'!A1"/>
    <hyperlink ref="M27" location="'合并TB负债'!A1" display="'合并TB负债'!A1"/>
    <hyperlink ref="M28" location="'合并TB损益'!A1" display="'合并TB损益'!A1"/>
    <hyperlink ref="M29" location="'TB合并CF'!A1" display="'TB合并CF'!A1"/>
    <hyperlink ref="M30" location="'审定合并BS'!A1" display="'审定合并BS'!A1"/>
    <hyperlink ref="M31" location="'审定合并PL'!A1" display="'审定合并PL'!A1"/>
    <hyperlink ref="M32" location="'审定合并CF'!A1" display="'审定合并CF'!A1"/>
    <hyperlink ref="M33" location="'已审横向BS'!A1" display="'已审横向BS'!A1"/>
    <hyperlink ref="M34" location="'已审横向PL'!A1" display="'已审横向PL'!A1"/>
    <hyperlink ref="M35" location="'已审纵向BS'!A1" display="'已审纵向BS'!A1"/>
    <hyperlink ref="M36" location="'已审纵向PL'!A1" display="'已审纵向PL'!A1"/>
    <hyperlink ref="M37" location="'已审比率分析'!A1" display="'已审比率分析'!A1"/>
    <hyperlink ref="M38" location="'EPS-ROE(新)'!Print_Area" display="EPS-ROE计算"/>
    <hyperlink ref="M39" location="'母已审横向BS'!A1" display="'母已审横向BS'!A1"/>
    <hyperlink ref="M40" location="'母已审横向PL'!A1" display="'母已审横向PL'!A1"/>
    <hyperlink ref="M41" location="'母已审纵向BS'!A1" display="'母已审纵向BS'!A1"/>
    <hyperlink ref="M42" location="'母已审纵向PL'!A1" display="'母已审纵向PL'!A1"/>
    <hyperlink ref="M43" location="'母已审比率分析'!A1" display="'母已审比率分析'!A1"/>
  </hyperlinks>
  <printOptions horizontalCentered="1"/>
  <pageMargins left="0.74803149606299202" right="0.48" top="0.98425196850393704" bottom="0.98425196850393704" header="0.511811023622047" footer="0.511811023622047"/>
  <pageSetup paperSize="9" scale="68" orientation="portrait" cellComments="asDisplayed" r:id="rId1"/>
  <headerFooter alignWithMargins="0">
    <oddHeader>&amp;C&amp;F/&amp;A&amp;R
&amp;T  &amp;D</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39"/>
    <pageSetUpPr autoPageBreaks="0"/>
  </sheetPr>
  <dimension ref="A1:H22"/>
  <sheetViews>
    <sheetView workbookViewId="0">
      <selection activeCell="K18" sqref="K18"/>
    </sheetView>
  </sheetViews>
  <sheetFormatPr defaultColWidth="9" defaultRowHeight="14.25"/>
  <cols>
    <col min="1" max="1" width="1.25" style="14" customWidth="1"/>
    <col min="2" max="2" width="3.75" style="915" customWidth="1"/>
    <col min="3" max="3" width="34.625" style="14" bestFit="1" customWidth="1"/>
    <col min="4" max="4" width="31.875" style="14" bestFit="1" customWidth="1"/>
    <col min="5" max="5" width="34.125" style="15" customWidth="1"/>
    <col min="6" max="6" width="1.125" style="2" customWidth="1"/>
    <col min="7" max="7" width="2.125" style="2" hidden="1" customWidth="1"/>
    <col min="8" max="8" width="39" style="2" hidden="1" customWidth="1"/>
    <col min="9" max="9" width="4.75" style="2" customWidth="1"/>
    <col min="10" max="10" width="5.75" style="2" customWidth="1"/>
    <col min="11" max="11" width="8.75" style="2" customWidth="1"/>
    <col min="12" max="16384" width="9" style="2"/>
  </cols>
  <sheetData>
    <row r="1" spans="1:6" ht="6.75" customHeight="1"/>
    <row r="2" spans="1:6" ht="7.5" customHeight="1">
      <c r="A2" s="499"/>
      <c r="B2" s="916"/>
      <c r="C2" s="499"/>
      <c r="D2" s="499"/>
      <c r="E2" s="500"/>
      <c r="F2" s="501"/>
    </row>
    <row r="3" spans="1:6" ht="18" customHeight="1">
      <c r="A3" s="499"/>
      <c r="B3" s="1131" t="s">
        <v>257</v>
      </c>
      <c r="C3" s="1132"/>
      <c r="D3" s="1132"/>
      <c r="E3" s="1133"/>
      <c r="F3" s="501"/>
    </row>
    <row r="4" spans="1:6" ht="15">
      <c r="A4" s="499"/>
      <c r="B4" s="917" t="s">
        <v>258</v>
      </c>
      <c r="C4" s="474" t="s">
        <v>259</v>
      </c>
      <c r="D4" s="474" t="s">
        <v>260</v>
      </c>
      <c r="E4" s="475" t="s">
        <v>261</v>
      </c>
      <c r="F4" s="501"/>
    </row>
    <row r="5" spans="1:6" ht="15">
      <c r="A5" s="499"/>
      <c r="B5" s="918">
        <v>1</v>
      </c>
      <c r="C5" s="471" t="s">
        <v>472</v>
      </c>
      <c r="D5" s="472" t="b">
        <f>IF(ABS(审定合并BS!C59-审定合并BS!C122)&lt;0.01,TRUE,FALSE)</f>
        <v>1</v>
      </c>
      <c r="E5" s="473" t="str">
        <f>IF(D5=TRUE,"","期末资产负债表不平")</f>
        <v/>
      </c>
      <c r="F5" s="501"/>
    </row>
    <row r="6" spans="1:6" ht="15">
      <c r="A6" s="499"/>
      <c r="B6" s="919">
        <v>2</v>
      </c>
      <c r="C6" s="67" t="s">
        <v>473</v>
      </c>
      <c r="D6" s="75" t="b">
        <f>IF(ABS(审定合并BS!E59-审定合并BS!E122)&lt;0.01,TRUE,FALSE)</f>
        <v>1</v>
      </c>
      <c r="E6" s="66" t="str">
        <f>IF(D6=TRUE,"","期初资产负债表不平")</f>
        <v/>
      </c>
      <c r="F6" s="501"/>
    </row>
    <row r="7" spans="1:6" ht="15">
      <c r="A7" s="499"/>
      <c r="B7" s="919">
        <v>3</v>
      </c>
      <c r="C7" s="319" t="s">
        <v>474</v>
      </c>
      <c r="D7" s="75" t="b">
        <f>IF(ABS(审定合并BS!C118-审定合并PL!C89)&lt;0.01,TRUE,FALSE)</f>
        <v>1</v>
      </c>
      <c r="E7" s="66" t="str">
        <f>IF(D7=TRUE,"","期末利润分配表与资产负债表未分配利润勾稽不对")</f>
        <v/>
      </c>
      <c r="F7" s="501"/>
    </row>
    <row r="8" spans="1:6" ht="15">
      <c r="A8" s="499"/>
      <c r="B8" s="919">
        <v>4</v>
      </c>
      <c r="C8" s="319" t="s">
        <v>475</v>
      </c>
      <c r="D8" s="75" t="b">
        <f>IF(ABS(审定合并BS!E116-审定合并PL!E71)&lt;0.01,TRUE,FALSE)</f>
        <v>1</v>
      </c>
      <c r="E8" s="66" t="str">
        <f>IF(D8=TRUE,"","期初利润分配表与资产负债表未分配利润勾稽不对")</f>
        <v/>
      </c>
      <c r="F8" s="501"/>
    </row>
    <row r="9" spans="1:6" ht="15">
      <c r="A9" s="499"/>
      <c r="B9" s="919">
        <v>5</v>
      </c>
      <c r="C9" s="70" t="s">
        <v>476</v>
      </c>
      <c r="D9" s="75" t="b">
        <f>IF(ABS(审定合并PL!C79-审定合并PL!E89)&lt;0.01,TRUE,FALSE)</f>
        <v>1</v>
      </c>
      <c r="E9" s="66" t="str">
        <f>IF(D9=TRUE,"","利润及利润分配表年初未分配利润与上期勾稽不对")</f>
        <v/>
      </c>
      <c r="F9" s="501"/>
    </row>
    <row r="10" spans="1:6" ht="15">
      <c r="A10" s="499"/>
      <c r="B10" s="919">
        <v>6</v>
      </c>
      <c r="C10" s="522" t="s">
        <v>660</v>
      </c>
      <c r="D10" s="524" t="b">
        <f>IF(ABS(审定合并BS!C7-审定合并CF!C64)&lt;0.01,TRUE,FALSE)</f>
        <v>1</v>
      </c>
      <c r="E10" s="66" t="str">
        <f>IF(D10=TRUE,"","现金流量表与资产负债表期末货币资金勾稽不对")</f>
        <v/>
      </c>
      <c r="F10" s="501"/>
    </row>
    <row r="11" spans="1:6" ht="15">
      <c r="A11" s="499"/>
      <c r="B11" s="919">
        <v>7</v>
      </c>
      <c r="C11" s="522" t="s">
        <v>661</v>
      </c>
      <c r="D11" s="524" t="b">
        <f>IF(ABS(审定合并BS!E7-审定合并CF!C63)&lt;0.01,TRUE,FALSE)</f>
        <v>1</v>
      </c>
      <c r="E11" s="66" t="str">
        <f>IF(D11=TRUE,"","现金流量表与资产负债表期初货币资金勾稽不对")</f>
        <v/>
      </c>
      <c r="F11" s="501"/>
    </row>
    <row r="12" spans="1:6" ht="15">
      <c r="A12" s="499"/>
      <c r="B12" s="919">
        <v>8</v>
      </c>
      <c r="C12" s="523" t="s">
        <v>662</v>
      </c>
      <c r="D12" s="524" t="b">
        <f>IF(ABS(审定合并CF!C31-审定合并CF!C91)&lt;0.01,TRUE,FALSE)</f>
        <v>1</v>
      </c>
      <c r="E12" s="66" t="str">
        <f>IF(D12=TRUE,"","现金流量表主表与附表勾稽不对-经营活动现金净增加额")</f>
        <v/>
      </c>
      <c r="F12" s="501"/>
    </row>
    <row r="13" spans="1:6" ht="15">
      <c r="A13" s="499"/>
      <c r="B13" s="919">
        <v>9</v>
      </c>
      <c r="C13" s="523" t="s">
        <v>663</v>
      </c>
      <c r="D13" s="524" t="b">
        <f>IF(ABS(审定合并CF!C103-审定合并CF!C62)&lt;0.01,TRUE,FALSE)</f>
        <v>1</v>
      </c>
      <c r="E13" s="66" t="str">
        <f>IF(D13=TRUE,"","现金流量表主表与附表勾稽不对-现金净增加额")</f>
        <v/>
      </c>
      <c r="F13" s="501"/>
    </row>
    <row r="14" spans="1:6" ht="15">
      <c r="A14" s="499"/>
      <c r="B14" s="919">
        <v>10</v>
      </c>
      <c r="C14" s="522" t="s">
        <v>664</v>
      </c>
      <c r="D14" s="524" t="b">
        <f>IF(ABS(审定合并CF!C75-审定合并PL!C44)&lt;0.01,TRUE,FALSE)</f>
        <v>1</v>
      </c>
      <c r="E14" s="66" t="str">
        <f>IF(D14=TRUE,"","现金流量表与利润表勾稽不对-净利润")</f>
        <v/>
      </c>
      <c r="F14" s="501"/>
    </row>
    <row r="15" spans="1:6" ht="15">
      <c r="A15" s="499"/>
      <c r="B15" s="919">
        <v>11</v>
      </c>
      <c r="C15" s="522" t="s">
        <v>665</v>
      </c>
      <c r="D15" s="524" t="b">
        <f>IF(ABS(审定合并CF!C87-(审定合并BS!E24-审定合并BS!C24))&lt;0.01,TRUE,FALSE)</f>
        <v>1</v>
      </c>
      <c r="E15" s="66" t="str">
        <f>IF(D15=TRUE,"","现金流量表存货与资产负债表勾稽不对")</f>
        <v/>
      </c>
      <c r="F15" s="501"/>
    </row>
    <row r="16" spans="1:6" ht="15">
      <c r="A16" s="499"/>
      <c r="B16" s="919">
        <v>12</v>
      </c>
      <c r="C16" s="522" t="s">
        <v>666</v>
      </c>
      <c r="D16" s="524" t="b">
        <f>IF(ABS(审定合并CF!C84+审定合并PL!C33)&lt;0.01,TRUE,FALSE)</f>
        <v>1</v>
      </c>
      <c r="E16" s="66" t="str">
        <f>IF(D16=TRUE,"","利润分配表与现金流量表投资收益勾稽不对")</f>
        <v/>
      </c>
      <c r="F16" s="501"/>
    </row>
    <row r="17" spans="1:6" ht="15">
      <c r="A17" s="499"/>
      <c r="B17" s="919">
        <v>13</v>
      </c>
      <c r="C17" s="67" t="s">
        <v>477</v>
      </c>
      <c r="D17" s="75" t="b">
        <f>IF(ABS(审定合并PL!C53-审定合并PL!H45*0.1)&lt;0.01,TRUE,FALSE)</f>
        <v>1</v>
      </c>
      <c r="E17" s="66" t="str">
        <f>IF(D17=TRUE,"","按照公司政策，公司提取的法定盈余公积不符")</f>
        <v/>
      </c>
      <c r="F17" s="501"/>
    </row>
    <row r="18" spans="1:6" ht="15">
      <c r="A18" s="499"/>
      <c r="B18" s="919">
        <v>14</v>
      </c>
      <c r="C18" s="319"/>
      <c r="D18" s="75"/>
      <c r="E18" s="66"/>
      <c r="F18" s="501"/>
    </row>
    <row r="19" spans="1:6" ht="15">
      <c r="A19" s="499"/>
      <c r="B19" s="919">
        <v>15</v>
      </c>
      <c r="C19" s="319"/>
      <c r="D19" s="75"/>
      <c r="E19" s="66"/>
      <c r="F19" s="501"/>
    </row>
    <row r="20" spans="1:6" ht="15">
      <c r="A20" s="499"/>
      <c r="B20" s="919">
        <v>16</v>
      </c>
      <c r="C20" s="67"/>
      <c r="D20" s="75"/>
      <c r="E20" s="66"/>
      <c r="F20" s="501"/>
    </row>
    <row r="21" spans="1:6" ht="15">
      <c r="A21" s="499"/>
      <c r="B21" s="920">
        <v>17</v>
      </c>
      <c r="C21" s="68"/>
      <c r="D21" s="76"/>
      <c r="E21" s="69"/>
      <c r="F21" s="501"/>
    </row>
    <row r="22" spans="1:6" ht="7.5" customHeight="1">
      <c r="A22" s="499"/>
      <c r="B22" s="916"/>
      <c r="C22" s="499"/>
      <c r="D22" s="499"/>
      <c r="E22" s="500"/>
      <c r="F22" s="501"/>
    </row>
  </sheetData>
  <customSheetViews>
    <customSheetView guid="{9A8CA204-20A8-11D5-8CC7-F77182B33125}" showPageBreaks="1" printArea="1" hiddenColumns="1" view="pageBreakPreview" showRuler="0">
      <selection activeCell="D8" sqref="D8"/>
      <pageMargins left="0.74803149606299213" right="0.74803149606299213" top="1.99" bottom="0.98425196850393704" header="0.51181102362204722" footer="0.51181102362204722"/>
      <printOptions horizontalCentered="1"/>
      <pageSetup paperSize="9" orientation="landscape" r:id="rId1"/>
      <headerFooter alignWithMargins="0"/>
    </customSheetView>
  </customSheetViews>
  <mergeCells count="1">
    <mergeCell ref="B3:E3"/>
  </mergeCells>
  <phoneticPr fontId="3" type="noConversion"/>
  <conditionalFormatting sqref="D5:D21">
    <cfRule type="cellIs" dxfId="60" priority="1" stopIfTrue="1" operator="equal">
      <formula>FALSE</formula>
    </cfRule>
  </conditionalFormatting>
  <printOptions horizontalCentered="1"/>
  <pageMargins left="0.74803149606299213" right="0.74803149606299213" top="2.0078740157480315" bottom="0.98425196850393704" header="0.51181102362204722" footer="0.51181102362204722"/>
  <pageSetup paperSize="9" orientation="landscape" blackAndWhite="1" r:id="rId2"/>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indexed="39"/>
  </sheetPr>
  <dimension ref="A1:AB210"/>
  <sheetViews>
    <sheetView view="pageBreakPreview" zoomScale="80" zoomScaleNormal="100" zoomScaleSheetLayoutView="80" workbookViewId="0">
      <selection activeCell="B4" sqref="B4"/>
    </sheetView>
  </sheetViews>
  <sheetFormatPr defaultColWidth="9" defaultRowHeight="15.75"/>
  <cols>
    <col min="1" max="1" width="0.75" style="558" customWidth="1"/>
    <col min="2" max="2" width="28.625" style="558" customWidth="1"/>
    <col min="3" max="3" width="3.75" style="1053" customWidth="1"/>
    <col min="4" max="5" width="18.625" style="368" hidden="1" customWidth="1"/>
    <col min="6" max="6" width="0.625" style="368" customWidth="1"/>
    <col min="7" max="7" width="32.125" style="368" customWidth="1"/>
    <col min="8" max="8" width="6.875" style="1050" customWidth="1"/>
    <col min="9" max="9" width="2.5" style="368" hidden="1" customWidth="1"/>
    <col min="10" max="10" width="6.125" style="368" hidden="1" customWidth="1"/>
    <col min="11" max="11" width="0.625" style="368" customWidth="1"/>
    <col min="12" max="12" width="43.25" style="369" customWidth="1"/>
    <col min="13" max="13" width="3.125" style="1052" customWidth="1"/>
    <col min="14" max="15" width="20.625" style="558" hidden="1" customWidth="1"/>
    <col min="16" max="16" width="0.625" style="368" customWidth="1"/>
    <col min="17" max="17" width="36.5" style="368" customWidth="1"/>
    <col min="18" max="18" width="3" style="1054" customWidth="1"/>
    <col min="19" max="19" width="29.5" style="368" hidden="1" customWidth="1"/>
    <col min="20" max="20" width="0.625" style="368" customWidth="1"/>
    <col min="21" max="21" width="44.125" style="558" bestFit="1" customWidth="1"/>
    <col min="22" max="22" width="3" style="1050" bestFit="1" customWidth="1"/>
    <col min="23" max="23" width="31" style="368" hidden="1" customWidth="1"/>
    <col min="24" max="25" width="5" style="558" customWidth="1"/>
    <col min="26" max="26" width="6.75" style="819" bestFit="1" customWidth="1"/>
    <col min="27" max="27" width="38.125" style="899" customWidth="1"/>
    <col min="28" max="16384" width="9" style="558"/>
  </cols>
  <sheetData>
    <row r="1" spans="1:28" s="375" customFormat="1" ht="18.75">
      <c r="A1" s="1136" t="s">
        <v>769</v>
      </c>
      <c r="B1" s="1136"/>
      <c r="C1" s="1136"/>
      <c r="D1" s="1136"/>
      <c r="E1" s="1136"/>
      <c r="F1" s="1136"/>
      <c r="G1" s="1136"/>
      <c r="H1" s="1136"/>
      <c r="I1" s="1136"/>
      <c r="J1" s="1136"/>
      <c r="K1" s="1136"/>
      <c r="L1" s="1136"/>
      <c r="M1" s="1136"/>
      <c r="N1" s="1136"/>
      <c r="O1" s="372"/>
      <c r="P1" s="374"/>
      <c r="Q1" s="1136" t="s">
        <v>769</v>
      </c>
      <c r="R1" s="1136"/>
      <c r="S1" s="1136"/>
      <c r="T1" s="1136"/>
      <c r="U1" s="1136"/>
      <c r="V1" s="1136"/>
      <c r="W1" s="1136"/>
      <c r="Z1" s="376" t="s">
        <v>770</v>
      </c>
      <c r="AA1" s="889" t="s">
        <v>771</v>
      </c>
    </row>
    <row r="2" spans="1:28" s="333" customFormat="1" ht="15" customHeight="1">
      <c r="A2" s="334"/>
      <c r="B2" s="335" t="s">
        <v>772</v>
      </c>
      <c r="C2" s="1047"/>
      <c r="D2" s="336"/>
      <c r="E2" s="336"/>
      <c r="F2" s="336"/>
      <c r="G2" s="336"/>
      <c r="H2" s="1047"/>
      <c r="I2" s="336"/>
      <c r="J2" s="336"/>
      <c r="K2" s="336"/>
      <c r="L2" s="336"/>
      <c r="M2" s="1047"/>
      <c r="N2" s="336"/>
      <c r="O2" s="336"/>
      <c r="P2" s="337"/>
      <c r="Q2" s="336"/>
      <c r="R2" s="1047"/>
      <c r="S2" s="336"/>
      <c r="T2" s="336"/>
      <c r="U2" s="336"/>
      <c r="V2" s="1047"/>
      <c r="W2" s="336"/>
      <c r="Z2" s="330"/>
      <c r="AA2" s="890"/>
    </row>
    <row r="3" spans="1:28" s="561" customFormat="1" ht="16.5">
      <c r="A3" s="1135"/>
      <c r="B3" s="1137" t="s">
        <v>773</v>
      </c>
      <c r="C3" s="1137"/>
      <c r="D3" s="1137"/>
      <c r="E3" s="1137"/>
      <c r="F3" s="1135"/>
      <c r="G3" s="1137" t="s">
        <v>774</v>
      </c>
      <c r="H3" s="1137"/>
      <c r="I3" s="1137"/>
      <c r="J3" s="1137"/>
      <c r="K3" s="1134"/>
      <c r="L3" s="1137" t="s">
        <v>775</v>
      </c>
      <c r="M3" s="1137"/>
      <c r="N3" s="1137"/>
      <c r="O3" s="1137"/>
      <c r="P3" s="1134"/>
      <c r="Q3" s="1139" t="s">
        <v>776</v>
      </c>
      <c r="R3" s="1140"/>
      <c r="S3" s="1141"/>
      <c r="T3" s="1142"/>
      <c r="U3" s="1137" t="s">
        <v>776</v>
      </c>
      <c r="V3" s="1137"/>
      <c r="W3" s="1137"/>
      <c r="X3" s="560"/>
      <c r="Y3" s="560"/>
      <c r="Z3" s="373"/>
      <c r="AA3" s="891"/>
      <c r="AB3" s="560"/>
    </row>
    <row r="4" spans="1:28" s="563" customFormat="1" ht="16.5">
      <c r="A4" s="1135"/>
      <c r="B4" s="873" t="s">
        <v>777</v>
      </c>
      <c r="C4" s="1048" t="s">
        <v>778</v>
      </c>
      <c r="D4" s="624" t="s">
        <v>779</v>
      </c>
      <c r="E4" s="624" t="s">
        <v>780</v>
      </c>
      <c r="F4" s="1135"/>
      <c r="G4" s="873" t="s">
        <v>777</v>
      </c>
      <c r="H4" s="1048" t="s">
        <v>778</v>
      </c>
      <c r="I4" s="624" t="s">
        <v>779</v>
      </c>
      <c r="J4" s="624" t="s">
        <v>780</v>
      </c>
      <c r="K4" s="1134"/>
      <c r="L4" s="873" t="s">
        <v>777</v>
      </c>
      <c r="M4" s="1048" t="s">
        <v>778</v>
      </c>
      <c r="N4" s="624" t="s">
        <v>781</v>
      </c>
      <c r="O4" s="624" t="s">
        <v>782</v>
      </c>
      <c r="P4" s="1134"/>
      <c r="Q4" s="873" t="s">
        <v>777</v>
      </c>
      <c r="R4" s="1048" t="s">
        <v>778</v>
      </c>
      <c r="S4" s="624" t="s">
        <v>783</v>
      </c>
      <c r="T4" s="1143"/>
      <c r="U4" s="1138" t="s">
        <v>784</v>
      </c>
      <c r="V4" s="1138" t="s">
        <v>778</v>
      </c>
      <c r="W4" s="1138" t="s">
        <v>783</v>
      </c>
      <c r="X4" s="562"/>
      <c r="Y4" s="562"/>
      <c r="Z4" s="373"/>
      <c r="AA4" s="892"/>
      <c r="AB4" s="562"/>
    </row>
    <row r="5" spans="1:28" s="343" customFormat="1" ht="15.75" customHeight="1">
      <c r="A5" s="1135"/>
      <c r="B5" s="338" t="s">
        <v>317</v>
      </c>
      <c r="C5" s="1051">
        <v>1</v>
      </c>
      <c r="D5" s="314"/>
      <c r="E5" s="314"/>
      <c r="F5" s="1135"/>
      <c r="G5" s="339" t="s">
        <v>312</v>
      </c>
      <c r="H5" s="1049">
        <f>C58+1</f>
        <v>55</v>
      </c>
      <c r="I5" s="307"/>
      <c r="J5" s="307"/>
      <c r="K5" s="1134"/>
      <c r="L5" s="307" t="s">
        <v>785</v>
      </c>
      <c r="M5" s="1051">
        <v>1</v>
      </c>
      <c r="N5" s="340" t="s">
        <v>786</v>
      </c>
      <c r="O5" s="341" t="str">
        <f t="shared" ref="O5:O68" si="0">IF(N5="",0,CONCATENATE("上年",N5))</f>
        <v>上年主营业务收入</v>
      </c>
      <c r="P5" s="1134"/>
      <c r="Q5" s="307" t="s">
        <v>787</v>
      </c>
      <c r="R5" s="1051">
        <v>1</v>
      </c>
      <c r="S5" s="307"/>
      <c r="T5" s="1143"/>
      <c r="U5" s="318" t="s">
        <v>973</v>
      </c>
      <c r="V5" s="1049">
        <f>R70+1</f>
        <v>1</v>
      </c>
      <c r="W5" s="318"/>
      <c r="X5" s="342"/>
      <c r="Y5" s="342"/>
      <c r="Z5" s="330"/>
      <c r="AA5" s="893" t="s">
        <v>264</v>
      </c>
      <c r="AB5" s="342"/>
    </row>
    <row r="6" spans="1:28" s="343" customFormat="1" ht="15.75" customHeight="1">
      <c r="A6" s="1135"/>
      <c r="B6" s="314" t="s">
        <v>788</v>
      </c>
      <c r="C6" s="1051">
        <v>2</v>
      </c>
      <c r="D6" s="344" t="s">
        <v>788</v>
      </c>
      <c r="E6" s="314" t="str">
        <f t="shared" ref="E6:E61" si="1">IF(D6="",0,CONCATENATE("年初",D6))</f>
        <v>年初货币资金</v>
      </c>
      <c r="F6" s="1135"/>
      <c r="G6" s="317" t="s">
        <v>789</v>
      </c>
      <c r="H6" s="1049">
        <f>H5+1</f>
        <v>56</v>
      </c>
      <c r="I6" s="346" t="s">
        <v>789</v>
      </c>
      <c r="J6" s="314" t="str">
        <f t="shared" ref="J6:J62" si="2">IF(I6="",0,CONCATENATE("年初",I6))</f>
        <v>年初短期借款</v>
      </c>
      <c r="K6" s="1134"/>
      <c r="L6" s="553" t="s">
        <v>790</v>
      </c>
      <c r="M6" s="1051">
        <v>2</v>
      </c>
      <c r="N6" s="340"/>
      <c r="O6" s="341"/>
      <c r="P6" s="1134"/>
      <c r="Q6" s="347" t="s">
        <v>1167</v>
      </c>
      <c r="R6" s="1051">
        <v>2</v>
      </c>
      <c r="S6" s="348" t="s">
        <v>791</v>
      </c>
      <c r="T6" s="1143"/>
      <c r="U6" s="349" t="s">
        <v>792</v>
      </c>
      <c r="V6" s="1049">
        <f>V5+1</f>
        <v>2</v>
      </c>
      <c r="W6" s="346" t="s">
        <v>793</v>
      </c>
      <c r="X6" s="342"/>
      <c r="Y6" s="342"/>
      <c r="Z6" s="331" t="s">
        <v>794</v>
      </c>
      <c r="AA6" s="894" t="str">
        <f>B6</f>
        <v>货币资金</v>
      </c>
      <c r="AB6" s="342"/>
    </row>
    <row r="7" spans="1:28" s="343" customFormat="1" ht="15.75" customHeight="1">
      <c r="A7" s="1135"/>
      <c r="B7" s="973" t="s">
        <v>1123</v>
      </c>
      <c r="C7" s="1051">
        <v>3</v>
      </c>
      <c r="D7" s="344" t="s">
        <v>795</v>
      </c>
      <c r="E7" s="314" t="str">
        <f>IF(D7="",0,CONCATENATE("年初",D7))</f>
        <v>年初短期投资</v>
      </c>
      <c r="F7" s="1135"/>
      <c r="G7" s="974" t="s">
        <v>1129</v>
      </c>
      <c r="H7" s="1049">
        <f t="shared" ref="H7:H61" si="3">H6+1</f>
        <v>57</v>
      </c>
      <c r="I7" s="345" t="s">
        <v>309</v>
      </c>
      <c r="J7" s="314" t="str">
        <f t="shared" si="2"/>
        <v>年初应付票据</v>
      </c>
      <c r="K7" s="1134"/>
      <c r="L7" s="975" t="s">
        <v>1130</v>
      </c>
      <c r="M7" s="1051">
        <v>3</v>
      </c>
      <c r="N7" s="340"/>
      <c r="O7" s="341"/>
      <c r="P7" s="1134"/>
      <c r="Q7" s="1046" t="s">
        <v>1169</v>
      </c>
      <c r="R7" s="1051">
        <v>3</v>
      </c>
      <c r="S7" s="350" t="s">
        <v>798</v>
      </c>
      <c r="T7" s="1143"/>
      <c r="U7" s="349"/>
      <c r="V7" s="1049">
        <f t="shared" ref="V7:V47" si="4">V6+1</f>
        <v>3</v>
      </c>
      <c r="W7" s="346" t="s">
        <v>799</v>
      </c>
      <c r="X7" s="342"/>
      <c r="Y7" s="342"/>
      <c r="Z7" s="331" t="s">
        <v>1150</v>
      </c>
      <c r="AA7" s="894" t="str">
        <f t="shared" ref="AA7:AA8" si="5">B7</f>
        <v>结算备付金</v>
      </c>
      <c r="AB7" s="342"/>
    </row>
    <row r="8" spans="1:28" s="343" customFormat="1" ht="15.75" customHeight="1">
      <c r="A8" s="1135"/>
      <c r="B8" s="973" t="s">
        <v>1124</v>
      </c>
      <c r="C8" s="1051">
        <v>4</v>
      </c>
      <c r="D8" s="351" t="s">
        <v>800</v>
      </c>
      <c r="E8" s="314" t="str">
        <f t="shared" si="1"/>
        <v>年初应收票据</v>
      </c>
      <c r="F8" s="1135"/>
      <c r="G8" s="974" t="s">
        <v>1131</v>
      </c>
      <c r="H8" s="1049">
        <f t="shared" si="3"/>
        <v>58</v>
      </c>
      <c r="I8" s="345" t="s">
        <v>801</v>
      </c>
      <c r="J8" s="314" t="str">
        <f t="shared" si="2"/>
        <v>年初应付账款</v>
      </c>
      <c r="K8" s="1134"/>
      <c r="L8" s="975" t="s">
        <v>1132</v>
      </c>
      <c r="M8" s="1051">
        <v>4</v>
      </c>
      <c r="N8" s="340" t="s">
        <v>803</v>
      </c>
      <c r="O8" s="341" t="str">
        <f t="shared" si="0"/>
        <v>上年折扣与折让</v>
      </c>
      <c r="P8" s="1134"/>
      <c r="Q8" s="1046" t="s">
        <v>1168</v>
      </c>
      <c r="R8" s="1051">
        <v>4</v>
      </c>
      <c r="S8" s="350" t="s">
        <v>805</v>
      </c>
      <c r="T8" s="1143"/>
      <c r="U8" s="349"/>
      <c r="V8" s="1049">
        <f t="shared" si="4"/>
        <v>4</v>
      </c>
      <c r="W8" s="346" t="s">
        <v>806</v>
      </c>
      <c r="X8" s="342"/>
      <c r="Y8" s="342"/>
      <c r="Z8" s="331" t="s">
        <v>1151</v>
      </c>
      <c r="AA8" s="894" t="str">
        <f t="shared" si="5"/>
        <v>拆出资金</v>
      </c>
      <c r="AB8" s="342"/>
    </row>
    <row r="9" spans="1:28" s="343" customFormat="1" ht="15.75" customHeight="1">
      <c r="A9" s="1135"/>
      <c r="B9" s="877" t="s">
        <v>995</v>
      </c>
      <c r="C9" s="1051">
        <v>5</v>
      </c>
      <c r="D9" s="351" t="s">
        <v>809</v>
      </c>
      <c r="E9" s="314" t="str">
        <f t="shared" si="1"/>
        <v>年初应收股利</v>
      </c>
      <c r="F9" s="1135"/>
      <c r="G9" s="974" t="s">
        <v>1133</v>
      </c>
      <c r="H9" s="1049">
        <f t="shared" si="3"/>
        <v>59</v>
      </c>
      <c r="I9" s="345" t="s">
        <v>810</v>
      </c>
      <c r="J9" s="314" t="str">
        <f t="shared" si="2"/>
        <v>年初预收账款</v>
      </c>
      <c r="K9" s="1134"/>
      <c r="L9" s="975" t="s">
        <v>1134</v>
      </c>
      <c r="M9" s="1051">
        <v>5</v>
      </c>
      <c r="N9" s="340"/>
      <c r="O9" s="341"/>
      <c r="P9" s="1134"/>
      <c r="Q9" s="1046" t="s">
        <v>1170</v>
      </c>
      <c r="R9" s="1051">
        <v>5</v>
      </c>
      <c r="S9" s="347"/>
      <c r="T9" s="1143"/>
      <c r="U9" s="345" t="s">
        <v>1189</v>
      </c>
      <c r="V9" s="1049">
        <f t="shared" si="4"/>
        <v>5</v>
      </c>
      <c r="W9" s="345" t="s">
        <v>811</v>
      </c>
      <c r="X9" s="342"/>
      <c r="Y9" s="342"/>
      <c r="Z9" s="331" t="s">
        <v>1011</v>
      </c>
      <c r="AA9" s="894" t="str">
        <f t="shared" ref="AA9:AA15" si="6">B9</f>
        <v>交易性金融资产</v>
      </c>
      <c r="AB9" s="342"/>
    </row>
    <row r="10" spans="1:28" s="343" customFormat="1" ht="15.75" customHeight="1">
      <c r="A10" s="1135"/>
      <c r="B10" s="874" t="s">
        <v>1040</v>
      </c>
      <c r="C10" s="1051">
        <v>6</v>
      </c>
      <c r="D10" s="351" t="s">
        <v>814</v>
      </c>
      <c r="E10" s="314" t="str">
        <f t="shared" si="1"/>
        <v>年初应收利息</v>
      </c>
      <c r="F10" s="1135"/>
      <c r="G10" s="880" t="s">
        <v>1046</v>
      </c>
      <c r="H10" s="1049">
        <f t="shared" si="3"/>
        <v>60</v>
      </c>
      <c r="I10" s="345" t="s">
        <v>313</v>
      </c>
      <c r="J10" s="314" t="str">
        <f t="shared" si="2"/>
        <v>年初应付工资</v>
      </c>
      <c r="K10" s="1134"/>
      <c r="L10" s="553" t="s">
        <v>796</v>
      </c>
      <c r="M10" s="1051">
        <v>6</v>
      </c>
      <c r="N10" s="341" t="s">
        <v>815</v>
      </c>
      <c r="O10" s="341" t="str">
        <f t="shared" si="0"/>
        <v>上年主营业务成本</v>
      </c>
      <c r="P10" s="1134"/>
      <c r="Q10" s="1046" t="s">
        <v>1171</v>
      </c>
      <c r="R10" s="1051">
        <v>6</v>
      </c>
      <c r="S10" s="352"/>
      <c r="T10" s="1143"/>
      <c r="U10" s="349" t="s">
        <v>1188</v>
      </c>
      <c r="V10" s="1049">
        <f t="shared" si="4"/>
        <v>6</v>
      </c>
      <c r="W10" s="345" t="s">
        <v>818</v>
      </c>
      <c r="X10" s="342"/>
      <c r="Y10" s="342"/>
      <c r="Z10" s="331" t="s">
        <v>807</v>
      </c>
      <c r="AA10" s="894" t="str">
        <f t="shared" si="6"/>
        <v>以公允价值计量且其变动计入当期损益的金融资产</v>
      </c>
      <c r="AB10" s="342"/>
    </row>
    <row r="11" spans="1:28" s="343" customFormat="1" ht="15.75" customHeight="1">
      <c r="A11" s="1135"/>
      <c r="B11" s="314" t="s">
        <v>898</v>
      </c>
      <c r="C11" s="1051">
        <v>7</v>
      </c>
      <c r="D11" s="351" t="s">
        <v>808</v>
      </c>
      <c r="E11" s="314" t="str">
        <f t="shared" si="1"/>
        <v>年初应收账款</v>
      </c>
      <c r="F11" s="1135"/>
      <c r="G11" s="881" t="s">
        <v>1045</v>
      </c>
      <c r="H11" s="1049">
        <f t="shared" si="3"/>
        <v>61</v>
      </c>
      <c r="I11" s="345" t="s">
        <v>314</v>
      </c>
      <c r="J11" s="314" t="str">
        <f t="shared" si="2"/>
        <v>年初应付福利费</v>
      </c>
      <c r="K11" s="1134"/>
      <c r="L11" s="307" t="s">
        <v>802</v>
      </c>
      <c r="M11" s="1051">
        <v>7</v>
      </c>
      <c r="N11" s="341"/>
      <c r="O11" s="341"/>
      <c r="P11" s="1134"/>
      <c r="Q11" s="1046" t="s">
        <v>1172</v>
      </c>
      <c r="R11" s="1051">
        <v>7</v>
      </c>
      <c r="S11" s="350" t="s">
        <v>821</v>
      </c>
      <c r="T11" s="1143"/>
      <c r="U11" s="349" t="s">
        <v>817</v>
      </c>
      <c r="V11" s="1049">
        <f t="shared" si="4"/>
        <v>7</v>
      </c>
      <c r="W11" s="345" t="s">
        <v>823</v>
      </c>
      <c r="X11" s="342"/>
      <c r="Y11" s="342"/>
      <c r="Z11" s="331" t="s">
        <v>812</v>
      </c>
      <c r="AA11" s="894" t="str">
        <f t="shared" si="6"/>
        <v>衍生金融资产</v>
      </c>
      <c r="AB11" s="342"/>
    </row>
    <row r="12" spans="1:28" s="343" customFormat="1" ht="15.75" customHeight="1">
      <c r="A12" s="1135"/>
      <c r="B12" s="872" t="s">
        <v>1038</v>
      </c>
      <c r="C12" s="1051">
        <v>8</v>
      </c>
      <c r="D12" s="351" t="s">
        <v>824</v>
      </c>
      <c r="E12" s="314" t="str">
        <f t="shared" si="1"/>
        <v>年初其他应收款</v>
      </c>
      <c r="F12" s="1135"/>
      <c r="G12" s="317" t="s">
        <v>900</v>
      </c>
      <c r="H12" s="1049">
        <f t="shared" si="3"/>
        <v>62</v>
      </c>
      <c r="I12" s="345" t="s">
        <v>315</v>
      </c>
      <c r="J12" s="314" t="str">
        <f t="shared" si="2"/>
        <v>年初应付股利</v>
      </c>
      <c r="K12" s="1134"/>
      <c r="L12" s="553" t="s">
        <v>976</v>
      </c>
      <c r="M12" s="1051">
        <v>8</v>
      </c>
      <c r="N12" s="341" t="s">
        <v>827</v>
      </c>
      <c r="O12" s="341" t="str">
        <f t="shared" si="0"/>
        <v>上年主营业务税金及附加</v>
      </c>
      <c r="P12" s="1134"/>
      <c r="Q12" s="1046" t="s">
        <v>1173</v>
      </c>
      <c r="R12" s="1051">
        <v>8</v>
      </c>
      <c r="S12" s="350" t="s">
        <v>829</v>
      </c>
      <c r="T12" s="1143"/>
      <c r="U12" s="349" t="s">
        <v>822</v>
      </c>
      <c r="V12" s="1049">
        <f t="shared" si="4"/>
        <v>8</v>
      </c>
      <c r="W12" s="345" t="s">
        <v>831</v>
      </c>
      <c r="X12" s="342"/>
      <c r="Y12" s="342"/>
      <c r="Z12" s="331" t="s">
        <v>1009</v>
      </c>
      <c r="AA12" s="894" t="str">
        <f t="shared" si="6"/>
        <v>应收票据</v>
      </c>
      <c r="AB12" s="342"/>
    </row>
    <row r="13" spans="1:28" s="343" customFormat="1" ht="15.75" customHeight="1">
      <c r="A13" s="1135"/>
      <c r="B13" s="872" t="s">
        <v>1039</v>
      </c>
      <c r="C13" s="1051">
        <v>9</v>
      </c>
      <c r="D13" s="351" t="s">
        <v>813</v>
      </c>
      <c r="E13" s="314" t="str">
        <f t="shared" si="1"/>
        <v>年初预付账款</v>
      </c>
      <c r="F13" s="1135"/>
      <c r="G13" s="882" t="s">
        <v>1047</v>
      </c>
      <c r="H13" s="1049">
        <f t="shared" si="3"/>
        <v>63</v>
      </c>
      <c r="I13" s="345" t="s">
        <v>316</v>
      </c>
      <c r="J13" s="314" t="str">
        <f t="shared" si="2"/>
        <v>年初应交税金</v>
      </c>
      <c r="K13" s="1134"/>
      <c r="L13" s="975" t="s">
        <v>1135</v>
      </c>
      <c r="M13" s="1051">
        <v>9</v>
      </c>
      <c r="N13" s="341" t="s">
        <v>833</v>
      </c>
      <c r="O13" s="341" t="str">
        <f t="shared" si="0"/>
        <v>上年经营费用</v>
      </c>
      <c r="P13" s="1134"/>
      <c r="Q13" s="1046" t="s">
        <v>1182</v>
      </c>
      <c r="R13" s="1051">
        <v>9</v>
      </c>
      <c r="S13" s="350" t="s">
        <v>835</v>
      </c>
      <c r="T13" s="1143"/>
      <c r="U13" s="349" t="s">
        <v>830</v>
      </c>
      <c r="V13" s="1049">
        <f t="shared" si="4"/>
        <v>9</v>
      </c>
      <c r="W13" s="345" t="s">
        <v>837</v>
      </c>
      <c r="X13" s="342"/>
      <c r="Y13" s="342"/>
      <c r="Z13" s="331" t="s">
        <v>912</v>
      </c>
      <c r="AA13" s="894" t="str">
        <f t="shared" si="6"/>
        <v>应收账款</v>
      </c>
      <c r="AB13" s="342"/>
    </row>
    <row r="14" spans="1:28" s="343" customFormat="1" ht="15.75" customHeight="1">
      <c r="A14" s="1135"/>
      <c r="B14" s="872" t="s">
        <v>1041</v>
      </c>
      <c r="C14" s="1051">
        <v>10</v>
      </c>
      <c r="D14" s="351" t="s">
        <v>227</v>
      </c>
      <c r="E14" s="314" t="str">
        <f t="shared" si="1"/>
        <v>年初期货保证金</v>
      </c>
      <c r="F14" s="1135"/>
      <c r="G14" s="882" t="s">
        <v>1048</v>
      </c>
      <c r="H14" s="1049">
        <f t="shared" si="3"/>
        <v>64</v>
      </c>
      <c r="I14" s="345" t="s">
        <v>838</v>
      </c>
      <c r="J14" s="314" t="str">
        <f t="shared" si="2"/>
        <v>年初其他未交款</v>
      </c>
      <c r="K14" s="1134"/>
      <c r="L14" s="975" t="s">
        <v>1136</v>
      </c>
      <c r="M14" s="1051">
        <v>10</v>
      </c>
      <c r="N14" s="341" t="s">
        <v>344</v>
      </c>
      <c r="O14" s="341" t="str">
        <f t="shared" si="0"/>
        <v>上年其他</v>
      </c>
      <c r="P14" s="1134"/>
      <c r="Q14" s="1046" t="s">
        <v>1183</v>
      </c>
      <c r="R14" s="1051">
        <v>10</v>
      </c>
      <c r="S14" s="350" t="s">
        <v>323</v>
      </c>
      <c r="T14" s="1143"/>
      <c r="U14" s="625" t="s">
        <v>836</v>
      </c>
      <c r="V14" s="1049">
        <f t="shared" si="4"/>
        <v>10</v>
      </c>
      <c r="W14" s="345" t="s">
        <v>340</v>
      </c>
      <c r="X14" s="342"/>
      <c r="Y14" s="342"/>
      <c r="Z14" s="331" t="s">
        <v>1010</v>
      </c>
      <c r="AA14" s="894" t="str">
        <f t="shared" si="6"/>
        <v>应收款项融资</v>
      </c>
      <c r="AB14" s="342"/>
    </row>
    <row r="15" spans="1:28" s="343" customFormat="1" ht="15.75" customHeight="1">
      <c r="A15" s="1135"/>
      <c r="B15" s="851" t="s">
        <v>1042</v>
      </c>
      <c r="C15" s="1051">
        <v>11</v>
      </c>
      <c r="D15" s="351" t="s">
        <v>348</v>
      </c>
      <c r="E15" s="314" t="str">
        <f t="shared" si="1"/>
        <v>年初应收补贴款</v>
      </c>
      <c r="F15" s="1135"/>
      <c r="G15" s="317" t="s">
        <v>975</v>
      </c>
      <c r="H15" s="1049">
        <f t="shared" si="3"/>
        <v>65</v>
      </c>
      <c r="I15" s="345" t="s">
        <v>841</v>
      </c>
      <c r="J15" s="314" t="str">
        <f t="shared" si="2"/>
        <v>年初其他应付款</v>
      </c>
      <c r="K15" s="1134"/>
      <c r="L15" s="975" t="s">
        <v>1137</v>
      </c>
      <c r="M15" s="1051">
        <v>11</v>
      </c>
      <c r="N15" s="316" t="s">
        <v>842</v>
      </c>
      <c r="O15" s="341" t="str">
        <f t="shared" si="0"/>
        <v>上年递延收益</v>
      </c>
      <c r="P15" s="1134"/>
      <c r="Q15" s="1046" t="s">
        <v>1184</v>
      </c>
      <c r="R15" s="1051">
        <v>11</v>
      </c>
      <c r="S15" s="347"/>
      <c r="T15" s="1143"/>
      <c r="U15" s="349" t="s">
        <v>840</v>
      </c>
      <c r="V15" s="1049">
        <f t="shared" si="4"/>
        <v>11</v>
      </c>
      <c r="W15" s="345" t="s">
        <v>341</v>
      </c>
      <c r="X15" s="342"/>
      <c r="Y15" s="342"/>
      <c r="Z15" s="331" t="s">
        <v>1062</v>
      </c>
      <c r="AA15" s="894" t="str">
        <f t="shared" si="6"/>
        <v>预付款项</v>
      </c>
      <c r="AB15" s="342"/>
    </row>
    <row r="16" spans="1:28" s="343" customFormat="1" ht="15.75" customHeight="1">
      <c r="A16" s="1135"/>
      <c r="B16" s="973" t="s">
        <v>1125</v>
      </c>
      <c r="C16" s="1051">
        <v>12</v>
      </c>
      <c r="D16" s="351" t="s">
        <v>228</v>
      </c>
      <c r="E16" s="314" t="str">
        <f t="shared" si="1"/>
        <v>年初应收出口退税</v>
      </c>
      <c r="F16" s="1135"/>
      <c r="G16" s="974" t="s">
        <v>1138</v>
      </c>
      <c r="H16" s="1049">
        <f t="shared" si="3"/>
        <v>66</v>
      </c>
      <c r="I16" s="345" t="s">
        <v>845</v>
      </c>
      <c r="J16" s="314" t="str">
        <f t="shared" si="2"/>
        <v>年初预提费用</v>
      </c>
      <c r="K16" s="1134"/>
      <c r="L16" s="975" t="s">
        <v>1139</v>
      </c>
      <c r="M16" s="1051">
        <v>12</v>
      </c>
      <c r="N16" s="316" t="s">
        <v>242</v>
      </c>
      <c r="O16" s="341" t="str">
        <f t="shared" si="0"/>
        <v>上年代购代销收入</v>
      </c>
      <c r="P16" s="1134"/>
      <c r="Q16" s="347" t="s">
        <v>797</v>
      </c>
      <c r="R16" s="1051">
        <v>12</v>
      </c>
      <c r="S16" s="352"/>
      <c r="T16" s="1143"/>
      <c r="U16" s="349" t="s">
        <v>843</v>
      </c>
      <c r="V16" s="1049">
        <f t="shared" si="4"/>
        <v>12</v>
      </c>
      <c r="W16" s="345" t="s">
        <v>342</v>
      </c>
      <c r="X16" s="342"/>
      <c r="Y16" s="342"/>
      <c r="Z16" s="331" t="s">
        <v>1152</v>
      </c>
      <c r="AA16" s="894" t="str">
        <f t="shared" ref="AA16:AA18" si="7">B16</f>
        <v>应收保费</v>
      </c>
      <c r="AB16" s="342"/>
    </row>
    <row r="17" spans="1:28" s="343" customFormat="1" ht="15.75" customHeight="1">
      <c r="A17" s="1135"/>
      <c r="B17" s="973" t="s">
        <v>1126</v>
      </c>
      <c r="C17" s="1051">
        <v>13</v>
      </c>
      <c r="D17" s="351" t="s">
        <v>349</v>
      </c>
      <c r="E17" s="314" t="str">
        <f t="shared" si="1"/>
        <v>年初存货</v>
      </c>
      <c r="F17" s="1135"/>
      <c r="G17" s="974" t="s">
        <v>1140</v>
      </c>
      <c r="H17" s="1049">
        <f t="shared" si="3"/>
        <v>67</v>
      </c>
      <c r="I17" s="345" t="s">
        <v>850</v>
      </c>
      <c r="J17" s="314" t="str">
        <f t="shared" si="2"/>
        <v>年初预计负债</v>
      </c>
      <c r="K17" s="1134"/>
      <c r="L17" s="975" t="s">
        <v>1141</v>
      </c>
      <c r="M17" s="1051">
        <v>13</v>
      </c>
      <c r="N17" s="316" t="s">
        <v>344</v>
      </c>
      <c r="O17" s="341" t="str">
        <f t="shared" si="0"/>
        <v>上年其他</v>
      </c>
      <c r="P17" s="1134"/>
      <c r="Q17" s="347" t="s">
        <v>804</v>
      </c>
      <c r="R17" s="1051">
        <v>13</v>
      </c>
      <c r="S17" s="352"/>
      <c r="T17" s="1143"/>
      <c r="U17" s="349" t="s">
        <v>848</v>
      </c>
      <c r="V17" s="1049">
        <f t="shared" si="4"/>
        <v>13</v>
      </c>
      <c r="W17" s="345" t="s">
        <v>852</v>
      </c>
      <c r="X17" s="342"/>
      <c r="Y17" s="342"/>
      <c r="Z17" s="331" t="s">
        <v>1153</v>
      </c>
      <c r="AA17" s="894" t="str">
        <f t="shared" si="7"/>
        <v>应收分保账款</v>
      </c>
      <c r="AB17" s="342"/>
    </row>
    <row r="18" spans="1:28" s="343" customFormat="1" ht="15.75" customHeight="1">
      <c r="A18" s="1135"/>
      <c r="B18" s="973" t="s">
        <v>1127</v>
      </c>
      <c r="C18" s="1051">
        <v>14</v>
      </c>
      <c r="D18" s="351" t="s">
        <v>229</v>
      </c>
      <c r="E18" s="314"/>
      <c r="F18" s="1135"/>
      <c r="G18" s="880" t="s">
        <v>1001</v>
      </c>
      <c r="H18" s="1049">
        <f t="shared" si="3"/>
        <v>68</v>
      </c>
      <c r="I18" s="345" t="s">
        <v>853</v>
      </c>
      <c r="J18" s="314" t="str">
        <f t="shared" si="2"/>
        <v>年初一年内到期的长期负债</v>
      </c>
      <c r="K18" s="1134"/>
      <c r="L18" s="975" t="s">
        <v>1142</v>
      </c>
      <c r="M18" s="1051">
        <v>14</v>
      </c>
      <c r="N18" s="341"/>
      <c r="O18" s="341">
        <f t="shared" si="0"/>
        <v>0</v>
      </c>
      <c r="P18" s="1134"/>
      <c r="Q18" s="347"/>
      <c r="R18" s="1051">
        <v>14</v>
      </c>
      <c r="S18" s="352"/>
      <c r="T18" s="1143"/>
      <c r="U18" s="349" t="s">
        <v>851</v>
      </c>
      <c r="V18" s="1049">
        <f t="shared" si="4"/>
        <v>14</v>
      </c>
      <c r="W18" s="352"/>
      <c r="X18" s="342"/>
      <c r="Y18" s="342"/>
      <c r="Z18" s="331" t="s">
        <v>1154</v>
      </c>
      <c r="AA18" s="894" t="str">
        <f t="shared" si="7"/>
        <v>应收分保准备金</v>
      </c>
      <c r="AB18" s="342"/>
    </row>
    <row r="19" spans="1:28" s="343" customFormat="1" ht="15.75" customHeight="1">
      <c r="A19" s="1135"/>
      <c r="B19" s="870" t="s">
        <v>824</v>
      </c>
      <c r="C19" s="1051">
        <v>15</v>
      </c>
      <c r="D19" s="351" t="s">
        <v>230</v>
      </c>
      <c r="E19" s="314"/>
      <c r="F19" s="1135"/>
      <c r="G19" s="317" t="s">
        <v>819</v>
      </c>
      <c r="H19" s="1049">
        <f t="shared" si="3"/>
        <v>69</v>
      </c>
      <c r="I19" s="345" t="s">
        <v>856</v>
      </c>
      <c r="J19" s="314" t="str">
        <f t="shared" si="2"/>
        <v>年初其他流动负债</v>
      </c>
      <c r="K19" s="1134"/>
      <c r="L19" s="975" t="s">
        <v>1143</v>
      </c>
      <c r="M19" s="1051">
        <v>15</v>
      </c>
      <c r="N19" s="341" t="s">
        <v>857</v>
      </c>
      <c r="O19" s="341" t="str">
        <f t="shared" si="0"/>
        <v>上年其他业务利润</v>
      </c>
      <c r="P19" s="1134"/>
      <c r="Q19" s="347"/>
      <c r="R19" s="1051">
        <v>15</v>
      </c>
      <c r="S19" s="352"/>
      <c r="T19" s="1143"/>
      <c r="U19" s="349" t="s">
        <v>855</v>
      </c>
      <c r="V19" s="1049">
        <f t="shared" si="4"/>
        <v>15</v>
      </c>
      <c r="W19" s="352"/>
      <c r="X19" s="342"/>
      <c r="Y19" s="342"/>
      <c r="Z19" s="331" t="s">
        <v>913</v>
      </c>
      <c r="AA19" s="894" t="str">
        <f t="shared" ref="AA19:AA26" si="8">B19</f>
        <v>其他应收款</v>
      </c>
      <c r="AB19" s="342"/>
    </row>
    <row r="20" spans="1:28" s="343" customFormat="1" ht="15.75" customHeight="1">
      <c r="A20" s="1135"/>
      <c r="B20" s="554" t="s">
        <v>1061</v>
      </c>
      <c r="C20" s="1051">
        <v>16</v>
      </c>
      <c r="D20" s="351" t="s">
        <v>859</v>
      </c>
      <c r="E20" s="314" t="str">
        <f t="shared" si="1"/>
        <v>年初待摊费用</v>
      </c>
      <c r="F20" s="1135"/>
      <c r="G20" s="317" t="s">
        <v>825</v>
      </c>
      <c r="H20" s="1049">
        <f t="shared" si="3"/>
        <v>70</v>
      </c>
      <c r="I20" s="345"/>
      <c r="J20" s="314"/>
      <c r="K20" s="1134"/>
      <c r="L20" s="553" t="s">
        <v>978</v>
      </c>
      <c r="M20" s="1051">
        <v>16</v>
      </c>
      <c r="N20" s="345" t="s">
        <v>861</v>
      </c>
      <c r="O20" s="341" t="str">
        <f t="shared" si="0"/>
        <v>上年营业费用</v>
      </c>
      <c r="P20" s="1134"/>
      <c r="Q20" s="352" t="s">
        <v>816</v>
      </c>
      <c r="R20" s="1051">
        <v>16</v>
      </c>
      <c r="S20" s="307"/>
      <c r="T20" s="1143"/>
      <c r="U20" s="349" t="s">
        <v>858</v>
      </c>
      <c r="V20" s="1049">
        <f t="shared" si="4"/>
        <v>16</v>
      </c>
      <c r="W20" s="345" t="s">
        <v>863</v>
      </c>
      <c r="X20" s="342"/>
      <c r="Y20" s="342"/>
      <c r="Z20" s="331"/>
      <c r="AA20" s="894" t="str">
        <f t="shared" si="8"/>
        <v xml:space="preserve">  其中：应收利息</v>
      </c>
      <c r="AB20" s="342"/>
    </row>
    <row r="21" spans="1:28" s="343" customFormat="1" ht="15.75" customHeight="1">
      <c r="A21" s="1135"/>
      <c r="B21" s="554" t="s">
        <v>1099</v>
      </c>
      <c r="C21" s="1051">
        <v>17</v>
      </c>
      <c r="D21" s="351" t="s">
        <v>865</v>
      </c>
      <c r="E21" s="314" t="str">
        <f t="shared" si="1"/>
        <v>年初待处理流动资产净损失</v>
      </c>
      <c r="F21" s="1135"/>
      <c r="G21" s="883" t="s">
        <v>250</v>
      </c>
      <c r="H21" s="1049">
        <f t="shared" si="3"/>
        <v>71</v>
      </c>
      <c r="I21" s="349"/>
      <c r="J21" s="314">
        <f t="shared" si="2"/>
        <v>0</v>
      </c>
      <c r="K21" s="1134"/>
      <c r="L21" s="317" t="s">
        <v>977</v>
      </c>
      <c r="M21" s="1051">
        <v>17</v>
      </c>
      <c r="N21" s="345" t="s">
        <v>346</v>
      </c>
      <c r="O21" s="341" t="str">
        <f t="shared" si="0"/>
        <v>上年管理费用</v>
      </c>
      <c r="P21" s="1134"/>
      <c r="Q21" s="347" t="s">
        <v>820</v>
      </c>
      <c r="R21" s="1051">
        <v>17</v>
      </c>
      <c r="S21" s="350" t="s">
        <v>868</v>
      </c>
      <c r="T21" s="1143"/>
      <c r="U21" s="349" t="s">
        <v>862</v>
      </c>
      <c r="V21" s="1049">
        <f t="shared" si="4"/>
        <v>17</v>
      </c>
      <c r="W21" s="345" t="s">
        <v>870</v>
      </c>
      <c r="X21" s="342"/>
      <c r="Y21" s="342"/>
      <c r="Z21" s="331"/>
      <c r="AA21" s="894" t="str">
        <f t="shared" si="8"/>
        <v xml:space="preserve">        应收股利</v>
      </c>
      <c r="AB21" s="342"/>
    </row>
    <row r="22" spans="1:28" s="343" customFormat="1" ht="15.75" customHeight="1">
      <c r="A22" s="1135"/>
      <c r="B22" s="973" t="s">
        <v>1128</v>
      </c>
      <c r="C22" s="1051">
        <v>18</v>
      </c>
      <c r="D22" s="351" t="s">
        <v>291</v>
      </c>
      <c r="E22" s="314" t="str">
        <f t="shared" si="1"/>
        <v>年初一年内到期的长期债权投资</v>
      </c>
      <c r="F22" s="1135"/>
      <c r="G22" s="554" t="s">
        <v>1059</v>
      </c>
      <c r="H22" s="1049">
        <f t="shared" si="3"/>
        <v>72</v>
      </c>
      <c r="I22" s="352"/>
      <c r="J22" s="314">
        <f t="shared" si="2"/>
        <v>0</v>
      </c>
      <c r="K22" s="1134"/>
      <c r="L22" s="317" t="s">
        <v>826</v>
      </c>
      <c r="M22" s="1051">
        <v>18</v>
      </c>
      <c r="N22" s="345" t="s">
        <v>872</v>
      </c>
      <c r="O22" s="341" t="str">
        <f t="shared" si="0"/>
        <v>上年财务费用</v>
      </c>
      <c r="P22" s="1134"/>
      <c r="Q22" s="1046" t="s">
        <v>1174</v>
      </c>
      <c r="R22" s="1051">
        <v>18</v>
      </c>
      <c r="S22" s="350"/>
      <c r="T22" s="1143"/>
      <c r="U22" s="349" t="s">
        <v>869</v>
      </c>
      <c r="V22" s="1049">
        <f t="shared" si="4"/>
        <v>18</v>
      </c>
      <c r="W22" s="345" t="s">
        <v>875</v>
      </c>
      <c r="X22" s="342"/>
      <c r="Y22" s="342"/>
      <c r="Z22" s="331" t="s">
        <v>1155</v>
      </c>
      <c r="AA22" s="894" t="str">
        <f t="shared" si="8"/>
        <v>买入返售金融资产</v>
      </c>
      <c r="AB22" s="342"/>
    </row>
    <row r="23" spans="1:28" s="343" customFormat="1" ht="15.75" customHeight="1">
      <c r="A23" s="1135"/>
      <c r="B23" s="870" t="s">
        <v>349</v>
      </c>
      <c r="C23" s="1051">
        <v>19</v>
      </c>
      <c r="D23" s="351" t="s">
        <v>350</v>
      </c>
      <c r="E23" s="314" t="str">
        <f t="shared" si="1"/>
        <v>年初其他流动资产</v>
      </c>
      <c r="F23" s="1135"/>
      <c r="G23" s="869" t="s">
        <v>1060</v>
      </c>
      <c r="H23" s="1049">
        <f t="shared" si="3"/>
        <v>73</v>
      </c>
      <c r="I23" s="352"/>
      <c r="J23" s="314">
        <f t="shared" si="2"/>
        <v>0</v>
      </c>
      <c r="K23" s="1134"/>
      <c r="L23" s="883" t="s">
        <v>832</v>
      </c>
      <c r="M23" s="1051">
        <v>19</v>
      </c>
      <c r="N23" s="345"/>
      <c r="O23" s="341"/>
      <c r="P23" s="1134"/>
      <c r="Q23" s="1046" t="s">
        <v>1175</v>
      </c>
      <c r="R23" s="1051">
        <v>19</v>
      </c>
      <c r="S23" s="350" t="s">
        <v>324</v>
      </c>
      <c r="T23" s="1143"/>
      <c r="U23" s="349" t="s">
        <v>874</v>
      </c>
      <c r="V23" s="1049">
        <f t="shared" si="4"/>
        <v>19</v>
      </c>
      <c r="W23" s="345" t="s">
        <v>879</v>
      </c>
      <c r="X23" s="342"/>
      <c r="Y23" s="342"/>
      <c r="Z23" s="331" t="s">
        <v>914</v>
      </c>
      <c r="AA23" s="894" t="str">
        <f t="shared" si="8"/>
        <v>存货</v>
      </c>
      <c r="AB23" s="342"/>
    </row>
    <row r="24" spans="1:28" s="343" customFormat="1" ht="15.75" customHeight="1">
      <c r="A24" s="1135"/>
      <c r="B24" s="877" t="s">
        <v>996</v>
      </c>
      <c r="C24" s="1051">
        <v>20</v>
      </c>
      <c r="D24" s="354"/>
      <c r="E24" s="314">
        <f t="shared" si="1"/>
        <v>0</v>
      </c>
      <c r="F24" s="1135"/>
      <c r="G24" s="974" t="s">
        <v>1144</v>
      </c>
      <c r="H24" s="1049">
        <f t="shared" si="3"/>
        <v>74</v>
      </c>
      <c r="I24" s="352"/>
      <c r="J24" s="314">
        <f t="shared" si="2"/>
        <v>0</v>
      </c>
      <c r="K24" s="1134"/>
      <c r="L24" s="885" t="s">
        <v>979</v>
      </c>
      <c r="M24" s="1051">
        <v>20</v>
      </c>
      <c r="N24" s="345"/>
      <c r="O24" s="341"/>
      <c r="P24" s="1134"/>
      <c r="Q24" s="1046" t="s">
        <v>1176</v>
      </c>
      <c r="R24" s="1051">
        <v>20</v>
      </c>
      <c r="S24" s="350" t="s">
        <v>325</v>
      </c>
      <c r="T24" s="1143"/>
      <c r="U24" s="349" t="s">
        <v>878</v>
      </c>
      <c r="V24" s="1049">
        <f t="shared" si="4"/>
        <v>20</v>
      </c>
      <c r="W24" s="345" t="s">
        <v>343</v>
      </c>
      <c r="X24" s="342"/>
      <c r="Y24" s="342"/>
      <c r="Z24" s="331" t="s">
        <v>1101</v>
      </c>
      <c r="AA24" s="894" t="str">
        <f t="shared" si="8"/>
        <v>合同资产</v>
      </c>
      <c r="AB24" s="342"/>
    </row>
    <row r="25" spans="1:28" s="343" customFormat="1" ht="15.75" customHeight="1">
      <c r="A25" s="1135"/>
      <c r="B25" s="871" t="s">
        <v>963</v>
      </c>
      <c r="C25" s="1051">
        <v>21</v>
      </c>
      <c r="D25" s="354"/>
      <c r="E25" s="314">
        <f t="shared" si="1"/>
        <v>0</v>
      </c>
      <c r="F25" s="1135"/>
      <c r="G25" s="974" t="s">
        <v>1145</v>
      </c>
      <c r="H25" s="1049">
        <f t="shared" si="3"/>
        <v>75</v>
      </c>
      <c r="I25" s="345" t="s">
        <v>871</v>
      </c>
      <c r="J25" s="314" t="str">
        <f t="shared" si="2"/>
        <v>年初长期借款</v>
      </c>
      <c r="K25" s="1134"/>
      <c r="L25" s="818" t="s">
        <v>846</v>
      </c>
      <c r="M25" s="1051">
        <v>21</v>
      </c>
      <c r="N25" s="349"/>
      <c r="O25" s="341">
        <f t="shared" si="0"/>
        <v>0</v>
      </c>
      <c r="P25" s="1134"/>
      <c r="Q25" s="1046" t="s">
        <v>1177</v>
      </c>
      <c r="R25" s="1051">
        <v>21</v>
      </c>
      <c r="S25" s="350" t="s">
        <v>326</v>
      </c>
      <c r="T25" s="1143"/>
      <c r="U25" s="349"/>
      <c r="V25" s="1049">
        <f t="shared" si="4"/>
        <v>21</v>
      </c>
      <c r="W25" s="345" t="s">
        <v>1</v>
      </c>
      <c r="X25" s="342"/>
      <c r="Y25" s="342"/>
      <c r="Z25" s="331" t="s">
        <v>1063</v>
      </c>
      <c r="AA25" s="894" t="str">
        <f t="shared" si="8"/>
        <v>持有待售资产</v>
      </c>
      <c r="AB25" s="342"/>
    </row>
    <row r="26" spans="1:28" s="343" customFormat="1" ht="15.75" customHeight="1">
      <c r="A26" s="1135"/>
      <c r="B26" s="870" t="s">
        <v>849</v>
      </c>
      <c r="C26" s="1051">
        <v>22</v>
      </c>
      <c r="D26" s="356"/>
      <c r="E26" s="314">
        <f t="shared" si="1"/>
        <v>0</v>
      </c>
      <c r="F26" s="1135"/>
      <c r="G26" s="974" t="s">
        <v>1146</v>
      </c>
      <c r="H26" s="1049">
        <f t="shared" si="3"/>
        <v>76</v>
      </c>
      <c r="I26" s="345" t="s">
        <v>876</v>
      </c>
      <c r="J26" s="314" t="str">
        <f t="shared" si="2"/>
        <v>年初应付债券</v>
      </c>
      <c r="K26" s="1134"/>
      <c r="L26" s="885" t="s">
        <v>980</v>
      </c>
      <c r="M26" s="1051">
        <v>22</v>
      </c>
      <c r="N26" s="307" t="s">
        <v>4</v>
      </c>
      <c r="O26" s="341" t="str">
        <f t="shared" si="0"/>
        <v>上年其他</v>
      </c>
      <c r="P26" s="1134"/>
      <c r="Q26" s="1046" t="s">
        <v>1178</v>
      </c>
      <c r="R26" s="1051">
        <v>22</v>
      </c>
      <c r="S26" s="347"/>
      <c r="T26" s="1143"/>
      <c r="U26" s="357" t="s">
        <v>6</v>
      </c>
      <c r="V26" s="1049">
        <f t="shared" si="4"/>
        <v>22</v>
      </c>
      <c r="W26" s="345"/>
      <c r="X26" s="342"/>
      <c r="Y26" s="342"/>
      <c r="Z26" s="331" t="s">
        <v>915</v>
      </c>
      <c r="AA26" s="894" t="str">
        <f t="shared" si="8"/>
        <v>一年内到期的非流动资产</v>
      </c>
      <c r="AB26" s="342"/>
    </row>
    <row r="27" spans="1:28" s="343" customFormat="1" ht="15.75" customHeight="1">
      <c r="A27" s="1135"/>
      <c r="B27" s="875" t="s">
        <v>350</v>
      </c>
      <c r="C27" s="1051">
        <v>23</v>
      </c>
      <c r="D27" s="356"/>
      <c r="E27" s="314">
        <f t="shared" si="1"/>
        <v>0</v>
      </c>
      <c r="F27" s="1135"/>
      <c r="G27" s="974" t="s">
        <v>1147</v>
      </c>
      <c r="H27" s="1049">
        <f t="shared" si="3"/>
        <v>77</v>
      </c>
      <c r="I27" s="345" t="s">
        <v>881</v>
      </c>
      <c r="J27" s="314" t="str">
        <f t="shared" si="2"/>
        <v>年初长期应付款</v>
      </c>
      <c r="K27" s="1134"/>
      <c r="L27" s="885" t="s">
        <v>854</v>
      </c>
      <c r="M27" s="1051">
        <v>23</v>
      </c>
      <c r="N27" s="341"/>
      <c r="O27" s="341">
        <f t="shared" si="0"/>
        <v>0</v>
      </c>
      <c r="P27" s="1134"/>
      <c r="Q27" s="347" t="s">
        <v>828</v>
      </c>
      <c r="R27" s="1051">
        <v>23</v>
      </c>
      <c r="S27" s="352"/>
      <c r="T27" s="1143"/>
      <c r="U27" s="314"/>
      <c r="V27" s="1049">
        <f t="shared" si="4"/>
        <v>23</v>
      </c>
      <c r="W27" s="349"/>
      <c r="X27" s="342"/>
      <c r="Y27" s="342"/>
      <c r="Z27" s="331" t="s">
        <v>1012</v>
      </c>
      <c r="AA27" s="894" t="str">
        <f t="shared" ref="AA27:AA31" si="9">B27</f>
        <v>其他流动资产</v>
      </c>
      <c r="AB27" s="342"/>
    </row>
    <row r="28" spans="1:28" s="343" customFormat="1" ht="15.75" customHeight="1">
      <c r="A28" s="1135"/>
      <c r="B28" s="345"/>
      <c r="C28" s="1051">
        <v>24</v>
      </c>
      <c r="D28" s="356"/>
      <c r="E28" s="314">
        <f t="shared" si="1"/>
        <v>0</v>
      </c>
      <c r="F28" s="1135"/>
      <c r="G28" s="876" t="s">
        <v>962</v>
      </c>
      <c r="H28" s="1049">
        <f t="shared" si="3"/>
        <v>78</v>
      </c>
      <c r="I28" s="345" t="s">
        <v>13</v>
      </c>
      <c r="J28" s="314" t="str">
        <f t="shared" si="2"/>
        <v>年初专项应付款</v>
      </c>
      <c r="K28" s="1134"/>
      <c r="L28" s="851" t="s">
        <v>981</v>
      </c>
      <c r="M28" s="1051">
        <v>24</v>
      </c>
      <c r="N28" s="341" t="s">
        <v>14</v>
      </c>
      <c r="O28" s="341" t="str">
        <f t="shared" si="0"/>
        <v>上年投资收益</v>
      </c>
      <c r="P28" s="1134"/>
      <c r="Q28" s="347" t="s">
        <v>834</v>
      </c>
      <c r="R28" s="1051">
        <v>24</v>
      </c>
      <c r="S28" s="350" t="s">
        <v>327</v>
      </c>
      <c r="T28" s="1143"/>
      <c r="U28" s="314" t="s">
        <v>308</v>
      </c>
      <c r="V28" s="1049">
        <f t="shared" si="4"/>
        <v>24</v>
      </c>
      <c r="W28" s="314"/>
      <c r="X28" s="342"/>
      <c r="Y28" s="342"/>
      <c r="Z28" s="331" t="s">
        <v>1013</v>
      </c>
      <c r="AA28" s="894">
        <f t="shared" si="9"/>
        <v>0</v>
      </c>
      <c r="AB28" s="342"/>
    </row>
    <row r="29" spans="1:28" s="343" customFormat="1" ht="15.75" customHeight="1">
      <c r="A29" s="1135"/>
      <c r="C29" s="1051">
        <v>25</v>
      </c>
      <c r="D29" s="358" t="s">
        <v>16</v>
      </c>
      <c r="E29" s="314" t="str">
        <f t="shared" si="1"/>
        <v>年初长期股权投资</v>
      </c>
      <c r="F29" s="1135"/>
      <c r="G29" s="317" t="s">
        <v>844</v>
      </c>
      <c r="H29" s="1049">
        <f t="shared" si="3"/>
        <v>79</v>
      </c>
      <c r="I29" s="345" t="s">
        <v>17</v>
      </c>
      <c r="J29" s="314" t="str">
        <f t="shared" si="2"/>
        <v>年初其他长期负债</v>
      </c>
      <c r="K29" s="1134"/>
      <c r="L29" s="818" t="s">
        <v>982</v>
      </c>
      <c r="M29" s="1051">
        <v>25</v>
      </c>
      <c r="N29" s="341" t="s">
        <v>18</v>
      </c>
      <c r="O29" s="341"/>
      <c r="P29" s="1134"/>
      <c r="Q29" s="347" t="s">
        <v>839</v>
      </c>
      <c r="R29" s="1051">
        <v>25</v>
      </c>
      <c r="S29" s="350" t="s">
        <v>20</v>
      </c>
      <c r="T29" s="1143"/>
      <c r="U29" s="349" t="s">
        <v>335</v>
      </c>
      <c r="V29" s="1049">
        <f t="shared" si="4"/>
        <v>25</v>
      </c>
      <c r="W29" s="314"/>
      <c r="X29" s="342"/>
      <c r="Y29" s="342"/>
      <c r="Z29" s="331" t="s">
        <v>882</v>
      </c>
      <c r="AA29" s="894">
        <f t="shared" si="9"/>
        <v>0</v>
      </c>
      <c r="AB29" s="342"/>
    </row>
    <row r="30" spans="1:28" s="343" customFormat="1" ht="15.75" customHeight="1">
      <c r="A30" s="1135"/>
      <c r="B30" s="355" t="s">
        <v>221</v>
      </c>
      <c r="C30" s="1051">
        <v>26</v>
      </c>
      <c r="D30" s="356" t="s">
        <v>223</v>
      </c>
      <c r="E30" s="314" t="str">
        <f t="shared" si="1"/>
        <v>年初长期债权投资</v>
      </c>
      <c r="F30" s="1135"/>
      <c r="G30" s="883" t="s">
        <v>251</v>
      </c>
      <c r="H30" s="1049">
        <f t="shared" si="3"/>
        <v>80</v>
      </c>
      <c r="I30" s="345" t="s">
        <v>233</v>
      </c>
      <c r="J30" s="314"/>
      <c r="K30" s="1134"/>
      <c r="L30" s="553" t="s">
        <v>983</v>
      </c>
      <c r="M30" s="1051">
        <v>26</v>
      </c>
      <c r="N30" s="341" t="s">
        <v>22</v>
      </c>
      <c r="O30" s="341"/>
      <c r="P30" s="1134"/>
      <c r="Q30" s="347"/>
      <c r="R30" s="1051">
        <v>26</v>
      </c>
      <c r="S30" s="350"/>
      <c r="T30" s="1143"/>
      <c r="U30" s="349" t="s">
        <v>336</v>
      </c>
      <c r="V30" s="1049">
        <f t="shared" si="4"/>
        <v>26</v>
      </c>
      <c r="W30" s="314"/>
      <c r="X30" s="342"/>
      <c r="Y30" s="342"/>
      <c r="Z30" s="331"/>
      <c r="AA30" s="895" t="str">
        <f t="shared" si="9"/>
        <v>流动资产合计</v>
      </c>
      <c r="AB30" s="342"/>
    </row>
    <row r="31" spans="1:28" s="343" customFormat="1" ht="15.75" customHeight="1">
      <c r="A31" s="1135"/>
      <c r="B31" s="338" t="s">
        <v>864</v>
      </c>
      <c r="C31" s="1051">
        <v>27</v>
      </c>
      <c r="D31" s="356" t="s">
        <v>231</v>
      </c>
      <c r="E31" s="314" t="str">
        <f t="shared" si="1"/>
        <v>年初合并价差</v>
      </c>
      <c r="F31" s="1135"/>
      <c r="G31" s="353" t="s">
        <v>860</v>
      </c>
      <c r="H31" s="1049">
        <f t="shared" si="3"/>
        <v>81</v>
      </c>
      <c r="I31" s="345"/>
      <c r="J31" s="314"/>
      <c r="K31" s="1134"/>
      <c r="L31" s="879" t="s">
        <v>1055</v>
      </c>
      <c r="M31" s="1051">
        <v>27</v>
      </c>
      <c r="N31" s="341"/>
      <c r="O31" s="341"/>
      <c r="P31" s="1134"/>
      <c r="Q31" s="352" t="s">
        <v>847</v>
      </c>
      <c r="R31" s="1051">
        <v>27</v>
      </c>
      <c r="S31" s="350" t="s">
        <v>328</v>
      </c>
      <c r="T31" s="1143"/>
      <c r="U31" s="349" t="s">
        <v>337</v>
      </c>
      <c r="V31" s="1049">
        <f t="shared" si="4"/>
        <v>27</v>
      </c>
      <c r="W31" s="345" t="s">
        <v>332</v>
      </c>
      <c r="X31" s="342"/>
      <c r="Y31" s="342"/>
      <c r="Z31" s="331"/>
      <c r="AA31" s="896" t="str">
        <f t="shared" si="9"/>
        <v>非流动资产:</v>
      </c>
      <c r="AB31" s="342"/>
    </row>
    <row r="32" spans="1:28" s="343" customFormat="1" ht="15.75" customHeight="1">
      <c r="A32" s="1135"/>
      <c r="B32" s="973" t="s">
        <v>1148</v>
      </c>
      <c r="C32" s="1051">
        <v>28</v>
      </c>
      <c r="D32" s="351"/>
      <c r="E32" s="314"/>
      <c r="F32" s="1135"/>
      <c r="G32" s="339" t="s">
        <v>866</v>
      </c>
      <c r="H32" s="1049">
        <f t="shared" si="3"/>
        <v>82</v>
      </c>
      <c r="I32" s="349"/>
      <c r="J32" s="314">
        <f t="shared" si="2"/>
        <v>0</v>
      </c>
      <c r="K32" s="1134"/>
      <c r="L32" s="885" t="s">
        <v>1003</v>
      </c>
      <c r="M32" s="1051">
        <v>28</v>
      </c>
      <c r="N32" s="345" t="s">
        <v>28</v>
      </c>
      <c r="O32" s="341" t="str">
        <f t="shared" si="0"/>
        <v>上年营业外收入</v>
      </c>
      <c r="P32" s="1134"/>
      <c r="Q32" s="352" t="s">
        <v>319</v>
      </c>
      <c r="R32" s="1051">
        <v>28</v>
      </c>
      <c r="S32" s="347"/>
      <c r="T32" s="1143"/>
      <c r="U32" s="349" t="s">
        <v>30</v>
      </c>
      <c r="V32" s="1049">
        <f t="shared" si="4"/>
        <v>28</v>
      </c>
      <c r="W32" s="345" t="s">
        <v>333</v>
      </c>
      <c r="X32" s="342"/>
      <c r="Y32" s="342"/>
      <c r="Z32" s="331" t="s">
        <v>1156</v>
      </c>
      <c r="AA32" s="894" t="str">
        <f t="shared" ref="AA32:AA58" si="10">B32</f>
        <v>发放贷款及垫款</v>
      </c>
      <c r="AB32" s="342"/>
    </row>
    <row r="33" spans="1:28" s="343" customFormat="1" ht="15.75" customHeight="1">
      <c r="A33" s="1135"/>
      <c r="B33" s="877" t="s">
        <v>997</v>
      </c>
      <c r="C33" s="1051">
        <v>29</v>
      </c>
      <c r="D33" s="354"/>
      <c r="E33" s="314"/>
      <c r="F33" s="1135"/>
      <c r="G33" s="317" t="s">
        <v>871</v>
      </c>
      <c r="H33" s="1049">
        <f t="shared" si="3"/>
        <v>83</v>
      </c>
      <c r="I33" s="359"/>
      <c r="J33" s="314">
        <f t="shared" si="2"/>
        <v>0</v>
      </c>
      <c r="K33" s="1134"/>
      <c r="L33" s="818" t="s">
        <v>1007</v>
      </c>
      <c r="M33" s="1051">
        <v>29</v>
      </c>
      <c r="N33" s="345"/>
      <c r="O33" s="341"/>
      <c r="P33" s="1134"/>
      <c r="Q33" s="307" t="s">
        <v>318</v>
      </c>
      <c r="R33" s="1051">
        <v>29</v>
      </c>
      <c r="S33" s="352"/>
      <c r="T33" s="1143"/>
      <c r="V33" s="1049">
        <f t="shared" si="4"/>
        <v>29</v>
      </c>
      <c r="W33" s="345" t="s">
        <v>334</v>
      </c>
      <c r="X33" s="342"/>
      <c r="Y33" s="342"/>
      <c r="Z33" s="331" t="s">
        <v>1064</v>
      </c>
      <c r="AA33" s="894" t="str">
        <f t="shared" si="10"/>
        <v>债权投资</v>
      </c>
      <c r="AB33" s="342"/>
    </row>
    <row r="34" spans="1:28" s="343" customFormat="1" ht="15.75" customHeight="1">
      <c r="A34" s="1135"/>
      <c r="B34" s="874" t="s">
        <v>1043</v>
      </c>
      <c r="C34" s="1051">
        <v>30</v>
      </c>
      <c r="D34" s="356"/>
      <c r="E34" s="314">
        <f t="shared" si="1"/>
        <v>0</v>
      </c>
      <c r="F34" s="1135"/>
      <c r="G34" s="317" t="s">
        <v>876</v>
      </c>
      <c r="H34" s="1049">
        <f t="shared" si="3"/>
        <v>84</v>
      </c>
      <c r="I34" s="307"/>
      <c r="J34" s="314">
        <f t="shared" si="2"/>
        <v>0</v>
      </c>
      <c r="K34" s="1134"/>
      <c r="L34" s="879" t="s">
        <v>1180</v>
      </c>
      <c r="M34" s="1051">
        <v>30</v>
      </c>
      <c r="N34" s="345"/>
      <c r="O34" s="341"/>
      <c r="P34" s="1134"/>
      <c r="Q34" s="347" t="s">
        <v>993</v>
      </c>
      <c r="R34" s="1051">
        <v>30</v>
      </c>
      <c r="S34" s="352"/>
      <c r="T34" s="1143"/>
      <c r="U34" s="349"/>
      <c r="V34" s="1049">
        <f t="shared" si="4"/>
        <v>30</v>
      </c>
      <c r="W34" s="345" t="s">
        <v>37</v>
      </c>
      <c r="X34" s="342"/>
      <c r="Y34" s="342"/>
      <c r="Z34" s="331" t="s">
        <v>7</v>
      </c>
      <c r="AA34" s="894" t="str">
        <f t="shared" si="10"/>
        <v>可供出售金融资产</v>
      </c>
      <c r="AB34" s="342"/>
    </row>
    <row r="35" spans="1:28" s="343" customFormat="1" ht="15.75" customHeight="1">
      <c r="A35" s="1135"/>
      <c r="B35" s="877" t="s">
        <v>998</v>
      </c>
      <c r="C35" s="1051">
        <v>31</v>
      </c>
      <c r="D35" s="356"/>
      <c r="E35" s="314">
        <f t="shared" si="1"/>
        <v>0</v>
      </c>
      <c r="F35" s="1135"/>
      <c r="G35" s="554" t="s">
        <v>905</v>
      </c>
      <c r="H35" s="1049">
        <f t="shared" si="3"/>
        <v>85</v>
      </c>
      <c r="I35" s="307"/>
      <c r="J35" s="314">
        <f t="shared" si="2"/>
        <v>0</v>
      </c>
      <c r="K35" s="1134"/>
      <c r="L35" s="879" t="s">
        <v>1181</v>
      </c>
      <c r="M35" s="1051">
        <v>31</v>
      </c>
      <c r="N35" s="345"/>
      <c r="O35" s="341"/>
      <c r="P35" s="1134"/>
      <c r="Q35" s="347" t="s">
        <v>1185</v>
      </c>
      <c r="R35" s="1051">
        <v>31</v>
      </c>
      <c r="S35" s="307"/>
      <c r="T35" s="1143"/>
      <c r="U35" s="318" t="s">
        <v>36</v>
      </c>
      <c r="V35" s="1049">
        <f t="shared" si="4"/>
        <v>31</v>
      </c>
      <c r="W35" s="349"/>
      <c r="X35" s="342"/>
      <c r="Y35" s="342"/>
      <c r="Z35" s="331" t="s">
        <v>11</v>
      </c>
      <c r="AA35" s="894" t="str">
        <f t="shared" si="10"/>
        <v>其他债权投资</v>
      </c>
      <c r="AB35" s="342"/>
    </row>
    <row r="36" spans="1:28" s="343" customFormat="1" ht="15.75" customHeight="1">
      <c r="A36" s="1135"/>
      <c r="B36" s="874" t="s">
        <v>1044</v>
      </c>
      <c r="C36" s="1051">
        <v>32</v>
      </c>
      <c r="D36" s="314"/>
      <c r="E36" s="314">
        <f t="shared" si="1"/>
        <v>0</v>
      </c>
      <c r="F36" s="1135"/>
      <c r="G36" s="554" t="s">
        <v>901</v>
      </c>
      <c r="H36" s="1049">
        <f t="shared" si="3"/>
        <v>86</v>
      </c>
      <c r="I36" s="307" t="s">
        <v>252</v>
      </c>
      <c r="J36" s="314" t="str">
        <f t="shared" si="2"/>
        <v>年初递延税款贷项</v>
      </c>
      <c r="K36" s="1134"/>
      <c r="L36" s="818" t="s">
        <v>1008</v>
      </c>
      <c r="M36" s="1051">
        <v>32</v>
      </c>
      <c r="N36" s="345"/>
      <c r="O36" s="341"/>
      <c r="P36" s="1134"/>
      <c r="Q36" s="347" t="s">
        <v>867</v>
      </c>
      <c r="R36" s="1051">
        <v>32</v>
      </c>
      <c r="S36" s="350" t="s">
        <v>329</v>
      </c>
      <c r="T36" s="1143"/>
      <c r="U36" s="318" t="s">
        <v>41</v>
      </c>
      <c r="V36" s="1049">
        <f t="shared" si="4"/>
        <v>32</v>
      </c>
      <c r="W36" s="314"/>
      <c r="X36" s="342"/>
      <c r="Y36" s="342"/>
      <c r="Z36" s="331" t="s">
        <v>15</v>
      </c>
      <c r="AA36" s="894" t="str">
        <f t="shared" si="10"/>
        <v>持有至到期投资</v>
      </c>
      <c r="AB36" s="342"/>
    </row>
    <row r="37" spans="1:28" s="343" customFormat="1" ht="15.75" customHeight="1">
      <c r="A37" s="1135"/>
      <c r="B37" s="314" t="s">
        <v>880</v>
      </c>
      <c r="C37" s="1051">
        <v>33</v>
      </c>
      <c r="D37" s="314" t="s">
        <v>8</v>
      </c>
      <c r="E37" s="314" t="str">
        <f t="shared" si="1"/>
        <v>年初固定资产</v>
      </c>
      <c r="F37" s="1135"/>
      <c r="G37" s="884" t="s">
        <v>1050</v>
      </c>
      <c r="H37" s="1049">
        <f t="shared" si="3"/>
        <v>87</v>
      </c>
      <c r="I37" s="315"/>
      <c r="J37" s="314">
        <f t="shared" si="2"/>
        <v>0</v>
      </c>
      <c r="K37" s="1134"/>
      <c r="L37" s="314" t="s">
        <v>884</v>
      </c>
      <c r="M37" s="1051">
        <v>33</v>
      </c>
      <c r="N37" s="345"/>
      <c r="O37" s="341"/>
      <c r="P37" s="1134"/>
      <c r="Q37" s="347" t="s">
        <v>873</v>
      </c>
      <c r="R37" s="1051">
        <v>33</v>
      </c>
      <c r="S37" s="350" t="s">
        <v>330</v>
      </c>
      <c r="T37" s="1143"/>
      <c r="U37" s="318" t="s">
        <v>338</v>
      </c>
      <c r="V37" s="1049">
        <f t="shared" si="4"/>
        <v>33</v>
      </c>
      <c r="W37" s="314" t="s">
        <v>48</v>
      </c>
      <c r="X37" s="342"/>
      <c r="Y37" s="342"/>
      <c r="Z37" s="331" t="s">
        <v>21</v>
      </c>
      <c r="AA37" s="894" t="str">
        <f t="shared" si="10"/>
        <v>长期应收款</v>
      </c>
      <c r="AB37" s="342"/>
    </row>
    <row r="38" spans="1:28" s="343" customFormat="1" ht="15.75" customHeight="1">
      <c r="A38" s="1135"/>
      <c r="B38" s="314" t="s">
        <v>899</v>
      </c>
      <c r="C38" s="1051">
        <v>34</v>
      </c>
      <c r="D38" s="314" t="s">
        <v>51</v>
      </c>
      <c r="E38" s="314" t="str">
        <f t="shared" si="1"/>
        <v>年初累计折旧</v>
      </c>
      <c r="F38" s="1135"/>
      <c r="G38" s="883" t="s">
        <v>881</v>
      </c>
      <c r="H38" s="1049">
        <f t="shared" si="3"/>
        <v>88</v>
      </c>
      <c r="I38" s="352"/>
      <c r="J38" s="314">
        <f t="shared" si="2"/>
        <v>0</v>
      </c>
      <c r="K38" s="1134"/>
      <c r="L38" s="626" t="s">
        <v>3</v>
      </c>
      <c r="M38" s="1051">
        <v>34</v>
      </c>
      <c r="N38" s="345"/>
      <c r="O38" s="341"/>
      <c r="P38" s="1134"/>
      <c r="Q38" s="347" t="s">
        <v>877</v>
      </c>
      <c r="R38" s="1051">
        <v>34</v>
      </c>
      <c r="S38" s="350" t="s">
        <v>331</v>
      </c>
      <c r="T38" s="1143"/>
      <c r="U38" s="318" t="s">
        <v>339</v>
      </c>
      <c r="V38" s="1049">
        <f t="shared" si="4"/>
        <v>34</v>
      </c>
      <c r="W38" s="314" t="s">
        <v>55</v>
      </c>
      <c r="X38" s="342"/>
      <c r="Y38" s="342"/>
      <c r="Z38" s="331" t="s">
        <v>1014</v>
      </c>
      <c r="AA38" s="894" t="str">
        <f t="shared" si="10"/>
        <v>设定受益计划净资产</v>
      </c>
      <c r="AB38" s="342"/>
    </row>
    <row r="39" spans="1:28" s="343" customFormat="1" ht="15.75" customHeight="1">
      <c r="A39" s="1135"/>
      <c r="B39" s="314" t="s">
        <v>883</v>
      </c>
      <c r="C39" s="1051">
        <v>35</v>
      </c>
      <c r="D39" s="314"/>
      <c r="E39" s="314">
        <f t="shared" si="1"/>
        <v>0</v>
      </c>
      <c r="F39" s="1135"/>
      <c r="G39" s="317" t="s">
        <v>902</v>
      </c>
      <c r="H39" s="1049">
        <f t="shared" si="3"/>
        <v>89</v>
      </c>
      <c r="I39" s="315"/>
      <c r="J39" s="314">
        <f t="shared" si="2"/>
        <v>0</v>
      </c>
      <c r="K39" s="1134"/>
      <c r="L39" s="626" t="s">
        <v>984</v>
      </c>
      <c r="M39" s="1051">
        <v>35</v>
      </c>
      <c r="N39" s="345"/>
      <c r="O39" s="341">
        <f t="shared" si="0"/>
        <v>0</v>
      </c>
      <c r="P39" s="1134"/>
      <c r="Q39" s="347"/>
      <c r="R39" s="1051">
        <v>35</v>
      </c>
      <c r="S39" s="347"/>
      <c r="T39" s="1143"/>
      <c r="U39" s="318" t="s">
        <v>54</v>
      </c>
      <c r="V39" s="1049">
        <f t="shared" si="4"/>
        <v>35</v>
      </c>
      <c r="W39" s="314" t="s">
        <v>345</v>
      </c>
      <c r="X39" s="342"/>
      <c r="Y39" s="342"/>
      <c r="Z39" s="331" t="s">
        <v>1015</v>
      </c>
      <c r="AA39" s="894" t="str">
        <f t="shared" si="10"/>
        <v>长期股权投资</v>
      </c>
      <c r="AB39" s="342"/>
    </row>
    <row r="40" spans="1:28" s="343" customFormat="1" ht="15.75" customHeight="1">
      <c r="A40" s="1135"/>
      <c r="B40" s="877" t="s">
        <v>999</v>
      </c>
      <c r="C40" s="1051">
        <v>36</v>
      </c>
      <c r="D40" s="314" t="s">
        <v>57</v>
      </c>
      <c r="E40" s="314" t="str">
        <f t="shared" si="1"/>
        <v>年初固定资产减值准备</v>
      </c>
      <c r="F40" s="1135"/>
      <c r="G40" s="883" t="s">
        <v>850</v>
      </c>
      <c r="H40" s="1049">
        <f t="shared" si="3"/>
        <v>90</v>
      </c>
      <c r="I40" s="307" t="s">
        <v>224</v>
      </c>
      <c r="J40" s="314" t="str">
        <f t="shared" si="2"/>
        <v>年初少数股东权益</v>
      </c>
      <c r="K40" s="1134"/>
      <c r="L40" s="318" t="s">
        <v>40</v>
      </c>
      <c r="M40" s="1051">
        <v>36</v>
      </c>
      <c r="N40" s="341" t="s">
        <v>58</v>
      </c>
      <c r="O40" s="341" t="str">
        <f t="shared" si="0"/>
        <v>上年营业外支出</v>
      </c>
      <c r="P40" s="1134"/>
      <c r="Q40" s="352" t="s">
        <v>0</v>
      </c>
      <c r="R40" s="1051">
        <v>36</v>
      </c>
      <c r="S40" s="352"/>
      <c r="T40" s="1143"/>
      <c r="U40" s="314"/>
      <c r="V40" s="1049">
        <f t="shared" si="4"/>
        <v>36</v>
      </c>
      <c r="W40" s="314" t="s">
        <v>60</v>
      </c>
      <c r="X40" s="342"/>
      <c r="Y40" s="342"/>
      <c r="Z40" s="331" t="s">
        <v>31</v>
      </c>
      <c r="AA40" s="894" t="str">
        <f t="shared" si="10"/>
        <v>其他权益工具投资</v>
      </c>
      <c r="AB40" s="342"/>
    </row>
    <row r="41" spans="1:28" s="343" customFormat="1" ht="15.75" customHeight="1">
      <c r="A41" s="1135"/>
      <c r="B41" s="877" t="s">
        <v>1000</v>
      </c>
      <c r="C41" s="1051">
        <v>37</v>
      </c>
      <c r="D41" s="314"/>
      <c r="E41" s="314">
        <f t="shared" si="1"/>
        <v>0</v>
      </c>
      <c r="F41" s="1135"/>
      <c r="G41" s="317" t="s">
        <v>903</v>
      </c>
      <c r="H41" s="1049">
        <f t="shared" si="3"/>
        <v>91</v>
      </c>
      <c r="I41" s="315"/>
      <c r="J41" s="314">
        <f t="shared" si="2"/>
        <v>0</v>
      </c>
      <c r="K41" s="1134"/>
      <c r="L41" s="626" t="s">
        <v>985</v>
      </c>
      <c r="M41" s="1051">
        <v>37</v>
      </c>
      <c r="N41" s="341"/>
      <c r="O41" s="341"/>
      <c r="P41" s="1134"/>
      <c r="Q41" s="347" t="s">
        <v>5</v>
      </c>
      <c r="R41" s="1051">
        <v>37</v>
      </c>
      <c r="S41" s="350" t="s">
        <v>61</v>
      </c>
      <c r="T41" s="1143"/>
      <c r="U41" s="314"/>
      <c r="V41" s="1049">
        <f t="shared" si="4"/>
        <v>37</v>
      </c>
      <c r="W41" s="314"/>
      <c r="X41" s="342"/>
      <c r="Y41" s="342"/>
      <c r="Z41" s="331" t="s">
        <v>33</v>
      </c>
      <c r="AA41" s="894" t="str">
        <f t="shared" si="10"/>
        <v>其他非流动金融资产</v>
      </c>
      <c r="AB41" s="342"/>
    </row>
    <row r="42" spans="1:28" s="343" customFormat="1" ht="15.75" customHeight="1">
      <c r="A42" s="1135"/>
      <c r="B42" s="314" t="s">
        <v>2</v>
      </c>
      <c r="C42" s="1051">
        <v>38</v>
      </c>
      <c r="D42" s="314" t="s">
        <v>265</v>
      </c>
      <c r="E42" s="314" t="str">
        <f t="shared" si="1"/>
        <v>年初固定资产清理</v>
      </c>
      <c r="F42" s="1135"/>
      <c r="G42" s="317" t="s">
        <v>9</v>
      </c>
      <c r="H42" s="1049">
        <f t="shared" si="3"/>
        <v>92</v>
      </c>
      <c r="I42" s="307"/>
      <c r="J42" s="314">
        <f t="shared" si="2"/>
        <v>0</v>
      </c>
      <c r="K42" s="1134"/>
      <c r="L42" s="318"/>
      <c r="M42" s="1051">
        <v>38</v>
      </c>
      <c r="N42" s="341"/>
      <c r="O42" s="341"/>
      <c r="P42" s="1134"/>
      <c r="Q42" s="347" t="s">
        <v>10</v>
      </c>
      <c r="R42" s="1051">
        <v>38</v>
      </c>
      <c r="S42" s="350" t="s">
        <v>62</v>
      </c>
      <c r="T42" s="1143"/>
      <c r="U42" s="318"/>
      <c r="V42" s="1049">
        <f t="shared" si="4"/>
        <v>38</v>
      </c>
      <c r="W42" s="314"/>
      <c r="X42" s="342"/>
      <c r="Y42" s="342"/>
      <c r="Z42" s="331" t="s">
        <v>38</v>
      </c>
      <c r="AA42" s="894" t="str">
        <f t="shared" si="10"/>
        <v>投资性房地产</v>
      </c>
      <c r="AB42" s="342"/>
    </row>
    <row r="43" spans="1:28" s="343" customFormat="1" ht="15.75" customHeight="1">
      <c r="A43" s="1135"/>
      <c r="B43" s="878" t="s">
        <v>8</v>
      </c>
      <c r="C43" s="1051">
        <v>39</v>
      </c>
      <c r="D43" s="351" t="s">
        <v>292</v>
      </c>
      <c r="E43" s="314" t="str">
        <f t="shared" si="1"/>
        <v>年初工程物资</v>
      </c>
      <c r="F43" s="1135"/>
      <c r="G43" s="883" t="s">
        <v>12</v>
      </c>
      <c r="H43" s="1049">
        <f t="shared" si="3"/>
        <v>93</v>
      </c>
      <c r="I43" s="307" t="str">
        <f>IF(说明!E28="股份有限公司","股本",IF(说明!E28="非股份有限公司","实收资本",""))</f>
        <v>股本</v>
      </c>
      <c r="J43" s="314" t="str">
        <f t="shared" si="2"/>
        <v>年初股本</v>
      </c>
      <c r="K43" s="1134"/>
      <c r="L43" s="318" t="s">
        <v>52</v>
      </c>
      <c r="M43" s="1051">
        <v>39</v>
      </c>
      <c r="N43" s="341"/>
      <c r="O43" s="341"/>
      <c r="P43" s="1134"/>
      <c r="Q43" s="1046" t="s">
        <v>1179</v>
      </c>
      <c r="R43" s="1051">
        <v>39</v>
      </c>
      <c r="S43" s="350" t="s">
        <v>321</v>
      </c>
      <c r="T43" s="1143"/>
      <c r="U43" s="318"/>
      <c r="V43" s="1049">
        <f t="shared" si="4"/>
        <v>39</v>
      </c>
      <c r="W43" s="314"/>
      <c r="X43" s="342"/>
      <c r="Y43" s="342"/>
      <c r="Z43" s="331" t="s">
        <v>42</v>
      </c>
      <c r="AA43" s="894" t="str">
        <f t="shared" si="10"/>
        <v>固定资产</v>
      </c>
      <c r="AB43" s="342"/>
    </row>
    <row r="44" spans="1:28" s="343" customFormat="1" ht="15.75" customHeight="1">
      <c r="A44" s="1135"/>
      <c r="B44" s="878" t="s">
        <v>248</v>
      </c>
      <c r="C44" s="1051">
        <v>40</v>
      </c>
      <c r="D44" s="351" t="s">
        <v>248</v>
      </c>
      <c r="E44" s="314" t="str">
        <f t="shared" si="1"/>
        <v>年初在建工程</v>
      </c>
      <c r="F44" s="1135"/>
      <c r="G44" s="353" t="s">
        <v>24</v>
      </c>
      <c r="H44" s="1049">
        <f t="shared" si="3"/>
        <v>94</v>
      </c>
      <c r="I44" s="307" t="s">
        <v>235</v>
      </c>
      <c r="J44" s="314" t="str">
        <f t="shared" si="2"/>
        <v>年初国家资本</v>
      </c>
      <c r="K44" s="1134"/>
      <c r="L44" s="815" t="s">
        <v>964</v>
      </c>
      <c r="M44" s="1051">
        <v>40</v>
      </c>
      <c r="N44" s="341"/>
      <c r="O44" s="341"/>
      <c r="P44" s="1134"/>
      <c r="Q44" s="347" t="s">
        <v>992</v>
      </c>
      <c r="R44" s="1051">
        <v>40</v>
      </c>
      <c r="S44" s="347"/>
      <c r="T44" s="1143"/>
      <c r="U44" s="314"/>
      <c r="V44" s="1049">
        <f t="shared" si="4"/>
        <v>40</v>
      </c>
      <c r="W44" s="314"/>
      <c r="X44" s="342"/>
      <c r="Y44" s="342"/>
      <c r="Z44" s="331" t="s">
        <v>45</v>
      </c>
      <c r="AA44" s="894" t="str">
        <f t="shared" si="10"/>
        <v>在建工程</v>
      </c>
      <c r="AB44" s="342"/>
    </row>
    <row r="45" spans="1:28" s="343" customFormat="1" ht="15.75" customHeight="1">
      <c r="A45" s="1135"/>
      <c r="B45" s="307" t="s">
        <v>23</v>
      </c>
      <c r="C45" s="1051">
        <v>41</v>
      </c>
      <c r="D45" s="351" t="s">
        <v>65</v>
      </c>
      <c r="E45" s="314" t="str">
        <f t="shared" si="1"/>
        <v>年初待处理固定资产净损失</v>
      </c>
      <c r="F45" s="1135"/>
      <c r="G45" s="353" t="s">
        <v>27</v>
      </c>
      <c r="H45" s="1049">
        <f t="shared" si="3"/>
        <v>95</v>
      </c>
      <c r="I45" s="307" t="s">
        <v>236</v>
      </c>
      <c r="J45" s="314" t="str">
        <f t="shared" si="2"/>
        <v>年初集体资本</v>
      </c>
      <c r="K45" s="1134"/>
      <c r="L45" s="816" t="s">
        <v>1052</v>
      </c>
      <c r="M45" s="1051">
        <v>41</v>
      </c>
      <c r="N45" s="341" t="s">
        <v>243</v>
      </c>
      <c r="O45" s="341" t="str">
        <f t="shared" si="0"/>
        <v>上年其他支出</v>
      </c>
      <c r="P45" s="1134"/>
      <c r="Q45" s="347" t="s">
        <v>19</v>
      </c>
      <c r="R45" s="1051">
        <v>41</v>
      </c>
      <c r="S45" s="315"/>
      <c r="T45" s="1143"/>
      <c r="U45" s="314"/>
      <c r="V45" s="1049">
        <f t="shared" si="4"/>
        <v>41</v>
      </c>
      <c r="W45" s="314"/>
      <c r="X45" s="342"/>
      <c r="Y45" s="342"/>
      <c r="Z45" s="331" t="s">
        <v>49</v>
      </c>
      <c r="AA45" s="894" t="str">
        <f t="shared" si="10"/>
        <v xml:space="preserve">生产性生物资产 </v>
      </c>
      <c r="AB45" s="342"/>
    </row>
    <row r="46" spans="1:28" s="343" customFormat="1" ht="15.75" customHeight="1">
      <c r="A46" s="1135"/>
      <c r="B46" s="307" t="s">
        <v>26</v>
      </c>
      <c r="C46" s="1051">
        <v>42</v>
      </c>
      <c r="D46" s="351"/>
      <c r="E46" s="314"/>
      <c r="F46" s="1135"/>
      <c r="G46" s="339" t="str">
        <f>IF(说明!E28="股份有限公司","股东权益：",IF(说明!E28="非股份有限公司","所有者权益：",""))</f>
        <v>股东权益：</v>
      </c>
      <c r="H46" s="1049">
        <f t="shared" si="3"/>
        <v>96</v>
      </c>
      <c r="I46" s="307" t="s">
        <v>66</v>
      </c>
      <c r="J46" s="314" t="str">
        <f t="shared" si="2"/>
        <v>年初法人资本</v>
      </c>
      <c r="K46" s="1134"/>
      <c r="L46" s="816" t="s">
        <v>1051</v>
      </c>
      <c r="M46" s="1051">
        <v>42</v>
      </c>
      <c r="N46" s="341"/>
      <c r="O46" s="341"/>
      <c r="P46" s="1134"/>
      <c r="Q46" s="347"/>
      <c r="R46" s="1051">
        <v>42</v>
      </c>
      <c r="S46" s="307"/>
      <c r="T46" s="1143"/>
      <c r="U46" s="314"/>
      <c r="V46" s="1049">
        <f t="shared" si="4"/>
        <v>42</v>
      </c>
      <c r="W46" s="314"/>
      <c r="X46" s="342"/>
      <c r="Y46" s="342"/>
      <c r="Z46" s="331" t="s">
        <v>1065</v>
      </c>
      <c r="AA46" s="894" t="str">
        <f t="shared" si="10"/>
        <v>油气资产</v>
      </c>
      <c r="AB46" s="342"/>
    </row>
    <row r="47" spans="1:28" s="343" customFormat="1" ht="15.75" customHeight="1">
      <c r="A47" s="1135"/>
      <c r="B47" s="879" t="s">
        <v>1049</v>
      </c>
      <c r="C47" s="1051">
        <v>43</v>
      </c>
      <c r="D47" s="354"/>
      <c r="E47" s="314">
        <f t="shared" si="1"/>
        <v>0</v>
      </c>
      <c r="F47" s="1135"/>
      <c r="G47" s="358" t="str">
        <f>IF(说明!E28="股份有限公司","股本",IF(说明!E28="非股份有限公司","实收资本",""))</f>
        <v>股本</v>
      </c>
      <c r="H47" s="1049">
        <f t="shared" si="3"/>
        <v>97</v>
      </c>
      <c r="I47" s="307" t="s">
        <v>237</v>
      </c>
      <c r="J47" s="314"/>
      <c r="K47" s="1134"/>
      <c r="L47" s="817" t="s">
        <v>965</v>
      </c>
      <c r="M47" s="1051">
        <v>43</v>
      </c>
      <c r="N47" s="349"/>
      <c r="O47" s="341">
        <f t="shared" si="0"/>
        <v>0</v>
      </c>
      <c r="P47" s="1134"/>
      <c r="Q47" s="352" t="s">
        <v>25</v>
      </c>
      <c r="R47" s="1051">
        <v>43</v>
      </c>
      <c r="S47" s="307"/>
      <c r="T47" s="1143"/>
      <c r="U47" s="314"/>
      <c r="V47" s="1049">
        <f t="shared" si="4"/>
        <v>43</v>
      </c>
      <c r="W47" s="314"/>
      <c r="X47" s="342"/>
      <c r="Y47" s="342"/>
      <c r="Z47" s="331" t="s">
        <v>1066</v>
      </c>
      <c r="AA47" s="894" t="str">
        <f t="shared" si="10"/>
        <v>使用权资产</v>
      </c>
      <c r="AB47" s="342"/>
    </row>
    <row r="48" spans="1:28" s="343" customFormat="1" ht="15.75" customHeight="1">
      <c r="A48" s="1135"/>
      <c r="B48" s="307" t="s">
        <v>249</v>
      </c>
      <c r="C48" s="1051">
        <v>44</v>
      </c>
      <c r="D48" s="360"/>
      <c r="E48" s="314">
        <f t="shared" si="1"/>
        <v>0</v>
      </c>
      <c r="F48" s="1135"/>
      <c r="G48" s="358" t="s">
        <v>904</v>
      </c>
      <c r="H48" s="1049">
        <f t="shared" si="3"/>
        <v>98</v>
      </c>
      <c r="I48" s="307" t="s">
        <v>238</v>
      </c>
      <c r="J48" s="314"/>
      <c r="K48" s="1134"/>
      <c r="L48" s="816" t="s">
        <v>1053</v>
      </c>
      <c r="M48" s="1051">
        <v>44</v>
      </c>
      <c r="N48" s="341"/>
      <c r="O48" s="341">
        <f t="shared" si="0"/>
        <v>0</v>
      </c>
      <c r="P48" s="1134"/>
      <c r="Q48" s="352" t="s">
        <v>29</v>
      </c>
      <c r="R48" s="1051">
        <v>44</v>
      </c>
      <c r="S48" s="352"/>
      <c r="T48" s="1143"/>
      <c r="U48" s="314"/>
      <c r="V48" s="1049">
        <f>V47+1</f>
        <v>44</v>
      </c>
      <c r="W48" s="314"/>
      <c r="X48" s="342"/>
      <c r="Y48" s="342"/>
      <c r="Z48" s="331" t="s">
        <v>1067</v>
      </c>
      <c r="AA48" s="894" t="str">
        <f t="shared" si="10"/>
        <v>无形资产</v>
      </c>
      <c r="AB48" s="342"/>
    </row>
    <row r="49" spans="1:28" s="343" customFormat="1" ht="15.75" customHeight="1">
      <c r="A49" s="1135"/>
      <c r="B49" s="307" t="s">
        <v>34</v>
      </c>
      <c r="C49" s="1051">
        <v>45</v>
      </c>
      <c r="D49" s="314"/>
      <c r="E49" s="314">
        <f t="shared" si="1"/>
        <v>0</v>
      </c>
      <c r="F49" s="1135"/>
      <c r="G49" s="554" t="s">
        <v>905</v>
      </c>
      <c r="H49" s="1049">
        <f t="shared" si="3"/>
        <v>99</v>
      </c>
      <c r="I49" s="307" t="s">
        <v>239</v>
      </c>
      <c r="J49" s="314" t="str">
        <f t="shared" si="2"/>
        <v>年初个人资本</v>
      </c>
      <c r="K49" s="1134"/>
      <c r="L49" s="816" t="s">
        <v>1054</v>
      </c>
      <c r="M49" s="1051">
        <v>45</v>
      </c>
      <c r="N49" s="341"/>
      <c r="O49" s="341">
        <f t="shared" si="0"/>
        <v>0</v>
      </c>
      <c r="P49" s="1134"/>
      <c r="Q49" s="307" t="s">
        <v>32</v>
      </c>
      <c r="R49" s="1051">
        <v>45</v>
      </c>
      <c r="S49" s="352"/>
      <c r="T49" s="1143"/>
      <c r="U49" s="318"/>
      <c r="V49" s="1049">
        <f>V48+1</f>
        <v>45</v>
      </c>
      <c r="W49" s="314"/>
      <c r="X49" s="342"/>
      <c r="Y49" s="342"/>
      <c r="Z49" s="331" t="s">
        <v>1068</v>
      </c>
      <c r="AA49" s="894" t="str">
        <f t="shared" si="10"/>
        <v>开发支出</v>
      </c>
      <c r="AB49" s="342"/>
    </row>
    <row r="50" spans="1:28" s="343" customFormat="1" ht="15.75" customHeight="1">
      <c r="A50" s="1135"/>
      <c r="B50" s="307" t="s">
        <v>39</v>
      </c>
      <c r="C50" s="1051">
        <v>46</v>
      </c>
      <c r="D50" s="351" t="s">
        <v>249</v>
      </c>
      <c r="E50" s="314" t="str">
        <f t="shared" si="1"/>
        <v>年初无形资产</v>
      </c>
      <c r="F50" s="1135"/>
      <c r="G50" s="554" t="s">
        <v>906</v>
      </c>
      <c r="H50" s="1049">
        <f t="shared" si="3"/>
        <v>100</v>
      </c>
      <c r="I50" s="307" t="s">
        <v>240</v>
      </c>
      <c r="J50" s="314" t="str">
        <f t="shared" si="2"/>
        <v>年初外商资本</v>
      </c>
      <c r="K50" s="1134"/>
      <c r="L50" s="315" t="s">
        <v>908</v>
      </c>
      <c r="M50" s="1051">
        <v>46</v>
      </c>
      <c r="N50" s="341" t="s">
        <v>73</v>
      </c>
      <c r="O50" s="341" t="str">
        <f t="shared" si="0"/>
        <v>上年所得税</v>
      </c>
      <c r="P50" s="1134"/>
      <c r="Q50" s="347" t="s">
        <v>35</v>
      </c>
      <c r="R50" s="1051">
        <v>46</v>
      </c>
      <c r="S50" s="307" t="s">
        <v>74</v>
      </c>
      <c r="T50" s="1143"/>
      <c r="U50" s="378" t="s">
        <v>71</v>
      </c>
      <c r="V50" s="1049">
        <f>V49+1</f>
        <v>46</v>
      </c>
      <c r="W50" s="314"/>
      <c r="X50" s="342"/>
      <c r="Y50" s="342"/>
      <c r="Z50" s="331" t="s">
        <v>1069</v>
      </c>
      <c r="AA50" s="894" t="str">
        <f t="shared" si="10"/>
        <v>商誉</v>
      </c>
      <c r="AB50" s="342"/>
    </row>
    <row r="51" spans="1:28" ht="15.75" customHeight="1">
      <c r="A51" s="1135"/>
      <c r="B51" s="307" t="s">
        <v>43</v>
      </c>
      <c r="C51" s="1051">
        <v>47</v>
      </c>
      <c r="D51" s="554" t="s">
        <v>232</v>
      </c>
      <c r="E51" s="554"/>
      <c r="F51" s="1135"/>
      <c r="G51" s="307" t="s">
        <v>266</v>
      </c>
      <c r="H51" s="1049">
        <f t="shared" si="3"/>
        <v>101</v>
      </c>
      <c r="I51" s="553" t="s">
        <v>76</v>
      </c>
      <c r="J51" s="554" t="str">
        <f t="shared" si="2"/>
        <v>年初资本公积</v>
      </c>
      <c r="K51" s="1134"/>
      <c r="L51" s="318" t="s">
        <v>909</v>
      </c>
      <c r="M51" s="1051">
        <v>47</v>
      </c>
      <c r="N51" s="555" t="s">
        <v>225</v>
      </c>
      <c r="O51" s="556" t="str">
        <f t="shared" si="0"/>
        <v>上年少数股东收益</v>
      </c>
      <c r="P51" s="1134"/>
      <c r="Q51" s="347" t="s">
        <v>1186</v>
      </c>
      <c r="R51" s="1051">
        <v>47</v>
      </c>
      <c r="S51" s="553"/>
      <c r="T51" s="1143"/>
      <c r="U51" s="343"/>
      <c r="V51" s="1076"/>
      <c r="W51" s="557"/>
      <c r="X51" s="628"/>
      <c r="Y51" s="628"/>
      <c r="Z51" s="331" t="s">
        <v>1070</v>
      </c>
      <c r="AA51" s="894" t="str">
        <f t="shared" si="10"/>
        <v>长期待摊费用</v>
      </c>
      <c r="AB51" s="628"/>
    </row>
    <row r="52" spans="1:28" ht="15.75" customHeight="1">
      <c r="A52" s="1135"/>
      <c r="B52" s="307" t="s">
        <v>46</v>
      </c>
      <c r="C52" s="1051">
        <v>48</v>
      </c>
      <c r="D52" s="554" t="s">
        <v>347</v>
      </c>
      <c r="E52" s="554" t="str">
        <f t="shared" si="1"/>
        <v>年初长期待摊费用</v>
      </c>
      <c r="F52" s="1135"/>
      <c r="G52" s="317" t="s">
        <v>1083</v>
      </c>
      <c r="H52" s="1049">
        <f t="shared" si="3"/>
        <v>102</v>
      </c>
      <c r="I52" s="553" t="s">
        <v>77</v>
      </c>
      <c r="J52" s="554" t="str">
        <f t="shared" si="2"/>
        <v>年初盈余公积━法定或任意公积</v>
      </c>
      <c r="K52" s="1134"/>
      <c r="L52" s="815" t="s">
        <v>988</v>
      </c>
      <c r="M52" s="1051">
        <v>48</v>
      </c>
      <c r="N52" s="555"/>
      <c r="O52" s="556"/>
      <c r="P52" s="1134"/>
      <c r="Q52" s="347" t="s">
        <v>44</v>
      </c>
      <c r="R52" s="1051">
        <v>48</v>
      </c>
      <c r="S52" s="559"/>
      <c r="T52" s="1143"/>
      <c r="U52" s="343"/>
      <c r="V52" s="1076"/>
      <c r="W52" s="557"/>
      <c r="X52" s="628"/>
      <c r="Y52" s="628"/>
      <c r="Z52" s="331" t="s">
        <v>1071</v>
      </c>
      <c r="AA52" s="894" t="str">
        <f t="shared" si="10"/>
        <v>递延所得税资产</v>
      </c>
      <c r="AB52" s="628"/>
    </row>
    <row r="53" spans="1:28" ht="15.75" customHeight="1">
      <c r="A53" s="1135"/>
      <c r="B53" s="878" t="s">
        <v>50</v>
      </c>
      <c r="C53" s="1051">
        <v>49</v>
      </c>
      <c r="D53" s="554" t="s">
        <v>79</v>
      </c>
      <c r="E53" s="554"/>
      <c r="F53" s="1135"/>
      <c r="G53" s="307" t="s">
        <v>907</v>
      </c>
      <c r="H53" s="1049">
        <f t="shared" si="3"/>
        <v>103</v>
      </c>
      <c r="I53" s="553" t="s">
        <v>80</v>
      </c>
      <c r="J53" s="554" t="str">
        <f t="shared" si="2"/>
        <v>年初盈余公积━法定公益金</v>
      </c>
      <c r="K53" s="1134"/>
      <c r="L53" s="816" t="s">
        <v>986</v>
      </c>
      <c r="M53" s="1051">
        <v>49</v>
      </c>
      <c r="N53" s="556"/>
      <c r="O53" s="556">
        <f t="shared" si="0"/>
        <v>0</v>
      </c>
      <c r="P53" s="1134"/>
      <c r="Q53" s="347" t="s">
        <v>47</v>
      </c>
      <c r="R53" s="1051">
        <v>49</v>
      </c>
      <c r="S53" s="559"/>
      <c r="T53" s="1143"/>
      <c r="U53" s="343"/>
      <c r="V53" s="1076"/>
      <c r="W53" s="557"/>
      <c r="X53" s="628"/>
      <c r="Y53" s="628"/>
      <c r="Z53" s="331" t="s">
        <v>1072</v>
      </c>
      <c r="AA53" s="894" t="str">
        <f t="shared" si="10"/>
        <v>其他非流动资产</v>
      </c>
      <c r="AB53" s="628"/>
    </row>
    <row r="54" spans="1:28" ht="15.75" customHeight="1">
      <c r="A54" s="1135"/>
      <c r="B54" s="343"/>
      <c r="C54" s="1051">
        <v>50</v>
      </c>
      <c r="D54" s="554" t="s">
        <v>82</v>
      </c>
      <c r="E54" s="554"/>
      <c r="F54" s="1135"/>
      <c r="G54" s="882" t="s">
        <v>895</v>
      </c>
      <c r="H54" s="1049">
        <f t="shared" si="3"/>
        <v>104</v>
      </c>
      <c r="I54" s="553" t="s">
        <v>83</v>
      </c>
      <c r="J54" s="554" t="str">
        <f t="shared" si="2"/>
        <v>年初未确认的投资损失</v>
      </c>
      <c r="K54" s="1134"/>
      <c r="L54" s="816" t="s">
        <v>987</v>
      </c>
      <c r="M54" s="1051">
        <v>50</v>
      </c>
      <c r="N54" s="556" t="s">
        <v>84</v>
      </c>
      <c r="O54" s="556" t="str">
        <f t="shared" si="0"/>
        <v>上年年初未分配利润</v>
      </c>
      <c r="P54" s="1134"/>
      <c r="Q54" s="347"/>
      <c r="R54" s="1051">
        <v>50</v>
      </c>
      <c r="S54" s="559"/>
      <c r="T54" s="1144"/>
      <c r="U54" s="343"/>
      <c r="V54" s="1076"/>
      <c r="W54" s="557"/>
      <c r="X54" s="628"/>
      <c r="Y54" s="628"/>
      <c r="Z54" s="331" t="s">
        <v>1073</v>
      </c>
      <c r="AA54" s="894">
        <f t="shared" si="10"/>
        <v>0</v>
      </c>
      <c r="AB54" s="628"/>
    </row>
    <row r="55" spans="1:28" s="343" customFormat="1">
      <c r="A55" s="362"/>
      <c r="C55" s="1051">
        <v>51</v>
      </c>
      <c r="D55" s="351" t="s">
        <v>86</v>
      </c>
      <c r="E55" s="314" t="str">
        <f t="shared" si="1"/>
        <v>年初其他长期资产</v>
      </c>
      <c r="F55" s="363"/>
      <c r="G55" s="317" t="s">
        <v>267</v>
      </c>
      <c r="H55" s="1049">
        <f t="shared" si="3"/>
        <v>105</v>
      </c>
      <c r="I55" s="359" t="s">
        <v>87</v>
      </c>
      <c r="J55" s="314" t="str">
        <f t="shared" si="2"/>
        <v>年初未分配利润</v>
      </c>
      <c r="K55" s="364"/>
      <c r="L55" s="886" t="s">
        <v>1004</v>
      </c>
      <c r="M55" s="1051">
        <v>51</v>
      </c>
      <c r="N55" s="345" t="s">
        <v>88</v>
      </c>
      <c r="O55" s="341" t="str">
        <f t="shared" si="0"/>
        <v>上年盈余公积金转入数</v>
      </c>
      <c r="P55" s="364"/>
      <c r="Q55" s="352" t="s">
        <v>53</v>
      </c>
      <c r="R55" s="1051">
        <v>51</v>
      </c>
      <c r="S55" s="359"/>
      <c r="T55" s="364"/>
      <c r="V55" s="1076"/>
      <c r="W55" s="361"/>
      <c r="X55" s="342"/>
      <c r="Y55" s="342"/>
      <c r="Z55" s="331" t="s">
        <v>1074</v>
      </c>
      <c r="AA55" s="894">
        <f t="shared" si="10"/>
        <v>0</v>
      </c>
    </row>
    <row r="56" spans="1:28" s="343" customFormat="1">
      <c r="A56" s="362"/>
      <c r="C56" s="1051">
        <v>52</v>
      </c>
      <c r="D56" s="351" t="s">
        <v>234</v>
      </c>
      <c r="E56" s="314"/>
      <c r="F56" s="363"/>
      <c r="G56" s="974" t="s">
        <v>1149</v>
      </c>
      <c r="H56" s="1049">
        <f>H55+1</f>
        <v>106</v>
      </c>
      <c r="I56" s="359" t="s">
        <v>241</v>
      </c>
      <c r="J56" s="314"/>
      <c r="K56" s="364"/>
      <c r="L56" s="886" t="s">
        <v>1085</v>
      </c>
      <c r="M56" s="1051">
        <v>52</v>
      </c>
      <c r="N56" s="349"/>
      <c r="O56" s="341">
        <f t="shared" si="0"/>
        <v>0</v>
      </c>
      <c r="P56" s="364"/>
      <c r="Q56" s="347" t="s">
        <v>56</v>
      </c>
      <c r="R56" s="1051">
        <v>52</v>
      </c>
      <c r="S56" s="359"/>
      <c r="T56" s="364"/>
      <c r="V56" s="1076"/>
      <c r="W56" s="361"/>
      <c r="Z56" s="331" t="s">
        <v>1075</v>
      </c>
      <c r="AA56" s="894">
        <f t="shared" si="10"/>
        <v>0</v>
      </c>
    </row>
    <row r="57" spans="1:28" s="343" customFormat="1">
      <c r="A57" s="362"/>
      <c r="B57" s="355" t="s">
        <v>1002</v>
      </c>
      <c r="C57" s="1051">
        <v>53</v>
      </c>
      <c r="D57" s="351"/>
      <c r="E57" s="314"/>
      <c r="F57" s="363"/>
      <c r="G57" s="317" t="s">
        <v>268</v>
      </c>
      <c r="H57" s="1049">
        <f t="shared" si="3"/>
        <v>107</v>
      </c>
      <c r="I57" s="359" t="s">
        <v>269</v>
      </c>
      <c r="J57" s="314" t="str">
        <f t="shared" si="2"/>
        <v>年初外币报表折算差额</v>
      </c>
      <c r="K57" s="364"/>
      <c r="L57" s="816" t="s">
        <v>1005</v>
      </c>
      <c r="M57" s="1051">
        <v>53</v>
      </c>
      <c r="N57" s="341"/>
      <c r="O57" s="341">
        <f t="shared" si="0"/>
        <v>0</v>
      </c>
      <c r="P57" s="364"/>
      <c r="Q57" s="347" t="s">
        <v>59</v>
      </c>
      <c r="R57" s="1051">
        <v>53</v>
      </c>
      <c r="S57" s="359"/>
      <c r="T57" s="364"/>
      <c r="V57" s="1076"/>
      <c r="W57" s="361"/>
      <c r="Z57" s="331"/>
      <c r="AA57" s="895" t="str">
        <f t="shared" si="10"/>
        <v>非流动资产合计</v>
      </c>
    </row>
    <row r="58" spans="1:28" s="343" customFormat="1">
      <c r="A58" s="362"/>
      <c r="B58" s="365" t="s">
        <v>222</v>
      </c>
      <c r="C58" s="1051">
        <v>54</v>
      </c>
      <c r="D58" s="354"/>
      <c r="E58" s="314">
        <f t="shared" si="1"/>
        <v>0</v>
      </c>
      <c r="F58" s="363"/>
      <c r="G58" s="317" t="s">
        <v>1057</v>
      </c>
      <c r="H58" s="1049">
        <f t="shared" si="3"/>
        <v>108</v>
      </c>
      <c r="I58" s="349"/>
      <c r="J58" s="314"/>
      <c r="K58" s="364"/>
      <c r="L58" s="815" t="s">
        <v>989</v>
      </c>
      <c r="M58" s="1051">
        <v>54</v>
      </c>
      <c r="N58" s="341" t="s">
        <v>244</v>
      </c>
      <c r="O58" s="341" t="str">
        <f t="shared" si="0"/>
        <v>上年提取法定公积金</v>
      </c>
      <c r="P58" s="364"/>
      <c r="Q58" s="347" t="s">
        <v>1187</v>
      </c>
      <c r="R58" s="1051">
        <v>54</v>
      </c>
      <c r="S58" s="359"/>
      <c r="T58" s="364"/>
      <c r="V58" s="1076"/>
      <c r="W58" s="361"/>
      <c r="Z58" s="331"/>
      <c r="AA58" s="895" t="str">
        <f t="shared" si="10"/>
        <v>资 产 总 计</v>
      </c>
    </row>
    <row r="59" spans="1:28" s="343" customFormat="1">
      <c r="A59" s="362"/>
      <c r="C59" s="1053"/>
      <c r="D59" s="360"/>
      <c r="E59" s="314">
        <f t="shared" si="1"/>
        <v>0</v>
      </c>
      <c r="F59" s="363"/>
      <c r="G59" s="317" t="s">
        <v>1058</v>
      </c>
      <c r="H59" s="1049">
        <f t="shared" si="3"/>
        <v>109</v>
      </c>
      <c r="I59" s="359"/>
      <c r="J59" s="314"/>
      <c r="K59" s="364"/>
      <c r="L59" s="816" t="s">
        <v>990</v>
      </c>
      <c r="M59" s="1051">
        <v>55</v>
      </c>
      <c r="N59" s="341" t="s">
        <v>270</v>
      </c>
      <c r="O59" s="341" t="str">
        <f t="shared" si="0"/>
        <v>上年提取法定公益金</v>
      </c>
      <c r="P59" s="364"/>
      <c r="Q59" s="627" t="s">
        <v>63</v>
      </c>
      <c r="R59" s="1051">
        <v>55</v>
      </c>
      <c r="S59" s="359"/>
      <c r="T59" s="364"/>
      <c r="V59" s="1076"/>
      <c r="W59" s="361"/>
      <c r="Z59" s="331"/>
      <c r="AA59" s="895"/>
    </row>
    <row r="60" spans="1:28" s="343" customFormat="1">
      <c r="A60" s="362"/>
      <c r="C60" s="1053"/>
      <c r="D60" s="314"/>
      <c r="E60" s="314">
        <f t="shared" si="1"/>
        <v>0</v>
      </c>
      <c r="F60" s="363"/>
      <c r="G60" s="353" t="str">
        <f>IF(说明!E28="股份有限公司","股东权益合计",IF(说明!E28="非股份有限公司","所有者权益合计",""))</f>
        <v>股东权益合计</v>
      </c>
      <c r="H60" s="1049">
        <f t="shared" si="3"/>
        <v>110</v>
      </c>
      <c r="I60" s="359"/>
      <c r="J60" s="314">
        <f t="shared" si="2"/>
        <v>0</v>
      </c>
      <c r="K60" s="364"/>
      <c r="L60" s="886" t="s">
        <v>1006</v>
      </c>
      <c r="M60" s="1051">
        <v>56</v>
      </c>
      <c r="N60" s="341" t="s">
        <v>245</v>
      </c>
      <c r="O60" s="341" t="str">
        <f t="shared" si="0"/>
        <v>上年提取职工福利及奖励金</v>
      </c>
      <c r="P60" s="364"/>
      <c r="Q60" s="852"/>
      <c r="R60" s="1051">
        <v>56</v>
      </c>
      <c r="S60" s="359"/>
      <c r="T60" s="364"/>
      <c r="V60" s="1076"/>
      <c r="W60" s="361"/>
      <c r="Z60" s="331"/>
      <c r="AA60" s="895"/>
    </row>
    <row r="61" spans="1:28" s="343" customFormat="1">
      <c r="A61" s="362"/>
      <c r="C61" s="1053"/>
      <c r="D61" s="314" t="s">
        <v>89</v>
      </c>
      <c r="E61" s="314" t="str">
        <f t="shared" si="1"/>
        <v>年初递延税款借项</v>
      </c>
      <c r="F61" s="363"/>
      <c r="G61" s="366" t="str">
        <f>IF(说明!E28="股份有限公司","负债和股东权益合计",IF(说明!E28="非股份有限公司","负债和所有者权益合计",""))</f>
        <v>负债和股东权益合计</v>
      </c>
      <c r="H61" s="1049">
        <f t="shared" si="3"/>
        <v>111</v>
      </c>
      <c r="I61" s="349"/>
      <c r="J61" s="314"/>
      <c r="K61" s="364"/>
      <c r="L61" s="888" t="s">
        <v>1086</v>
      </c>
      <c r="M61" s="1051">
        <v>57</v>
      </c>
      <c r="N61" s="341" t="s">
        <v>90</v>
      </c>
      <c r="O61" s="341" t="str">
        <f t="shared" si="0"/>
        <v>上年提取储备基金</v>
      </c>
      <c r="P61" s="364"/>
      <c r="Q61" s="352" t="s">
        <v>64</v>
      </c>
      <c r="R61" s="1051">
        <v>57</v>
      </c>
      <c r="S61" s="359"/>
      <c r="T61" s="364"/>
      <c r="V61" s="1076"/>
      <c r="W61" s="361"/>
      <c r="Z61" s="331"/>
      <c r="AA61" s="896" t="str">
        <f>G5</f>
        <v>流动负债：</v>
      </c>
    </row>
    <row r="62" spans="1:28" s="343" customFormat="1">
      <c r="A62" s="362"/>
      <c r="C62" s="1053"/>
      <c r="D62" s="314"/>
      <c r="E62" s="314"/>
      <c r="F62" s="363"/>
      <c r="G62" s="368"/>
      <c r="H62" s="1050"/>
      <c r="I62" s="359"/>
      <c r="J62" s="314">
        <f t="shared" si="2"/>
        <v>0</v>
      </c>
      <c r="K62" s="364"/>
      <c r="L62" s="886" t="s">
        <v>1087</v>
      </c>
      <c r="M62" s="1051">
        <v>58</v>
      </c>
      <c r="N62" s="341" t="s">
        <v>91</v>
      </c>
      <c r="O62" s="341" t="str">
        <f t="shared" si="0"/>
        <v xml:space="preserve">上年提取企业发展基金 </v>
      </c>
      <c r="P62" s="364"/>
      <c r="Q62" s="352" t="s">
        <v>322</v>
      </c>
      <c r="R62" s="1051">
        <v>58</v>
      </c>
      <c r="S62" s="359"/>
      <c r="T62" s="364"/>
      <c r="V62" s="1076"/>
      <c r="W62" s="361"/>
      <c r="Z62" s="331" t="s">
        <v>68</v>
      </c>
      <c r="AA62" s="894" t="str">
        <f>G6</f>
        <v>短期借款</v>
      </c>
    </row>
    <row r="63" spans="1:28" s="343" customFormat="1">
      <c r="A63" s="362"/>
      <c r="C63" s="1053"/>
      <c r="D63" s="314"/>
      <c r="E63" s="314"/>
      <c r="F63" s="363"/>
      <c r="G63" s="368"/>
      <c r="H63" s="1050"/>
      <c r="I63" s="359"/>
      <c r="J63" s="314"/>
      <c r="K63" s="364"/>
      <c r="L63" s="888" t="s">
        <v>1056</v>
      </c>
      <c r="M63" s="1051">
        <v>59</v>
      </c>
      <c r="N63" s="341" t="s">
        <v>92</v>
      </c>
      <c r="O63" s="341" t="str">
        <f t="shared" si="0"/>
        <v xml:space="preserve">上年利润归还投资 </v>
      </c>
      <c r="P63" s="364"/>
      <c r="Q63" s="377" t="s">
        <v>67</v>
      </c>
      <c r="R63" s="1051">
        <v>59</v>
      </c>
      <c r="S63" s="359"/>
      <c r="T63" s="364"/>
      <c r="V63" s="1076"/>
      <c r="W63" s="361"/>
      <c r="Z63" s="331" t="s">
        <v>1157</v>
      </c>
      <c r="AA63" s="894" t="str">
        <f t="shared" ref="AA63:AA65" si="11">G7</f>
        <v>向中央银行借款</v>
      </c>
    </row>
    <row r="64" spans="1:28" s="343" customFormat="1">
      <c r="A64" s="362"/>
      <c r="C64" s="1053"/>
      <c r="D64" s="314"/>
      <c r="E64" s="314"/>
      <c r="F64" s="363"/>
      <c r="G64" s="368"/>
      <c r="H64" s="1050"/>
      <c r="I64" s="359"/>
      <c r="J64" s="314"/>
      <c r="K64" s="364"/>
      <c r="L64" s="886" t="s">
        <v>1088</v>
      </c>
      <c r="M64" s="1051">
        <v>60</v>
      </c>
      <c r="N64" s="345" t="s">
        <v>246</v>
      </c>
      <c r="O64" s="341" t="str">
        <f t="shared" si="0"/>
        <v>上年补充流动资本</v>
      </c>
      <c r="P64" s="364"/>
      <c r="Q64" s="377" t="s">
        <v>226</v>
      </c>
      <c r="R64" s="1051">
        <v>60</v>
      </c>
      <c r="S64" s="359"/>
      <c r="T64" s="364"/>
      <c r="V64" s="1076"/>
      <c r="W64" s="361"/>
      <c r="Z64" s="331" t="s">
        <v>1158</v>
      </c>
      <c r="AA64" s="894" t="str">
        <f t="shared" si="11"/>
        <v>吸收存款及同业存放</v>
      </c>
    </row>
    <row r="65" spans="1:27" s="343" customFormat="1">
      <c r="A65" s="362"/>
      <c r="C65" s="1053"/>
      <c r="D65" s="314"/>
      <c r="E65" s="314"/>
      <c r="F65" s="363"/>
      <c r="G65" s="368"/>
      <c r="H65" s="1050"/>
      <c r="I65" s="359"/>
      <c r="J65" s="314"/>
      <c r="K65" s="364"/>
      <c r="L65" s="887" t="s">
        <v>1089</v>
      </c>
      <c r="M65" s="1051">
        <v>61</v>
      </c>
      <c r="N65" s="345" t="s">
        <v>247</v>
      </c>
      <c r="O65" s="341" t="str">
        <f t="shared" si="0"/>
        <v>上年单项留用的利润</v>
      </c>
      <c r="P65" s="364"/>
      <c r="Q65" s="307" t="s">
        <v>69</v>
      </c>
      <c r="R65" s="1051">
        <v>61</v>
      </c>
      <c r="S65" s="359"/>
      <c r="T65" s="364"/>
      <c r="V65" s="1076"/>
      <c r="W65" s="361"/>
      <c r="Z65" s="331" t="s">
        <v>1159</v>
      </c>
      <c r="AA65" s="894" t="str">
        <f t="shared" si="11"/>
        <v>拆入资金</v>
      </c>
    </row>
    <row r="66" spans="1:27" s="343" customFormat="1">
      <c r="A66" s="362"/>
      <c r="C66" s="1053"/>
      <c r="D66" s="314"/>
      <c r="E66" s="314"/>
      <c r="F66" s="363"/>
      <c r="G66" s="368"/>
      <c r="H66" s="1050"/>
      <c r="I66" s="359"/>
      <c r="J66" s="314"/>
      <c r="K66" s="364"/>
      <c r="L66" s="626" t="s">
        <v>1090</v>
      </c>
      <c r="M66" s="1051">
        <v>62</v>
      </c>
      <c r="N66" s="345" t="s">
        <v>1</v>
      </c>
      <c r="O66" s="341" t="str">
        <f t="shared" si="0"/>
        <v>上年其他</v>
      </c>
      <c r="P66" s="364"/>
      <c r="Q66" s="377" t="s">
        <v>70</v>
      </c>
      <c r="R66" s="1051">
        <v>62</v>
      </c>
      <c r="S66" s="359"/>
      <c r="T66" s="364"/>
      <c r="V66" s="1076"/>
      <c r="W66" s="361"/>
      <c r="Z66" s="331" t="s">
        <v>1016</v>
      </c>
      <c r="AA66" s="894" t="str">
        <f t="shared" ref="AA66:AA71" si="12">G10</f>
        <v>交易性金融负债</v>
      </c>
    </row>
    <row r="67" spans="1:27" s="343" customFormat="1">
      <c r="A67" s="362"/>
      <c r="C67" s="1053"/>
      <c r="D67" s="314"/>
      <c r="E67" s="314"/>
      <c r="F67" s="363"/>
      <c r="G67" s="368"/>
      <c r="H67" s="1050"/>
      <c r="I67" s="359"/>
      <c r="J67" s="314"/>
      <c r="K67" s="364"/>
      <c r="L67" s="626" t="s">
        <v>1092</v>
      </c>
      <c r="M67" s="1051">
        <v>63</v>
      </c>
      <c r="N67" s="341"/>
      <c r="O67" s="341">
        <f t="shared" si="0"/>
        <v>0</v>
      </c>
      <c r="P67" s="364"/>
      <c r="Q67" s="368"/>
      <c r="R67" s="1050"/>
      <c r="S67" s="359"/>
      <c r="T67" s="364"/>
      <c r="V67" s="1076"/>
      <c r="W67" s="361"/>
      <c r="Z67" s="331" t="s">
        <v>72</v>
      </c>
      <c r="AA67" s="894" t="str">
        <f t="shared" si="12"/>
        <v>以公允价值计量且其变动计入当期损益的金融负债</v>
      </c>
    </row>
    <row r="68" spans="1:27" s="343" customFormat="1">
      <c r="A68" s="362"/>
      <c r="C68" s="1053"/>
      <c r="D68" s="314"/>
      <c r="E68" s="314"/>
      <c r="F68" s="363"/>
      <c r="G68" s="368"/>
      <c r="H68" s="1050"/>
      <c r="I68" s="359"/>
      <c r="J68" s="314"/>
      <c r="K68" s="364"/>
      <c r="L68" s="626" t="s">
        <v>1091</v>
      </c>
      <c r="M68" s="1051">
        <v>64</v>
      </c>
      <c r="N68" s="341" t="s">
        <v>94</v>
      </c>
      <c r="O68" s="341" t="str">
        <f t="shared" si="0"/>
        <v>上年应付优先股股利</v>
      </c>
      <c r="P68" s="364"/>
      <c r="Q68" s="368"/>
      <c r="R68" s="1050"/>
      <c r="S68" s="359"/>
      <c r="T68" s="364"/>
      <c r="V68" s="1076"/>
      <c r="W68" s="361"/>
      <c r="Z68" s="331" t="s">
        <v>75</v>
      </c>
      <c r="AA68" s="894" t="str">
        <f t="shared" si="12"/>
        <v>衍生金融负债</v>
      </c>
    </row>
    <row r="69" spans="1:27" s="343" customFormat="1">
      <c r="A69" s="362"/>
      <c r="C69" s="1053"/>
      <c r="D69" s="314"/>
      <c r="E69" s="314"/>
      <c r="F69" s="363"/>
      <c r="G69" s="368"/>
      <c r="H69" s="1050"/>
      <c r="I69" s="359"/>
      <c r="J69" s="314"/>
      <c r="K69" s="364"/>
      <c r="L69" s="626" t="s">
        <v>1093</v>
      </c>
      <c r="M69" s="1051">
        <v>65</v>
      </c>
      <c r="N69" s="345" t="s">
        <v>95</v>
      </c>
      <c r="O69" s="341" t="str">
        <f>IF(N69="",0,CONCATENATE("上年",N69))</f>
        <v>上年提取任意盈余公积金</v>
      </c>
      <c r="P69" s="364"/>
      <c r="Q69" s="368"/>
      <c r="R69" s="1050"/>
      <c r="S69" s="359"/>
      <c r="T69" s="364"/>
      <c r="V69" s="1076"/>
      <c r="W69" s="361"/>
      <c r="Z69" s="331" t="s">
        <v>1017</v>
      </c>
      <c r="AA69" s="894" t="str">
        <f t="shared" si="12"/>
        <v>应付票据</v>
      </c>
    </row>
    <row r="70" spans="1:27" s="343" customFormat="1">
      <c r="A70" s="362"/>
      <c r="C70" s="1053"/>
      <c r="D70" s="314"/>
      <c r="E70" s="314"/>
      <c r="F70" s="363"/>
      <c r="G70" s="368"/>
      <c r="H70" s="1050"/>
      <c r="I70" s="359"/>
      <c r="J70" s="314"/>
      <c r="K70" s="364"/>
      <c r="L70" s="314" t="s">
        <v>991</v>
      </c>
      <c r="M70" s="1051">
        <v>66</v>
      </c>
      <c r="N70" s="345" t="s">
        <v>96</v>
      </c>
      <c r="O70" s="341" t="str">
        <f>IF(N70="",0,CONCATENATE("上年",N70))</f>
        <v>上年应付普通股股利</v>
      </c>
      <c r="P70" s="364"/>
      <c r="Q70" s="368"/>
      <c r="R70" s="1050"/>
      <c r="S70" s="359"/>
      <c r="T70" s="364"/>
      <c r="V70" s="1076"/>
      <c r="W70" s="361"/>
      <c r="Z70" s="331" t="s">
        <v>78</v>
      </c>
      <c r="AA70" s="894" t="str">
        <f t="shared" si="12"/>
        <v>应付账款</v>
      </c>
    </row>
    <row r="71" spans="1:27" s="343" customFormat="1">
      <c r="A71" s="362"/>
      <c r="C71" s="1053"/>
      <c r="D71" s="314"/>
      <c r="E71" s="314"/>
      <c r="F71" s="363"/>
      <c r="G71" s="368"/>
      <c r="H71" s="1050"/>
      <c r="I71" s="359"/>
      <c r="J71" s="314"/>
      <c r="K71" s="364"/>
      <c r="L71" s="307" t="s">
        <v>910</v>
      </c>
      <c r="M71" s="1051">
        <v>67</v>
      </c>
      <c r="N71" s="345" t="s">
        <v>97</v>
      </c>
      <c r="O71" s="341" t="str">
        <f>IF(N71="",0,CONCATENATE("上年",N71))</f>
        <v>上年转作资本的普通股股利</v>
      </c>
      <c r="P71" s="364"/>
      <c r="Q71" s="368"/>
      <c r="R71" s="1054"/>
      <c r="S71" s="359"/>
      <c r="T71" s="364"/>
      <c r="V71" s="1076"/>
      <c r="W71" s="359"/>
      <c r="Z71" s="331" t="s">
        <v>81</v>
      </c>
      <c r="AA71" s="894" t="str">
        <f t="shared" si="12"/>
        <v>预收款项</v>
      </c>
    </row>
    <row r="72" spans="1:27" s="343" customFormat="1">
      <c r="A72" s="362"/>
      <c r="C72" s="1053"/>
      <c r="F72" s="363"/>
      <c r="G72" s="368"/>
      <c r="H72" s="1050"/>
      <c r="I72" s="359"/>
      <c r="J72" s="314"/>
      <c r="K72" s="364"/>
      <c r="L72" s="315" t="s">
        <v>896</v>
      </c>
      <c r="M72" s="1051">
        <v>68</v>
      </c>
      <c r="N72" s="345" t="s">
        <v>344</v>
      </c>
      <c r="O72" s="341" t="str">
        <f>IF(N72="",0,CONCATENATE("上年",N72))</f>
        <v>上年其他</v>
      </c>
      <c r="P72" s="364"/>
      <c r="Q72" s="368"/>
      <c r="R72" s="1054"/>
      <c r="S72" s="307"/>
      <c r="T72" s="364"/>
      <c r="V72" s="1076"/>
      <c r="W72" s="307"/>
      <c r="Z72" s="331" t="s">
        <v>1160</v>
      </c>
      <c r="AA72" s="894" t="str">
        <f t="shared" ref="AA72:AA73" si="13">G16</f>
        <v>卖出回购金融资产款</v>
      </c>
    </row>
    <row r="73" spans="1:27" s="343" customFormat="1">
      <c r="A73" s="362"/>
      <c r="C73" s="1053"/>
      <c r="D73" s="360"/>
      <c r="E73" s="314">
        <f>IF(D73="",0,CONCATENATE("年初",D73))</f>
        <v>0</v>
      </c>
      <c r="F73" s="363"/>
      <c r="G73" s="368"/>
      <c r="H73" s="1050"/>
      <c r="I73" s="359"/>
      <c r="J73" s="314"/>
      <c r="K73" s="364"/>
      <c r="L73" s="315" t="s">
        <v>897</v>
      </c>
      <c r="M73" s="1051">
        <v>69</v>
      </c>
      <c r="N73" s="341"/>
      <c r="O73" s="341">
        <f>IF(N73="",0,CONCATENATE("上年",N73))</f>
        <v>0</v>
      </c>
      <c r="P73" s="364"/>
      <c r="Q73" s="368"/>
      <c r="R73" s="1054"/>
      <c r="S73" s="307"/>
      <c r="T73" s="364"/>
      <c r="V73" s="1076"/>
      <c r="Z73" s="331" t="s">
        <v>1161</v>
      </c>
      <c r="AA73" s="894" t="str">
        <f t="shared" si="13"/>
        <v>应付手续费及佣金</v>
      </c>
    </row>
    <row r="74" spans="1:27" s="343" customFormat="1">
      <c r="A74" s="362"/>
      <c r="C74" s="1053"/>
      <c r="D74" s="360"/>
      <c r="E74" s="314">
        <f>IF(D74="",0,CONCATENATE("年初",D74))</f>
        <v>0</v>
      </c>
      <c r="F74" s="363"/>
      <c r="G74" s="368"/>
      <c r="H74" s="1050"/>
      <c r="I74" s="307"/>
      <c r="J74" s="314">
        <f>IF(I74="",0,CONCATENATE("年初",I74))</f>
        <v>0</v>
      </c>
      <c r="K74" s="364"/>
      <c r="L74" s="307" t="s">
        <v>911</v>
      </c>
      <c r="M74" s="1051">
        <v>70</v>
      </c>
      <c r="N74" s="341"/>
      <c r="O74" s="341"/>
      <c r="P74" s="364"/>
      <c r="Q74" s="368"/>
      <c r="R74" s="1054"/>
      <c r="S74" s="307"/>
      <c r="T74" s="364"/>
      <c r="V74" s="1076"/>
      <c r="Z74" s="331" t="s">
        <v>85</v>
      </c>
      <c r="AA74" s="894" t="str">
        <f t="shared" ref="AA74:AA79" si="14">G18</f>
        <v>合同负债</v>
      </c>
    </row>
    <row r="75" spans="1:27" s="343" customFormat="1">
      <c r="A75" s="362"/>
      <c r="C75" s="1053"/>
      <c r="D75" s="370"/>
      <c r="E75" s="370"/>
      <c r="F75" s="363"/>
      <c r="G75" s="368"/>
      <c r="H75" s="1050"/>
      <c r="I75" s="367"/>
      <c r="J75" s="367"/>
      <c r="K75" s="364"/>
      <c r="L75" s="315" t="s">
        <v>1095</v>
      </c>
      <c r="M75" s="1051">
        <v>71</v>
      </c>
      <c r="N75" s="367"/>
      <c r="O75" s="367"/>
      <c r="P75" s="364"/>
      <c r="Q75" s="368"/>
      <c r="R75" s="1054"/>
      <c r="S75" s="367"/>
      <c r="T75" s="364"/>
      <c r="V75" s="1076"/>
      <c r="Z75" s="331" t="s">
        <v>1018</v>
      </c>
      <c r="AA75" s="894" t="str">
        <f t="shared" si="14"/>
        <v>应付职工薪酬</v>
      </c>
    </row>
    <row r="76" spans="1:27" s="343" customFormat="1">
      <c r="A76" s="362"/>
      <c r="C76" s="1053"/>
      <c r="D76" s="368"/>
      <c r="E76" s="368"/>
      <c r="F76" s="363"/>
      <c r="G76" s="368"/>
      <c r="H76" s="1050"/>
      <c r="I76" s="368"/>
      <c r="J76" s="368"/>
      <c r="K76" s="364"/>
      <c r="L76" s="315" t="s">
        <v>1094</v>
      </c>
      <c r="M76" s="1051">
        <v>72</v>
      </c>
      <c r="P76" s="364"/>
      <c r="Q76" s="368"/>
      <c r="R76" s="1054"/>
      <c r="S76" s="368"/>
      <c r="T76" s="364"/>
      <c r="V76" s="1076"/>
      <c r="W76" s="368"/>
      <c r="Z76" s="331" t="s">
        <v>1019</v>
      </c>
      <c r="AA76" s="894" t="str">
        <f t="shared" si="14"/>
        <v>应交税费</v>
      </c>
    </row>
    <row r="77" spans="1:27" s="343" customFormat="1">
      <c r="A77" s="362"/>
      <c r="C77" s="1053"/>
      <c r="D77" s="368"/>
      <c r="E77" s="368"/>
      <c r="F77" s="363"/>
      <c r="G77" s="368"/>
      <c r="H77" s="1050"/>
      <c r="I77" s="368"/>
      <c r="J77" s="368"/>
      <c r="K77" s="364"/>
      <c r="L77" s="553" t="s">
        <v>940</v>
      </c>
      <c r="M77" s="1051">
        <v>73</v>
      </c>
      <c r="P77" s="364"/>
      <c r="Q77" s="368"/>
      <c r="R77" s="1054"/>
      <c r="S77" s="368"/>
      <c r="T77" s="364"/>
      <c r="V77" s="1050"/>
      <c r="W77" s="368"/>
      <c r="Z77" s="331" t="s">
        <v>916</v>
      </c>
      <c r="AA77" s="894" t="str">
        <f t="shared" si="14"/>
        <v>其他应付款</v>
      </c>
    </row>
    <row r="78" spans="1:27" s="343" customFormat="1">
      <c r="A78" s="362"/>
      <c r="C78" s="1053"/>
      <c r="D78" s="368"/>
      <c r="E78" s="368"/>
      <c r="F78" s="363"/>
      <c r="G78" s="368"/>
      <c r="H78" s="1050"/>
      <c r="I78" s="368"/>
      <c r="J78" s="368"/>
      <c r="K78" s="364"/>
      <c r="L78" s="627" t="s">
        <v>1096</v>
      </c>
      <c r="M78" s="1051">
        <v>74</v>
      </c>
      <c r="P78" s="364"/>
      <c r="Q78" s="368"/>
      <c r="R78" s="1054"/>
      <c r="S78" s="368"/>
      <c r="T78" s="364"/>
      <c r="V78" s="1050"/>
      <c r="W78" s="368"/>
      <c r="Z78" s="331"/>
      <c r="AA78" s="894" t="str">
        <f t="shared" si="14"/>
        <v xml:space="preserve">  其中：应付利息</v>
      </c>
    </row>
    <row r="79" spans="1:27" s="343" customFormat="1">
      <c r="A79" s="362"/>
      <c r="C79" s="1053"/>
      <c r="D79" s="368"/>
      <c r="E79" s="368"/>
      <c r="F79" s="363"/>
      <c r="G79" s="368"/>
      <c r="H79" s="1050"/>
      <c r="I79" s="368"/>
      <c r="J79" s="368"/>
      <c r="K79" s="364"/>
      <c r="L79" s="627" t="s">
        <v>1097</v>
      </c>
      <c r="M79" s="1051">
        <v>75</v>
      </c>
      <c r="P79" s="364"/>
      <c r="Q79" s="368"/>
      <c r="R79" s="1054"/>
      <c r="S79" s="368"/>
      <c r="T79" s="364"/>
      <c r="V79" s="1050"/>
      <c r="W79" s="368"/>
      <c r="Z79" s="331"/>
      <c r="AA79" s="894" t="str">
        <f t="shared" si="14"/>
        <v xml:space="preserve">        应付股利</v>
      </c>
    </row>
    <row r="80" spans="1:27" s="343" customFormat="1">
      <c r="A80" s="362"/>
      <c r="C80" s="1053"/>
      <c r="D80" s="368"/>
      <c r="E80" s="368"/>
      <c r="F80" s="363"/>
      <c r="G80" s="368"/>
      <c r="H80" s="1050"/>
      <c r="I80" s="368"/>
      <c r="J80" s="368"/>
      <c r="K80" s="364"/>
      <c r="L80" s="554" t="s">
        <v>1102</v>
      </c>
      <c r="M80" s="1051">
        <v>76</v>
      </c>
      <c r="P80" s="364"/>
      <c r="Q80" s="368"/>
      <c r="R80" s="1054"/>
      <c r="S80" s="368"/>
      <c r="T80" s="364"/>
      <c r="V80" s="1050"/>
      <c r="W80" s="368"/>
      <c r="Z80" s="331" t="s">
        <v>1162</v>
      </c>
      <c r="AA80" s="894" t="str">
        <f t="shared" ref="AA80:AA83" si="15">G24</f>
        <v>应付分保账款</v>
      </c>
    </row>
    <row r="81" spans="1:27" s="343" customFormat="1">
      <c r="A81" s="362"/>
      <c r="C81" s="1053"/>
      <c r="D81" s="368"/>
      <c r="E81" s="368"/>
      <c r="F81" s="363"/>
      <c r="G81" s="368"/>
      <c r="H81" s="1050"/>
      <c r="I81" s="368"/>
      <c r="J81" s="368"/>
      <c r="K81" s="364"/>
      <c r="L81" s="554" t="s">
        <v>1103</v>
      </c>
      <c r="M81" s="1051">
        <v>77</v>
      </c>
      <c r="P81" s="364"/>
      <c r="Q81" s="368"/>
      <c r="R81" s="1054"/>
      <c r="S81" s="368"/>
      <c r="T81" s="364"/>
      <c r="V81" s="1050"/>
      <c r="W81" s="368"/>
      <c r="Z81" s="331" t="s">
        <v>1163</v>
      </c>
      <c r="AA81" s="894" t="str">
        <f t="shared" si="15"/>
        <v>保险合同准备金</v>
      </c>
    </row>
    <row r="82" spans="1:27" s="343" customFormat="1">
      <c r="A82" s="362"/>
      <c r="C82" s="1053"/>
      <c r="D82" s="368"/>
      <c r="E82" s="368"/>
      <c r="F82" s="363"/>
      <c r="G82" s="368"/>
      <c r="H82" s="1050"/>
      <c r="I82" s="368"/>
      <c r="J82" s="368"/>
      <c r="K82" s="364"/>
      <c r="L82" s="627" t="s">
        <v>1098</v>
      </c>
      <c r="M82" s="1051">
        <v>78</v>
      </c>
      <c r="P82" s="364"/>
      <c r="Q82" s="368"/>
      <c r="R82" s="1054"/>
      <c r="S82" s="368"/>
      <c r="T82" s="364"/>
      <c r="V82" s="1050"/>
      <c r="W82" s="368"/>
      <c r="Z82" s="331" t="s">
        <v>1164</v>
      </c>
      <c r="AA82" s="894" t="str">
        <f t="shared" si="15"/>
        <v>代理买卖证券款</v>
      </c>
    </row>
    <row r="83" spans="1:27" s="343" customFormat="1">
      <c r="A83" s="362"/>
      <c r="C83" s="1053"/>
      <c r="D83" s="368"/>
      <c r="E83" s="368"/>
      <c r="F83" s="363"/>
      <c r="G83" s="368"/>
      <c r="H83" s="1050"/>
      <c r="I83" s="368"/>
      <c r="J83" s="368"/>
      <c r="K83" s="364"/>
      <c r="L83" s="554" t="s">
        <v>1104</v>
      </c>
      <c r="M83" s="1051">
        <v>79</v>
      </c>
      <c r="P83" s="364"/>
      <c r="Q83" s="368"/>
      <c r="R83" s="1054"/>
      <c r="S83" s="368"/>
      <c r="T83" s="364"/>
      <c r="V83" s="1050"/>
      <c r="W83" s="368"/>
      <c r="Z83" s="331" t="s">
        <v>1165</v>
      </c>
      <c r="AA83" s="894" t="str">
        <f t="shared" si="15"/>
        <v>代理承销证券款</v>
      </c>
    </row>
    <row r="84" spans="1:27" s="343" customFormat="1">
      <c r="A84" s="362"/>
      <c r="C84" s="1053"/>
      <c r="D84" s="368"/>
      <c r="E84" s="368"/>
      <c r="F84" s="363"/>
      <c r="G84" s="368"/>
      <c r="H84" s="1050"/>
      <c r="I84" s="368"/>
      <c r="J84" s="368"/>
      <c r="K84" s="364"/>
      <c r="L84" s="554" t="s">
        <v>1105</v>
      </c>
      <c r="M84" s="1051">
        <v>80</v>
      </c>
      <c r="P84" s="364"/>
      <c r="Q84" s="368"/>
      <c r="R84" s="1054"/>
      <c r="S84" s="368"/>
      <c r="T84" s="364"/>
      <c r="V84" s="1050"/>
      <c r="W84" s="368"/>
      <c r="Z84" s="331" t="s">
        <v>917</v>
      </c>
      <c r="AA84" s="894" t="str">
        <f t="shared" ref="AA84:AA119" si="16">G28</f>
        <v>持有待售负债</v>
      </c>
    </row>
    <row r="85" spans="1:27" s="343" customFormat="1">
      <c r="A85" s="362"/>
      <c r="C85" s="1053"/>
      <c r="D85" s="368"/>
      <c r="E85" s="368"/>
      <c r="F85" s="363"/>
      <c r="G85" s="368"/>
      <c r="H85" s="1050"/>
      <c r="I85" s="368"/>
      <c r="J85" s="368"/>
      <c r="K85" s="364"/>
      <c r="L85" s="553" t="s">
        <v>1106</v>
      </c>
      <c r="M85" s="1051">
        <v>81</v>
      </c>
      <c r="P85" s="364"/>
      <c r="Q85" s="368"/>
      <c r="R85" s="1054"/>
      <c r="S85" s="368"/>
      <c r="T85" s="364"/>
      <c r="V85" s="1050"/>
      <c r="W85" s="368"/>
      <c r="Z85" s="331" t="s">
        <v>1020</v>
      </c>
      <c r="AA85" s="894" t="str">
        <f t="shared" si="16"/>
        <v>一年内到期的非流动负债</v>
      </c>
    </row>
    <row r="86" spans="1:27" s="343" customFormat="1">
      <c r="A86" s="362"/>
      <c r="C86" s="1053"/>
      <c r="D86" s="368"/>
      <c r="E86" s="368"/>
      <c r="F86" s="363"/>
      <c r="G86" s="368"/>
      <c r="H86" s="1050"/>
      <c r="I86" s="368"/>
      <c r="J86" s="368"/>
      <c r="K86" s="364"/>
      <c r="L86" s="554" t="s">
        <v>1107</v>
      </c>
      <c r="M86" s="1051">
        <v>82</v>
      </c>
      <c r="P86" s="364"/>
      <c r="Q86" s="368"/>
      <c r="R86" s="1054"/>
      <c r="S86" s="368"/>
      <c r="T86" s="364"/>
      <c r="V86" s="1050"/>
      <c r="W86" s="368"/>
      <c r="Z86" s="331" t="s">
        <v>918</v>
      </c>
      <c r="AA86" s="894" t="str">
        <f t="shared" si="16"/>
        <v>其他流动负债</v>
      </c>
    </row>
    <row r="87" spans="1:27" s="343" customFormat="1">
      <c r="A87" s="362"/>
      <c r="C87" s="1053"/>
      <c r="D87" s="368"/>
      <c r="E87" s="368"/>
      <c r="F87" s="363"/>
      <c r="G87" s="368"/>
      <c r="H87" s="1050"/>
      <c r="I87" s="368"/>
      <c r="J87" s="368"/>
      <c r="K87" s="364"/>
      <c r="L87" s="554" t="s">
        <v>1108</v>
      </c>
      <c r="M87" s="1051">
        <v>83</v>
      </c>
      <c r="P87" s="364"/>
      <c r="Q87" s="368"/>
      <c r="R87" s="1054"/>
      <c r="S87" s="368"/>
      <c r="T87" s="364"/>
      <c r="V87" s="1050"/>
      <c r="W87" s="368"/>
      <c r="Z87" s="331"/>
      <c r="AA87" s="895" t="str">
        <f t="shared" si="16"/>
        <v>流动负债合计</v>
      </c>
    </row>
    <row r="88" spans="1:27" s="343" customFormat="1">
      <c r="A88" s="362"/>
      <c r="C88" s="1053"/>
      <c r="D88" s="368"/>
      <c r="E88" s="368"/>
      <c r="F88" s="363"/>
      <c r="G88" s="368"/>
      <c r="H88" s="1050"/>
      <c r="I88" s="368"/>
      <c r="J88" s="368"/>
      <c r="K88" s="364"/>
      <c r="L88" s="554" t="s">
        <v>941</v>
      </c>
      <c r="M88" s="1051">
        <v>84</v>
      </c>
      <c r="P88" s="364"/>
      <c r="Q88" s="368"/>
      <c r="R88" s="1054"/>
      <c r="S88" s="368"/>
      <c r="T88" s="364"/>
      <c r="V88" s="1050"/>
      <c r="W88" s="368"/>
      <c r="Z88" s="331"/>
      <c r="AA88" s="896" t="str">
        <f t="shared" si="16"/>
        <v>非流动负债:</v>
      </c>
    </row>
    <row r="89" spans="1:27" s="343" customFormat="1">
      <c r="A89" s="362"/>
      <c r="C89" s="1053"/>
      <c r="D89" s="368"/>
      <c r="E89" s="368"/>
      <c r="F89" s="363"/>
      <c r="G89" s="368"/>
      <c r="H89" s="1050"/>
      <c r="I89" s="368"/>
      <c r="J89" s="368"/>
      <c r="K89" s="364"/>
      <c r="L89" s="369"/>
      <c r="M89" s="1052"/>
      <c r="P89" s="364"/>
      <c r="Q89" s="368"/>
      <c r="R89" s="1054"/>
      <c r="S89" s="368"/>
      <c r="T89" s="364"/>
      <c r="V89" s="1050"/>
      <c r="W89" s="368"/>
      <c r="Z89" s="331" t="s">
        <v>919</v>
      </c>
      <c r="AA89" s="894" t="str">
        <f t="shared" si="16"/>
        <v>长期借款</v>
      </c>
    </row>
    <row r="90" spans="1:27" s="343" customFormat="1">
      <c r="A90" s="362"/>
      <c r="C90" s="1053"/>
      <c r="D90" s="368"/>
      <c r="E90" s="368"/>
      <c r="F90" s="363"/>
      <c r="G90" s="368"/>
      <c r="H90" s="1050"/>
      <c r="I90" s="368"/>
      <c r="J90" s="368"/>
      <c r="K90" s="364"/>
      <c r="L90" s="369"/>
      <c r="M90" s="1052"/>
      <c r="P90" s="364"/>
      <c r="Q90" s="368"/>
      <c r="R90" s="1054"/>
      <c r="S90" s="368"/>
      <c r="T90" s="364"/>
      <c r="V90" s="1050"/>
      <c r="W90" s="368"/>
      <c r="Z90" s="331" t="s">
        <v>920</v>
      </c>
      <c r="AA90" s="894" t="str">
        <f t="shared" si="16"/>
        <v>应付债券</v>
      </c>
    </row>
    <row r="91" spans="1:27" s="343" customFormat="1">
      <c r="A91" s="362"/>
      <c r="C91" s="1053"/>
      <c r="D91" s="368"/>
      <c r="E91" s="368"/>
      <c r="F91" s="363"/>
      <c r="G91" s="368"/>
      <c r="H91" s="1050"/>
      <c r="I91" s="368"/>
      <c r="J91" s="368"/>
      <c r="K91" s="364"/>
      <c r="L91" s="369"/>
      <c r="M91" s="1052"/>
      <c r="P91" s="364"/>
      <c r="Q91" s="368"/>
      <c r="R91" s="1054"/>
      <c r="S91" s="368"/>
      <c r="T91" s="364"/>
      <c r="V91" s="1050"/>
      <c r="W91" s="368"/>
      <c r="Z91" s="331"/>
      <c r="AA91" s="894" t="str">
        <f t="shared" si="16"/>
        <v xml:space="preserve">  其中：优先股</v>
      </c>
    </row>
    <row r="92" spans="1:27" s="343" customFormat="1">
      <c r="A92" s="362"/>
      <c r="C92" s="1053"/>
      <c r="D92" s="368"/>
      <c r="E92" s="368"/>
      <c r="F92" s="363"/>
      <c r="G92" s="368"/>
      <c r="H92" s="1050"/>
      <c r="I92" s="368"/>
      <c r="J92" s="368"/>
      <c r="K92" s="364"/>
      <c r="L92" s="369"/>
      <c r="M92" s="1052"/>
      <c r="P92" s="364"/>
      <c r="Q92" s="368"/>
      <c r="R92" s="1054"/>
      <c r="S92" s="368"/>
      <c r="T92" s="364"/>
      <c r="V92" s="1050"/>
      <c r="W92" s="368"/>
      <c r="Z92" s="331"/>
      <c r="AA92" s="894" t="str">
        <f t="shared" si="16"/>
        <v xml:space="preserve">        永续债</v>
      </c>
    </row>
    <row r="93" spans="1:27" s="343" customFormat="1">
      <c r="A93" s="362"/>
      <c r="C93" s="1053"/>
      <c r="D93" s="368"/>
      <c r="E93" s="368"/>
      <c r="F93" s="363"/>
      <c r="G93" s="368"/>
      <c r="H93" s="1050"/>
      <c r="I93" s="368"/>
      <c r="J93" s="368"/>
      <c r="K93" s="364"/>
      <c r="L93" s="369"/>
      <c r="M93" s="1052"/>
      <c r="P93" s="364"/>
      <c r="Q93" s="368"/>
      <c r="R93" s="1054"/>
      <c r="S93" s="368"/>
      <c r="T93" s="364"/>
      <c r="V93" s="1050"/>
      <c r="W93" s="368"/>
      <c r="Z93" s="331" t="s">
        <v>1076</v>
      </c>
      <c r="AA93" s="894" t="str">
        <f t="shared" si="16"/>
        <v>租赁负债</v>
      </c>
    </row>
    <row r="94" spans="1:27" s="343" customFormat="1">
      <c r="A94" s="362"/>
      <c r="C94" s="1053"/>
      <c r="D94" s="368"/>
      <c r="E94" s="368"/>
      <c r="F94" s="363"/>
      <c r="G94" s="368"/>
      <c r="H94" s="1050"/>
      <c r="I94" s="368"/>
      <c r="J94" s="368"/>
      <c r="K94" s="364"/>
      <c r="L94" s="369"/>
      <c r="M94" s="1052"/>
      <c r="P94" s="364"/>
      <c r="Q94" s="368"/>
      <c r="R94" s="1054"/>
      <c r="S94" s="368"/>
      <c r="T94" s="364"/>
      <c r="V94" s="1050"/>
      <c r="W94" s="368"/>
      <c r="Z94" s="331" t="s">
        <v>1021</v>
      </c>
      <c r="AA94" s="894" t="str">
        <f t="shared" si="16"/>
        <v>长期应付款</v>
      </c>
    </row>
    <row r="95" spans="1:27" s="343" customFormat="1">
      <c r="A95" s="362"/>
      <c r="C95" s="1053"/>
      <c r="D95" s="368"/>
      <c r="E95" s="368"/>
      <c r="F95" s="363"/>
      <c r="G95" s="368"/>
      <c r="H95" s="1050"/>
      <c r="I95" s="368"/>
      <c r="J95" s="368"/>
      <c r="K95" s="364"/>
      <c r="L95" s="369"/>
      <c r="M95" s="1052"/>
      <c r="P95" s="364"/>
      <c r="Q95" s="368"/>
      <c r="R95" s="1054"/>
      <c r="S95" s="368"/>
      <c r="T95" s="364"/>
      <c r="V95" s="1050"/>
      <c r="W95" s="368"/>
      <c r="Z95" s="331" t="s">
        <v>1022</v>
      </c>
      <c r="AA95" s="894" t="str">
        <f t="shared" si="16"/>
        <v>长期应付职工薪酬</v>
      </c>
    </row>
    <row r="96" spans="1:27" s="343" customFormat="1">
      <c r="A96" s="362"/>
      <c r="C96" s="1053"/>
      <c r="D96" s="368"/>
      <c r="E96" s="368"/>
      <c r="F96" s="363"/>
      <c r="G96" s="368"/>
      <c r="H96" s="1050"/>
      <c r="I96" s="368"/>
      <c r="J96" s="368"/>
      <c r="K96" s="364"/>
      <c r="L96" s="369"/>
      <c r="M96" s="1052"/>
      <c r="P96" s="364"/>
      <c r="Q96" s="368"/>
      <c r="R96" s="1054"/>
      <c r="S96" s="368"/>
      <c r="T96" s="364"/>
      <c r="V96" s="1050"/>
      <c r="W96" s="368"/>
      <c r="Z96" s="331" t="s">
        <v>93</v>
      </c>
      <c r="AA96" s="894" t="str">
        <f t="shared" si="16"/>
        <v>预计负债</v>
      </c>
    </row>
    <row r="97" spans="1:27" s="343" customFormat="1">
      <c r="A97" s="362"/>
      <c r="C97" s="1053"/>
      <c r="D97" s="368"/>
      <c r="E97" s="368"/>
      <c r="F97" s="363"/>
      <c r="G97" s="368"/>
      <c r="H97" s="1050"/>
      <c r="I97" s="368"/>
      <c r="J97" s="368"/>
      <c r="K97" s="364"/>
      <c r="L97" s="369"/>
      <c r="M97" s="1052"/>
      <c r="P97" s="364"/>
      <c r="Q97" s="368"/>
      <c r="R97" s="1054"/>
      <c r="S97" s="368"/>
      <c r="T97" s="364"/>
      <c r="V97" s="1050"/>
      <c r="W97" s="368"/>
      <c r="Z97" s="331" t="s">
        <v>1077</v>
      </c>
      <c r="AA97" s="894" t="str">
        <f t="shared" si="16"/>
        <v>递延收益</v>
      </c>
    </row>
    <row r="98" spans="1:27" s="343" customFormat="1">
      <c r="A98" s="362"/>
      <c r="C98" s="1053"/>
      <c r="D98" s="368"/>
      <c r="E98" s="368"/>
      <c r="F98" s="363"/>
      <c r="G98" s="368"/>
      <c r="H98" s="1050"/>
      <c r="I98" s="368"/>
      <c r="J98" s="368"/>
      <c r="K98" s="364"/>
      <c r="L98" s="369"/>
      <c r="M98" s="1052"/>
      <c r="P98" s="364"/>
      <c r="Q98" s="368"/>
      <c r="R98" s="1054"/>
      <c r="S98" s="368"/>
      <c r="T98" s="364"/>
      <c r="V98" s="1050"/>
      <c r="W98" s="368"/>
      <c r="Z98" s="331" t="s">
        <v>1078</v>
      </c>
      <c r="AA98" s="894" t="str">
        <f t="shared" si="16"/>
        <v>递延所得税负债</v>
      </c>
    </row>
    <row r="99" spans="1:27" s="343" customFormat="1">
      <c r="A99" s="362"/>
      <c r="C99" s="1053"/>
      <c r="D99" s="368"/>
      <c r="E99" s="368"/>
      <c r="F99" s="363"/>
      <c r="G99" s="368"/>
      <c r="H99" s="1050"/>
      <c r="I99" s="368"/>
      <c r="J99" s="368"/>
      <c r="K99" s="364"/>
      <c r="L99" s="369"/>
      <c r="M99" s="1052"/>
      <c r="P99" s="364"/>
      <c r="Q99" s="368"/>
      <c r="R99" s="1054"/>
      <c r="S99" s="368"/>
      <c r="T99" s="364"/>
      <c r="V99" s="1050"/>
      <c r="W99" s="368"/>
      <c r="Z99" s="331" t="s">
        <v>1079</v>
      </c>
      <c r="AA99" s="894" t="str">
        <f t="shared" si="16"/>
        <v>其他非流动负债</v>
      </c>
    </row>
    <row r="100" spans="1:27" s="343" customFormat="1">
      <c r="A100" s="362"/>
      <c r="C100" s="1053"/>
      <c r="D100" s="368"/>
      <c r="E100" s="368"/>
      <c r="F100" s="363"/>
      <c r="G100" s="368"/>
      <c r="H100" s="1050"/>
      <c r="I100" s="368"/>
      <c r="J100" s="368"/>
      <c r="K100" s="364"/>
      <c r="L100" s="369"/>
      <c r="M100" s="1052"/>
      <c r="P100" s="364"/>
      <c r="Q100" s="368"/>
      <c r="R100" s="1054"/>
      <c r="S100" s="368"/>
      <c r="T100" s="364"/>
      <c r="V100" s="1050"/>
      <c r="W100" s="368"/>
      <c r="Z100" s="331"/>
      <c r="AA100" s="895" t="str">
        <f t="shared" si="16"/>
        <v>非流动负债合计</v>
      </c>
    </row>
    <row r="101" spans="1:27" s="343" customFormat="1">
      <c r="A101" s="362"/>
      <c r="C101" s="1053"/>
      <c r="D101" s="368"/>
      <c r="E101" s="368"/>
      <c r="F101" s="363"/>
      <c r="G101" s="368"/>
      <c r="H101" s="1050"/>
      <c r="I101" s="368"/>
      <c r="J101" s="368"/>
      <c r="K101" s="364"/>
      <c r="L101" s="369"/>
      <c r="M101" s="1052"/>
      <c r="P101" s="364"/>
      <c r="Q101" s="368"/>
      <c r="R101" s="1054"/>
      <c r="S101" s="368"/>
      <c r="T101" s="364"/>
      <c r="V101" s="1050"/>
      <c r="W101" s="368"/>
      <c r="Z101" s="331"/>
      <c r="AA101" s="895" t="str">
        <f t="shared" si="16"/>
        <v>负 债 合 计</v>
      </c>
    </row>
    <row r="102" spans="1:27" s="343" customFormat="1">
      <c r="A102" s="362"/>
      <c r="C102" s="1053"/>
      <c r="D102" s="368"/>
      <c r="E102" s="368"/>
      <c r="F102" s="363"/>
      <c r="G102" s="368"/>
      <c r="H102" s="1050"/>
      <c r="I102" s="368"/>
      <c r="J102" s="368"/>
      <c r="K102" s="364"/>
      <c r="L102" s="369"/>
      <c r="M102" s="1052"/>
      <c r="P102" s="364"/>
      <c r="Q102" s="368"/>
      <c r="R102" s="1054"/>
      <c r="S102" s="368"/>
      <c r="T102" s="364"/>
      <c r="V102" s="1050"/>
      <c r="W102" s="368"/>
      <c r="Z102" s="331"/>
      <c r="AA102" s="896" t="str">
        <f t="shared" si="16"/>
        <v>股东权益：</v>
      </c>
    </row>
    <row r="103" spans="1:27" s="343" customFormat="1">
      <c r="A103" s="362"/>
      <c r="C103" s="1053"/>
      <c r="D103" s="368"/>
      <c r="E103" s="368"/>
      <c r="F103" s="363"/>
      <c r="G103" s="368"/>
      <c r="H103" s="1050"/>
      <c r="I103" s="368"/>
      <c r="J103" s="368"/>
      <c r="K103" s="364"/>
      <c r="L103" s="369"/>
      <c r="M103" s="1052"/>
      <c r="P103" s="364"/>
      <c r="Q103" s="368"/>
      <c r="R103" s="1054"/>
      <c r="S103" s="368"/>
      <c r="T103" s="364"/>
      <c r="V103" s="1050"/>
      <c r="W103" s="368"/>
      <c r="Z103" s="331" t="s">
        <v>1080</v>
      </c>
      <c r="AA103" s="894" t="str">
        <f t="shared" si="16"/>
        <v>股本</v>
      </c>
    </row>
    <row r="104" spans="1:27" s="343" customFormat="1">
      <c r="A104" s="362"/>
      <c r="C104" s="1053"/>
      <c r="D104" s="368"/>
      <c r="E104" s="368"/>
      <c r="F104" s="363"/>
      <c r="G104" s="368"/>
      <c r="H104" s="1050"/>
      <c r="I104" s="368"/>
      <c r="J104" s="368"/>
      <c r="K104" s="364"/>
      <c r="L104" s="369"/>
      <c r="M104" s="1052"/>
      <c r="P104" s="364"/>
      <c r="Q104" s="368"/>
      <c r="R104" s="1054"/>
      <c r="S104" s="368"/>
      <c r="T104" s="364"/>
      <c r="V104" s="1050"/>
      <c r="W104" s="368"/>
      <c r="Z104" s="331" t="s">
        <v>1081</v>
      </c>
      <c r="AA104" s="894" t="str">
        <f t="shared" si="16"/>
        <v>其他权益工具</v>
      </c>
    </row>
    <row r="105" spans="1:27" s="343" customFormat="1">
      <c r="A105" s="362"/>
      <c r="C105" s="1053"/>
      <c r="D105" s="368"/>
      <c r="E105" s="368"/>
      <c r="F105" s="363"/>
      <c r="G105" s="368"/>
      <c r="H105" s="1050"/>
      <c r="I105" s="368"/>
      <c r="J105" s="368"/>
      <c r="K105" s="364"/>
      <c r="L105" s="369"/>
      <c r="M105" s="1052"/>
      <c r="P105" s="364"/>
      <c r="Q105" s="368"/>
      <c r="R105" s="1054"/>
      <c r="S105" s="368"/>
      <c r="T105" s="364"/>
      <c r="V105" s="1050"/>
      <c r="W105" s="368"/>
      <c r="Z105" s="331"/>
      <c r="AA105" s="894" t="str">
        <f t="shared" si="16"/>
        <v xml:space="preserve">  其中：优先股</v>
      </c>
    </row>
    <row r="106" spans="1:27" s="343" customFormat="1">
      <c r="A106" s="362"/>
      <c r="C106" s="1053"/>
      <c r="D106" s="368"/>
      <c r="E106" s="368"/>
      <c r="F106" s="363"/>
      <c r="G106" s="368"/>
      <c r="H106" s="1050"/>
      <c r="I106" s="368"/>
      <c r="J106" s="368"/>
      <c r="K106" s="364"/>
      <c r="L106" s="369"/>
      <c r="M106" s="1052"/>
      <c r="P106" s="364"/>
      <c r="Q106" s="368"/>
      <c r="R106" s="1054"/>
      <c r="S106" s="368"/>
      <c r="T106" s="364"/>
      <c r="V106" s="1050"/>
      <c r="W106" s="368"/>
      <c r="Z106" s="331"/>
      <c r="AA106" s="894" t="str">
        <f t="shared" si="16"/>
        <v xml:space="preserve">        永续债</v>
      </c>
    </row>
    <row r="107" spans="1:27" s="343" customFormat="1">
      <c r="A107" s="362"/>
      <c r="C107" s="1053"/>
      <c r="D107" s="368"/>
      <c r="E107" s="368"/>
      <c r="F107" s="363"/>
      <c r="G107" s="368"/>
      <c r="H107" s="1050"/>
      <c r="I107" s="368"/>
      <c r="J107" s="368"/>
      <c r="K107" s="364"/>
      <c r="L107" s="369"/>
      <c r="M107" s="1052"/>
      <c r="P107" s="364"/>
      <c r="Q107" s="368"/>
      <c r="R107" s="1054"/>
      <c r="S107" s="368"/>
      <c r="T107" s="364"/>
      <c r="V107" s="1050"/>
      <c r="W107" s="368"/>
      <c r="Z107" s="331" t="s">
        <v>1082</v>
      </c>
      <c r="AA107" s="894" t="str">
        <f t="shared" si="16"/>
        <v>资本公积</v>
      </c>
    </row>
    <row r="108" spans="1:27" s="343" customFormat="1">
      <c r="A108" s="362"/>
      <c r="C108" s="1053"/>
      <c r="D108" s="368"/>
      <c r="E108" s="368"/>
      <c r="F108" s="363"/>
      <c r="G108" s="368"/>
      <c r="H108" s="1050"/>
      <c r="I108" s="368"/>
      <c r="J108" s="368"/>
      <c r="K108" s="364"/>
      <c r="L108" s="369"/>
      <c r="M108" s="1052"/>
      <c r="P108" s="364"/>
      <c r="Q108" s="368"/>
      <c r="R108" s="1054"/>
      <c r="S108" s="368"/>
      <c r="T108" s="364"/>
      <c r="V108" s="1050"/>
      <c r="W108" s="368"/>
      <c r="Z108" s="331" t="s">
        <v>1023</v>
      </c>
      <c r="AA108" s="894" t="str">
        <f t="shared" si="16"/>
        <v>减：库存股</v>
      </c>
    </row>
    <row r="109" spans="1:27" s="343" customFormat="1">
      <c r="A109" s="362"/>
      <c r="C109" s="1053"/>
      <c r="D109" s="368"/>
      <c r="E109" s="368"/>
      <c r="F109" s="363"/>
      <c r="G109" s="368"/>
      <c r="H109" s="1050"/>
      <c r="I109" s="368"/>
      <c r="J109" s="368"/>
      <c r="K109" s="364"/>
      <c r="L109" s="369"/>
      <c r="M109" s="1052"/>
      <c r="P109" s="364"/>
      <c r="Q109" s="368"/>
      <c r="R109" s="1054"/>
      <c r="S109" s="368"/>
      <c r="T109" s="364"/>
      <c r="V109" s="1050"/>
      <c r="W109" s="368"/>
      <c r="Z109" s="331" t="s">
        <v>921</v>
      </c>
      <c r="AA109" s="894" t="str">
        <f t="shared" si="16"/>
        <v>其他综合收益</v>
      </c>
    </row>
    <row r="110" spans="1:27" s="343" customFormat="1">
      <c r="A110" s="362"/>
      <c r="C110" s="1053"/>
      <c r="D110" s="368"/>
      <c r="E110" s="368"/>
      <c r="F110" s="363"/>
      <c r="G110" s="368"/>
      <c r="H110" s="1050"/>
      <c r="I110" s="368"/>
      <c r="J110" s="368"/>
      <c r="K110" s="364"/>
      <c r="L110" s="369"/>
      <c r="M110" s="1052"/>
      <c r="P110" s="364"/>
      <c r="Q110" s="368"/>
      <c r="R110" s="1054"/>
      <c r="S110" s="368"/>
      <c r="T110" s="364"/>
      <c r="V110" s="1050"/>
      <c r="W110" s="368"/>
      <c r="Z110" s="331" t="s">
        <v>922</v>
      </c>
      <c r="AA110" s="894" t="str">
        <f t="shared" si="16"/>
        <v>专项储备</v>
      </c>
    </row>
    <row r="111" spans="1:27" s="343" customFormat="1">
      <c r="A111" s="362"/>
      <c r="C111" s="1053"/>
      <c r="D111" s="368"/>
      <c r="E111" s="368"/>
      <c r="F111" s="363"/>
      <c r="G111" s="368"/>
      <c r="H111" s="1050"/>
      <c r="I111" s="368"/>
      <c r="J111" s="368"/>
      <c r="K111" s="364"/>
      <c r="L111" s="369"/>
      <c r="M111" s="1052"/>
      <c r="P111" s="364"/>
      <c r="Q111" s="368"/>
      <c r="R111" s="1054"/>
      <c r="S111" s="368"/>
      <c r="T111" s="364"/>
      <c r="V111" s="1050"/>
      <c r="W111" s="368"/>
      <c r="Z111" s="331" t="s">
        <v>923</v>
      </c>
      <c r="AA111" s="894" t="str">
        <f t="shared" si="16"/>
        <v>盈余公积</v>
      </c>
    </row>
    <row r="112" spans="1:27" s="343" customFormat="1">
      <c r="A112" s="362"/>
      <c r="C112" s="1053"/>
      <c r="D112" s="368"/>
      <c r="E112" s="368"/>
      <c r="F112" s="363"/>
      <c r="G112" s="368"/>
      <c r="H112" s="1050"/>
      <c r="I112" s="368"/>
      <c r="J112" s="368"/>
      <c r="K112" s="364"/>
      <c r="L112" s="369"/>
      <c r="M112" s="1052"/>
      <c r="P112" s="364"/>
      <c r="Q112" s="368"/>
      <c r="R112" s="1054"/>
      <c r="S112" s="368"/>
      <c r="T112" s="364"/>
      <c r="V112" s="1050"/>
      <c r="W112" s="368"/>
      <c r="Z112" s="331" t="s">
        <v>1166</v>
      </c>
      <c r="AA112" s="894" t="str">
        <f t="shared" si="16"/>
        <v>一般风险准备</v>
      </c>
    </row>
    <row r="113" spans="1:27" s="343" customFormat="1">
      <c r="A113" s="362"/>
      <c r="C113" s="1053"/>
      <c r="D113" s="368"/>
      <c r="E113" s="368"/>
      <c r="F113" s="363"/>
      <c r="G113" s="368"/>
      <c r="H113" s="1050"/>
      <c r="I113" s="368"/>
      <c r="J113" s="368"/>
      <c r="K113" s="364"/>
      <c r="L113" s="369"/>
      <c r="M113" s="1052"/>
      <c r="P113" s="364"/>
      <c r="Q113" s="368"/>
      <c r="R113" s="1054"/>
      <c r="S113" s="368"/>
      <c r="T113" s="364"/>
      <c r="V113" s="1050"/>
      <c r="W113" s="368"/>
      <c r="Z113" s="331" t="s">
        <v>924</v>
      </c>
      <c r="AA113" s="894" t="str">
        <f t="shared" si="16"/>
        <v>未分配利润</v>
      </c>
    </row>
    <row r="114" spans="1:27" s="343" customFormat="1">
      <c r="A114" s="362"/>
      <c r="C114" s="1053"/>
      <c r="D114" s="368"/>
      <c r="E114" s="368"/>
      <c r="F114" s="363"/>
      <c r="G114" s="368"/>
      <c r="H114" s="1050"/>
      <c r="I114" s="368"/>
      <c r="J114" s="368"/>
      <c r="K114" s="364"/>
      <c r="L114" s="369"/>
      <c r="M114" s="1052"/>
      <c r="P114" s="364"/>
      <c r="Q114" s="368"/>
      <c r="R114" s="1054"/>
      <c r="S114" s="368"/>
      <c r="T114" s="364"/>
      <c r="V114" s="1050"/>
      <c r="W114" s="368"/>
      <c r="Z114" s="331"/>
      <c r="AA114" s="894" t="str">
        <f t="shared" si="16"/>
        <v>归属于母公司股东权益合计</v>
      </c>
    </row>
    <row r="115" spans="1:27" s="343" customFormat="1">
      <c r="A115" s="362"/>
      <c r="C115" s="1053"/>
      <c r="D115" s="368"/>
      <c r="E115" s="368"/>
      <c r="F115" s="363"/>
      <c r="G115" s="368"/>
      <c r="H115" s="1050"/>
      <c r="I115" s="368"/>
      <c r="J115" s="368"/>
      <c r="K115" s="364"/>
      <c r="L115" s="369"/>
      <c r="M115" s="1052"/>
      <c r="P115" s="364"/>
      <c r="Q115" s="368"/>
      <c r="R115" s="1054"/>
      <c r="S115" s="368"/>
      <c r="T115" s="364"/>
      <c r="V115" s="1050"/>
      <c r="W115" s="368"/>
      <c r="Z115" s="331" t="s">
        <v>1100</v>
      </c>
      <c r="AA115" s="894" t="str">
        <f t="shared" si="16"/>
        <v>少数股东权益</v>
      </c>
    </row>
    <row r="116" spans="1:27" s="343" customFormat="1">
      <c r="A116" s="362"/>
      <c r="C116" s="1053"/>
      <c r="D116" s="368"/>
      <c r="E116" s="368"/>
      <c r="F116" s="363"/>
      <c r="G116" s="368"/>
      <c r="H116" s="1050"/>
      <c r="I116" s="368"/>
      <c r="J116" s="368"/>
      <c r="K116" s="364"/>
      <c r="L116" s="369"/>
      <c r="M116" s="1052"/>
      <c r="P116" s="364"/>
      <c r="Q116" s="368"/>
      <c r="R116" s="1054"/>
      <c r="S116" s="368"/>
      <c r="T116" s="364"/>
      <c r="V116" s="1050"/>
      <c r="W116" s="368"/>
      <c r="Z116" s="331"/>
      <c r="AA116" s="895" t="str">
        <f t="shared" si="16"/>
        <v>股东权益合计</v>
      </c>
    </row>
    <row r="117" spans="1:27" s="343" customFormat="1">
      <c r="A117" s="362"/>
      <c r="C117" s="1053"/>
      <c r="D117" s="368"/>
      <c r="E117" s="368"/>
      <c r="F117" s="363"/>
      <c r="G117" s="368"/>
      <c r="H117" s="1050"/>
      <c r="I117" s="368"/>
      <c r="J117" s="368"/>
      <c r="K117" s="364"/>
      <c r="L117" s="369"/>
      <c r="M117" s="1052"/>
      <c r="P117" s="364"/>
      <c r="Q117" s="368"/>
      <c r="R117" s="1054"/>
      <c r="S117" s="368"/>
      <c r="T117" s="364"/>
      <c r="V117" s="1050"/>
      <c r="W117" s="368"/>
      <c r="Z117" s="331"/>
      <c r="AA117" s="895" t="str">
        <f t="shared" si="16"/>
        <v>负债和股东权益合计</v>
      </c>
    </row>
    <row r="118" spans="1:27" s="343" customFormat="1">
      <c r="A118" s="362"/>
      <c r="C118" s="1053"/>
      <c r="D118" s="368"/>
      <c r="E118" s="368"/>
      <c r="F118" s="363"/>
      <c r="G118" s="368"/>
      <c r="H118" s="1050"/>
      <c r="I118" s="368"/>
      <c r="J118" s="368"/>
      <c r="K118" s="364"/>
      <c r="L118" s="369"/>
      <c r="M118" s="1052"/>
      <c r="P118" s="364"/>
      <c r="Q118" s="368"/>
      <c r="R118" s="1054"/>
      <c r="S118" s="368"/>
      <c r="T118" s="364"/>
      <c r="V118" s="1050"/>
      <c r="W118" s="368"/>
      <c r="Z118" s="331"/>
      <c r="AA118" s="894">
        <f t="shared" si="16"/>
        <v>0</v>
      </c>
    </row>
    <row r="119" spans="1:27" s="343" customFormat="1">
      <c r="A119" s="362"/>
      <c r="C119" s="1053"/>
      <c r="D119" s="368"/>
      <c r="E119" s="368"/>
      <c r="F119" s="363"/>
      <c r="G119" s="368"/>
      <c r="H119" s="1050"/>
      <c r="I119" s="368"/>
      <c r="J119" s="368"/>
      <c r="K119" s="364"/>
      <c r="L119" s="369"/>
      <c r="M119" s="1052"/>
      <c r="P119" s="364"/>
      <c r="Q119" s="368"/>
      <c r="R119" s="1054"/>
      <c r="S119" s="368"/>
      <c r="T119" s="364"/>
      <c r="V119" s="1050"/>
      <c r="W119" s="368"/>
      <c r="Z119" s="331"/>
      <c r="AA119" s="894">
        <f t="shared" si="16"/>
        <v>0</v>
      </c>
    </row>
    <row r="120" spans="1:27" s="343" customFormat="1">
      <c r="A120" s="362"/>
      <c r="C120" s="1053"/>
      <c r="D120" s="368"/>
      <c r="E120" s="368"/>
      <c r="F120" s="363"/>
      <c r="G120" s="368"/>
      <c r="H120" s="1050"/>
      <c r="I120" s="368"/>
      <c r="J120" s="368"/>
      <c r="K120" s="364"/>
      <c r="L120" s="369"/>
      <c r="M120" s="1052"/>
      <c r="P120" s="364"/>
      <c r="Q120" s="368"/>
      <c r="R120" s="1054"/>
      <c r="S120" s="368"/>
      <c r="T120" s="364"/>
      <c r="V120" s="1050"/>
      <c r="W120" s="368"/>
      <c r="Z120" s="331"/>
      <c r="AA120" s="894"/>
    </row>
    <row r="121" spans="1:27" s="343" customFormat="1">
      <c r="A121" s="362"/>
      <c r="C121" s="1053"/>
      <c r="D121" s="368"/>
      <c r="E121" s="368"/>
      <c r="F121" s="363"/>
      <c r="G121" s="368"/>
      <c r="H121" s="1050"/>
      <c r="I121" s="368"/>
      <c r="J121" s="368"/>
      <c r="K121" s="364"/>
      <c r="L121" s="369"/>
      <c r="M121" s="1052"/>
      <c r="P121" s="364"/>
      <c r="Q121" s="368"/>
      <c r="R121" s="1054"/>
      <c r="S121" s="368"/>
      <c r="T121" s="364"/>
      <c r="V121" s="1050"/>
      <c r="W121" s="368"/>
      <c r="Z121" s="331" t="s">
        <v>98</v>
      </c>
      <c r="AA121" s="897" t="str">
        <f>L5</f>
        <v>一、营业收入</v>
      </c>
    </row>
    <row r="122" spans="1:27" s="343" customFormat="1">
      <c r="A122" s="362"/>
      <c r="C122" s="1053"/>
      <c r="D122" s="368"/>
      <c r="E122" s="368"/>
      <c r="F122" s="363"/>
      <c r="G122" s="368"/>
      <c r="H122" s="1050"/>
      <c r="I122" s="368"/>
      <c r="J122" s="368"/>
      <c r="K122" s="364"/>
      <c r="L122" s="369"/>
      <c r="M122" s="1052"/>
      <c r="P122" s="364"/>
      <c r="Q122" s="368"/>
      <c r="R122" s="1054"/>
      <c r="S122" s="368"/>
      <c r="T122" s="364"/>
      <c r="V122" s="1050"/>
      <c r="W122" s="368"/>
      <c r="Z122" s="331"/>
      <c r="AA122" s="900" t="str">
        <f t="shared" ref="AA122:AA125" si="17">L6</f>
        <v xml:space="preserve">        其中：主营业务收入</v>
      </c>
    </row>
    <row r="123" spans="1:27" s="343" customFormat="1">
      <c r="A123" s="362"/>
      <c r="C123" s="1053"/>
      <c r="D123" s="368"/>
      <c r="E123" s="368"/>
      <c r="F123" s="363"/>
      <c r="G123" s="368"/>
      <c r="H123" s="1050"/>
      <c r="I123" s="368"/>
      <c r="J123" s="368"/>
      <c r="K123" s="364"/>
      <c r="L123" s="369"/>
      <c r="M123" s="1052"/>
      <c r="P123" s="364"/>
      <c r="Q123" s="368"/>
      <c r="R123" s="1054"/>
      <c r="S123" s="368"/>
      <c r="T123" s="364"/>
      <c r="V123" s="1050"/>
      <c r="W123" s="368"/>
      <c r="Z123" s="331"/>
      <c r="AA123" s="900" t="str">
        <f t="shared" si="17"/>
        <v xml:space="preserve">              利息收入</v>
      </c>
    </row>
    <row r="124" spans="1:27" s="343" customFormat="1">
      <c r="A124" s="362"/>
      <c r="C124" s="1053"/>
      <c r="D124" s="368"/>
      <c r="E124" s="368"/>
      <c r="F124" s="363"/>
      <c r="G124" s="368"/>
      <c r="H124" s="1050"/>
      <c r="I124" s="368"/>
      <c r="J124" s="368"/>
      <c r="K124" s="364"/>
      <c r="L124" s="369"/>
      <c r="M124" s="1052"/>
      <c r="P124" s="364"/>
      <c r="Q124" s="368"/>
      <c r="R124" s="1054"/>
      <c r="S124" s="368"/>
      <c r="T124" s="364"/>
      <c r="V124" s="1050"/>
      <c r="W124" s="368"/>
      <c r="Z124" s="331"/>
      <c r="AA124" s="900" t="str">
        <f t="shared" si="17"/>
        <v xml:space="preserve">              已赚保费</v>
      </c>
    </row>
    <row r="125" spans="1:27" s="343" customFormat="1">
      <c r="A125" s="362"/>
      <c r="C125" s="1053"/>
      <c r="D125" s="368"/>
      <c r="E125" s="368"/>
      <c r="F125" s="363"/>
      <c r="G125" s="368"/>
      <c r="H125" s="1050"/>
      <c r="I125" s="368"/>
      <c r="J125" s="368"/>
      <c r="K125" s="364"/>
      <c r="L125" s="369"/>
      <c r="M125" s="1052"/>
      <c r="P125" s="364"/>
      <c r="Q125" s="368"/>
      <c r="R125" s="1054"/>
      <c r="S125" s="368"/>
      <c r="T125" s="364"/>
      <c r="V125" s="1050"/>
      <c r="W125" s="368"/>
      <c r="Z125" s="331"/>
      <c r="AA125" s="900" t="str">
        <f t="shared" si="17"/>
        <v xml:space="preserve">              手续费及佣金收入</v>
      </c>
    </row>
    <row r="126" spans="1:27" s="343" customFormat="1">
      <c r="A126" s="362"/>
      <c r="C126" s="1053"/>
      <c r="D126" s="368"/>
      <c r="E126" s="368"/>
      <c r="F126" s="363"/>
      <c r="G126" s="368"/>
      <c r="H126" s="1050"/>
      <c r="I126" s="368"/>
      <c r="J126" s="368"/>
      <c r="K126" s="364"/>
      <c r="L126" s="369"/>
      <c r="M126" s="1052"/>
      <c r="P126" s="364"/>
      <c r="Q126" s="368"/>
      <c r="R126" s="1054"/>
      <c r="S126" s="368"/>
      <c r="T126" s="364"/>
      <c r="V126" s="1050"/>
      <c r="W126" s="368"/>
      <c r="Z126" s="331"/>
      <c r="AA126" s="900" t="str">
        <f>L10</f>
        <v xml:space="preserve">              其他业务收入</v>
      </c>
    </row>
    <row r="127" spans="1:27" s="343" customFormat="1">
      <c r="A127" s="362"/>
      <c r="C127" s="1053"/>
      <c r="D127" s="368"/>
      <c r="E127" s="368"/>
      <c r="F127" s="363"/>
      <c r="G127" s="368"/>
      <c r="H127" s="1050"/>
      <c r="I127" s="368"/>
      <c r="J127" s="368"/>
      <c r="K127" s="364"/>
      <c r="L127" s="369"/>
      <c r="M127" s="1052"/>
      <c r="P127" s="364"/>
      <c r="Q127" s="368"/>
      <c r="R127" s="1054"/>
      <c r="S127" s="368"/>
      <c r="T127" s="364"/>
      <c r="V127" s="1050"/>
      <c r="W127" s="368"/>
      <c r="Z127" s="331" t="s">
        <v>99</v>
      </c>
      <c r="AA127" s="900" t="str">
        <f>L11</f>
        <v xml:space="preserve">    减：营业成本</v>
      </c>
    </row>
    <row r="128" spans="1:27" s="343" customFormat="1">
      <c r="A128" s="362"/>
      <c r="C128" s="1053"/>
      <c r="D128" s="368"/>
      <c r="E128" s="368"/>
      <c r="F128" s="363"/>
      <c r="G128" s="368"/>
      <c r="H128" s="1050"/>
      <c r="I128" s="368"/>
      <c r="J128" s="368"/>
      <c r="K128" s="364"/>
      <c r="L128" s="369"/>
      <c r="M128" s="1052"/>
      <c r="P128" s="364"/>
      <c r="Q128" s="368"/>
      <c r="R128" s="1054"/>
      <c r="S128" s="368"/>
      <c r="T128" s="364"/>
      <c r="V128" s="1050"/>
      <c r="W128" s="368"/>
      <c r="Z128" s="331"/>
      <c r="AA128" s="900" t="str">
        <f>L12</f>
        <v xml:space="preserve">        其中：主营业务成本</v>
      </c>
    </row>
    <row r="129" spans="1:27" s="343" customFormat="1">
      <c r="A129" s="362"/>
      <c r="C129" s="1053"/>
      <c r="D129" s="368"/>
      <c r="E129" s="368"/>
      <c r="F129" s="363"/>
      <c r="G129" s="368"/>
      <c r="H129" s="1050"/>
      <c r="I129" s="368"/>
      <c r="J129" s="368"/>
      <c r="K129" s="364"/>
      <c r="L129" s="369"/>
      <c r="M129" s="1052"/>
      <c r="P129" s="364"/>
      <c r="Q129" s="368"/>
      <c r="R129" s="1054"/>
      <c r="S129" s="368"/>
      <c r="T129" s="364"/>
      <c r="V129" s="1050"/>
      <c r="W129" s="368"/>
      <c r="Z129" s="331"/>
      <c r="AA129" s="900" t="str">
        <f t="shared" ref="AA129:AA135" si="18">L13</f>
        <v xml:space="preserve">              利息支出</v>
      </c>
    </row>
    <row r="130" spans="1:27" s="343" customFormat="1">
      <c r="A130" s="362"/>
      <c r="C130" s="1053"/>
      <c r="D130" s="368"/>
      <c r="E130" s="368"/>
      <c r="F130" s="363"/>
      <c r="G130" s="368"/>
      <c r="H130" s="1050"/>
      <c r="I130" s="368"/>
      <c r="J130" s="368"/>
      <c r="K130" s="364"/>
      <c r="L130" s="369"/>
      <c r="M130" s="1052"/>
      <c r="P130" s="364"/>
      <c r="Q130" s="368"/>
      <c r="R130" s="1054"/>
      <c r="S130" s="368"/>
      <c r="T130" s="364"/>
      <c r="V130" s="1050"/>
      <c r="W130" s="368"/>
      <c r="Z130" s="331"/>
      <c r="AA130" s="900" t="str">
        <f t="shared" si="18"/>
        <v xml:space="preserve">              手续费及佣金支出</v>
      </c>
    </row>
    <row r="131" spans="1:27" s="343" customFormat="1">
      <c r="A131" s="362"/>
      <c r="C131" s="1053"/>
      <c r="D131" s="368"/>
      <c r="E131" s="368"/>
      <c r="F131" s="363"/>
      <c r="G131" s="368"/>
      <c r="H131" s="1050"/>
      <c r="I131" s="368"/>
      <c r="J131" s="368"/>
      <c r="K131" s="364"/>
      <c r="L131" s="369"/>
      <c r="M131" s="1052"/>
      <c r="P131" s="364"/>
      <c r="Q131" s="368"/>
      <c r="R131" s="1054"/>
      <c r="S131" s="368"/>
      <c r="T131" s="364"/>
      <c r="V131" s="1050"/>
      <c r="W131" s="368"/>
      <c r="Z131" s="331"/>
      <c r="AA131" s="900" t="str">
        <f t="shared" si="18"/>
        <v xml:space="preserve">              退保金</v>
      </c>
    </row>
    <row r="132" spans="1:27" s="343" customFormat="1">
      <c r="A132" s="362"/>
      <c r="C132" s="1053"/>
      <c r="D132" s="368"/>
      <c r="E132" s="368"/>
      <c r="F132" s="363"/>
      <c r="G132" s="368"/>
      <c r="H132" s="1050"/>
      <c r="I132" s="368"/>
      <c r="J132" s="368"/>
      <c r="K132" s="364"/>
      <c r="L132" s="369"/>
      <c r="M132" s="1052"/>
      <c r="P132" s="364"/>
      <c r="Q132" s="368"/>
      <c r="R132" s="1054"/>
      <c r="S132" s="368"/>
      <c r="T132" s="364"/>
      <c r="V132" s="1050"/>
      <c r="W132" s="368"/>
      <c r="Z132" s="331"/>
      <c r="AA132" s="900" t="str">
        <f t="shared" si="18"/>
        <v xml:space="preserve">              赔付支出净额</v>
      </c>
    </row>
    <row r="133" spans="1:27" s="343" customFormat="1">
      <c r="A133" s="362"/>
      <c r="C133" s="1053"/>
      <c r="D133" s="368"/>
      <c r="E133" s="368"/>
      <c r="F133" s="363"/>
      <c r="G133" s="368"/>
      <c r="H133" s="1050"/>
      <c r="I133" s="368"/>
      <c r="J133" s="368"/>
      <c r="K133" s="364"/>
      <c r="L133" s="369"/>
      <c r="M133" s="1052"/>
      <c r="P133" s="364"/>
      <c r="Q133" s="368"/>
      <c r="R133" s="1054"/>
      <c r="S133" s="368"/>
      <c r="T133" s="364"/>
      <c r="V133" s="1050"/>
      <c r="W133" s="368"/>
      <c r="Z133" s="331"/>
      <c r="AA133" s="900" t="str">
        <f t="shared" si="18"/>
        <v xml:space="preserve">              提取保险合同准备金净额</v>
      </c>
    </row>
    <row r="134" spans="1:27" s="343" customFormat="1">
      <c r="A134" s="362"/>
      <c r="C134" s="1053"/>
      <c r="D134" s="368"/>
      <c r="E134" s="368"/>
      <c r="F134" s="363"/>
      <c r="G134" s="368"/>
      <c r="H134" s="1050"/>
      <c r="I134" s="368"/>
      <c r="J134" s="368"/>
      <c r="K134" s="364"/>
      <c r="L134" s="369"/>
      <c r="M134" s="1052"/>
      <c r="P134" s="364"/>
      <c r="Q134" s="368"/>
      <c r="R134" s="1054"/>
      <c r="S134" s="368"/>
      <c r="T134" s="364"/>
      <c r="V134" s="1050"/>
      <c r="W134" s="368"/>
      <c r="Z134" s="331"/>
      <c r="AA134" s="900" t="str">
        <f t="shared" si="18"/>
        <v xml:space="preserve">              保单红利支出</v>
      </c>
    </row>
    <row r="135" spans="1:27" s="343" customFormat="1">
      <c r="A135" s="362"/>
      <c r="C135" s="1053"/>
      <c r="D135" s="368"/>
      <c r="E135" s="368"/>
      <c r="F135" s="363"/>
      <c r="G135" s="368"/>
      <c r="H135" s="1050"/>
      <c r="I135" s="368"/>
      <c r="J135" s="368"/>
      <c r="K135" s="364"/>
      <c r="L135" s="369"/>
      <c r="M135" s="1052"/>
      <c r="P135" s="364"/>
      <c r="Q135" s="368"/>
      <c r="R135" s="1054"/>
      <c r="S135" s="368"/>
      <c r="T135" s="364"/>
      <c r="V135" s="1050"/>
      <c r="W135" s="368"/>
      <c r="Z135" s="331"/>
      <c r="AA135" s="900" t="str">
        <f t="shared" si="18"/>
        <v xml:space="preserve">              分保费用</v>
      </c>
    </row>
    <row r="136" spans="1:27" s="343" customFormat="1">
      <c r="A136" s="362"/>
      <c r="C136" s="1053"/>
      <c r="D136" s="368"/>
      <c r="E136" s="368"/>
      <c r="F136" s="363"/>
      <c r="G136" s="368"/>
      <c r="H136" s="1050"/>
      <c r="I136" s="368"/>
      <c r="J136" s="368"/>
      <c r="K136" s="364"/>
      <c r="L136" s="369"/>
      <c r="M136" s="1052"/>
      <c r="P136" s="364"/>
      <c r="Q136" s="368"/>
      <c r="R136" s="1054"/>
      <c r="S136" s="368"/>
      <c r="T136" s="364"/>
      <c r="V136" s="1050"/>
      <c r="W136" s="368"/>
      <c r="Z136" s="331"/>
      <c r="AA136" s="900" t="str">
        <f t="shared" ref="AA136:AA167" si="19">L20</f>
        <v xml:space="preserve">              其他业务成本</v>
      </c>
    </row>
    <row r="137" spans="1:27" s="343" customFormat="1">
      <c r="A137" s="362"/>
      <c r="C137" s="1053"/>
      <c r="D137" s="368"/>
      <c r="E137" s="368"/>
      <c r="F137" s="363"/>
      <c r="G137" s="368"/>
      <c r="H137" s="1050"/>
      <c r="I137" s="368"/>
      <c r="J137" s="368"/>
      <c r="K137" s="364"/>
      <c r="L137" s="369"/>
      <c r="M137" s="1052"/>
      <c r="P137" s="364"/>
      <c r="Q137" s="368"/>
      <c r="R137" s="1054"/>
      <c r="S137" s="368"/>
      <c r="T137" s="364"/>
      <c r="V137" s="1050"/>
      <c r="W137" s="368"/>
      <c r="Z137" s="331" t="s">
        <v>100</v>
      </c>
      <c r="AA137" s="900" t="str">
        <f t="shared" si="19"/>
        <v xml:space="preserve">        税金及附加</v>
      </c>
    </row>
    <row r="138" spans="1:27" s="343" customFormat="1">
      <c r="A138" s="362"/>
      <c r="C138" s="1053"/>
      <c r="D138" s="368"/>
      <c r="E138" s="368"/>
      <c r="F138" s="363"/>
      <c r="G138" s="368"/>
      <c r="H138" s="1050"/>
      <c r="I138" s="368"/>
      <c r="J138" s="368"/>
      <c r="K138" s="364"/>
      <c r="L138" s="369"/>
      <c r="M138" s="1052"/>
      <c r="P138" s="364"/>
      <c r="Q138" s="368"/>
      <c r="R138" s="1054"/>
      <c r="S138" s="368"/>
      <c r="T138" s="364"/>
      <c r="V138" s="1050"/>
      <c r="W138" s="368"/>
      <c r="Z138" s="331" t="s">
        <v>1024</v>
      </c>
      <c r="AA138" s="900" t="str">
        <f t="shared" si="19"/>
        <v xml:space="preserve">        销售费用</v>
      </c>
    </row>
    <row r="139" spans="1:27" s="343" customFormat="1">
      <c r="A139" s="362"/>
      <c r="C139" s="1053"/>
      <c r="D139" s="368"/>
      <c r="E139" s="368"/>
      <c r="F139" s="363"/>
      <c r="G139" s="368"/>
      <c r="H139" s="1050"/>
      <c r="I139" s="368"/>
      <c r="J139" s="368"/>
      <c r="K139" s="364"/>
      <c r="L139" s="369"/>
      <c r="M139" s="1052"/>
      <c r="P139" s="364"/>
      <c r="Q139" s="368"/>
      <c r="R139" s="1054"/>
      <c r="S139" s="368"/>
      <c r="T139" s="364"/>
      <c r="V139" s="1050"/>
      <c r="W139" s="368"/>
      <c r="Z139" s="331" t="s">
        <v>1025</v>
      </c>
      <c r="AA139" s="900" t="str">
        <f t="shared" si="19"/>
        <v xml:space="preserve">        管理费用</v>
      </c>
    </row>
    <row r="140" spans="1:27" s="343" customFormat="1">
      <c r="A140" s="362"/>
      <c r="C140" s="1053"/>
      <c r="D140" s="368"/>
      <c r="E140" s="368"/>
      <c r="F140" s="363"/>
      <c r="G140" s="368"/>
      <c r="H140" s="1050"/>
      <c r="I140" s="368"/>
      <c r="J140" s="368"/>
      <c r="K140" s="364"/>
      <c r="L140" s="369"/>
      <c r="M140" s="1052"/>
      <c r="P140" s="364"/>
      <c r="Q140" s="368"/>
      <c r="R140" s="1054"/>
      <c r="S140" s="368"/>
      <c r="T140" s="364"/>
      <c r="V140" s="1050"/>
      <c r="W140" s="368"/>
      <c r="Z140" s="331" t="s">
        <v>1026</v>
      </c>
      <c r="AA140" s="900" t="str">
        <f t="shared" si="19"/>
        <v xml:space="preserve">        研发费用</v>
      </c>
    </row>
    <row r="141" spans="1:27" s="343" customFormat="1">
      <c r="A141" s="362"/>
      <c r="C141" s="1053"/>
      <c r="D141" s="368"/>
      <c r="E141" s="368"/>
      <c r="F141" s="363"/>
      <c r="G141" s="368"/>
      <c r="H141" s="1050"/>
      <c r="I141" s="368"/>
      <c r="J141" s="368"/>
      <c r="K141" s="364"/>
      <c r="L141" s="369"/>
      <c r="M141" s="1052"/>
      <c r="P141" s="364"/>
      <c r="Q141" s="368"/>
      <c r="R141" s="1054"/>
      <c r="S141" s="368"/>
      <c r="T141" s="364"/>
      <c r="V141" s="1050"/>
      <c r="W141" s="368"/>
      <c r="Z141" s="331" t="s">
        <v>1027</v>
      </c>
      <c r="AA141" s="900" t="str">
        <f t="shared" si="19"/>
        <v xml:space="preserve">        财务费用</v>
      </c>
    </row>
    <row r="142" spans="1:27" s="343" customFormat="1">
      <c r="A142" s="362"/>
      <c r="C142" s="1053"/>
      <c r="D142" s="368"/>
      <c r="E142" s="368"/>
      <c r="F142" s="363"/>
      <c r="G142" s="368"/>
      <c r="H142" s="1050"/>
      <c r="I142" s="368"/>
      <c r="J142" s="368"/>
      <c r="K142" s="364"/>
      <c r="L142" s="369"/>
      <c r="M142" s="1052"/>
      <c r="P142" s="364"/>
      <c r="Q142" s="368"/>
      <c r="R142" s="1054"/>
      <c r="S142" s="368"/>
      <c r="T142" s="364"/>
      <c r="V142" s="1050"/>
      <c r="W142" s="368"/>
      <c r="Z142" s="331"/>
      <c r="AA142" s="900" t="str">
        <f t="shared" si="19"/>
        <v xml:space="preserve">        其中：利息费用</v>
      </c>
    </row>
    <row r="143" spans="1:27" s="343" customFormat="1">
      <c r="A143" s="362"/>
      <c r="C143" s="1053"/>
      <c r="D143" s="368"/>
      <c r="E143" s="368"/>
      <c r="F143" s="363"/>
      <c r="G143" s="368"/>
      <c r="H143" s="1050"/>
      <c r="I143" s="368"/>
      <c r="J143" s="368"/>
      <c r="K143" s="364"/>
      <c r="L143" s="369"/>
      <c r="M143" s="1052"/>
      <c r="P143" s="364"/>
      <c r="Q143" s="368"/>
      <c r="R143" s="1054"/>
      <c r="S143" s="368"/>
      <c r="T143" s="364"/>
      <c r="V143" s="1050"/>
      <c r="W143" s="368"/>
      <c r="Z143" s="331"/>
      <c r="AA143" s="900" t="str">
        <f t="shared" si="19"/>
        <v xml:space="preserve">              利息收入</v>
      </c>
    </row>
    <row r="144" spans="1:27" s="343" customFormat="1">
      <c r="A144" s="362"/>
      <c r="C144" s="1053"/>
      <c r="D144" s="368"/>
      <c r="E144" s="368"/>
      <c r="F144" s="363"/>
      <c r="G144" s="368"/>
      <c r="H144" s="1050"/>
      <c r="I144" s="368"/>
      <c r="J144" s="368"/>
      <c r="K144" s="364"/>
      <c r="L144" s="369"/>
      <c r="M144" s="1052"/>
      <c r="P144" s="364"/>
      <c r="Q144" s="368"/>
      <c r="R144" s="1054"/>
      <c r="S144" s="368"/>
      <c r="T144" s="364"/>
      <c r="V144" s="1050"/>
      <c r="W144" s="368"/>
      <c r="Z144" s="820" t="s">
        <v>966</v>
      </c>
      <c r="AA144" s="900" t="str">
        <f t="shared" si="19"/>
        <v xml:space="preserve">    加：其他收益</v>
      </c>
    </row>
    <row r="145" spans="1:27" s="343" customFormat="1">
      <c r="A145" s="362"/>
      <c r="C145" s="1053"/>
      <c r="D145" s="368"/>
      <c r="E145" s="368"/>
      <c r="F145" s="363"/>
      <c r="G145" s="368"/>
      <c r="H145" s="1050"/>
      <c r="I145" s="368"/>
      <c r="J145" s="368"/>
      <c r="K145" s="364"/>
      <c r="L145" s="369"/>
      <c r="M145" s="1052"/>
      <c r="P145" s="364"/>
      <c r="Q145" s="368"/>
      <c r="R145" s="1054"/>
      <c r="S145" s="368"/>
      <c r="T145" s="364"/>
      <c r="V145" s="1050"/>
      <c r="W145" s="368"/>
      <c r="Z145" s="820" t="s">
        <v>967</v>
      </c>
      <c r="AA145" s="900" t="str">
        <f t="shared" si="19"/>
        <v xml:space="preserve">        投资收益（损失以“－”号填列）</v>
      </c>
    </row>
    <row r="146" spans="1:27" s="343" customFormat="1">
      <c r="A146" s="362"/>
      <c r="C146" s="1053"/>
      <c r="D146" s="368"/>
      <c r="E146" s="368"/>
      <c r="F146" s="363"/>
      <c r="G146" s="368"/>
      <c r="H146" s="1050"/>
      <c r="I146" s="368"/>
      <c r="J146" s="368"/>
      <c r="K146" s="364"/>
      <c r="L146" s="369"/>
      <c r="M146" s="1052"/>
      <c r="P146" s="364"/>
      <c r="Q146" s="368"/>
      <c r="R146" s="1054"/>
      <c r="S146" s="368"/>
      <c r="T146" s="364"/>
      <c r="V146" s="1050"/>
      <c r="W146" s="368"/>
      <c r="Z146" s="820"/>
      <c r="AA146" s="900" t="str">
        <f t="shared" si="19"/>
        <v xml:space="preserve">        其中：对联营企业和合营企业的投资收益</v>
      </c>
    </row>
    <row r="147" spans="1:27" s="343" customFormat="1">
      <c r="A147" s="362"/>
      <c r="C147" s="1053"/>
      <c r="D147" s="368"/>
      <c r="E147" s="368"/>
      <c r="F147" s="363"/>
      <c r="G147" s="368"/>
      <c r="H147" s="1050"/>
      <c r="I147" s="368"/>
      <c r="J147" s="368"/>
      <c r="K147" s="364"/>
      <c r="L147" s="369"/>
      <c r="M147" s="1052"/>
      <c r="P147" s="364"/>
      <c r="Q147" s="368"/>
      <c r="R147" s="1054"/>
      <c r="S147" s="368"/>
      <c r="T147" s="364"/>
      <c r="V147" s="1050"/>
      <c r="W147" s="368"/>
      <c r="Z147" s="820"/>
      <c r="AA147" s="900" t="str">
        <f t="shared" si="19"/>
        <v xml:space="preserve">              以摊余成本计量的金融资产终止确认收益（损失以“-”号填列）</v>
      </c>
    </row>
    <row r="148" spans="1:27" s="343" customFormat="1">
      <c r="A148" s="362"/>
      <c r="C148" s="1053"/>
      <c r="D148" s="368"/>
      <c r="E148" s="368"/>
      <c r="F148" s="363"/>
      <c r="G148" s="368"/>
      <c r="H148" s="1050"/>
      <c r="I148" s="368"/>
      <c r="J148" s="368"/>
      <c r="K148" s="364"/>
      <c r="L148" s="369"/>
      <c r="M148" s="1052"/>
      <c r="P148" s="364"/>
      <c r="Q148" s="368"/>
      <c r="R148" s="1054"/>
      <c r="S148" s="368"/>
      <c r="T148" s="364"/>
      <c r="V148" s="1050"/>
      <c r="W148" s="368"/>
      <c r="Z148" s="820" t="s">
        <v>1084</v>
      </c>
      <c r="AA148" s="900" t="str">
        <f t="shared" si="19"/>
        <v xml:space="preserve">        净敞口套期收益（损失以“-”号填列）</v>
      </c>
    </row>
    <row r="149" spans="1:27" s="343" customFormat="1">
      <c r="A149" s="362"/>
      <c r="C149" s="1053"/>
      <c r="D149" s="368"/>
      <c r="E149" s="368"/>
      <c r="F149" s="363"/>
      <c r="G149" s="368"/>
      <c r="H149" s="1050"/>
      <c r="I149" s="368"/>
      <c r="J149" s="368"/>
      <c r="K149" s="364"/>
      <c r="L149" s="369"/>
      <c r="M149" s="1052"/>
      <c r="P149" s="364"/>
      <c r="Q149" s="368"/>
      <c r="R149" s="1054"/>
      <c r="S149" s="368"/>
      <c r="T149" s="364"/>
      <c r="V149" s="1050"/>
      <c r="W149" s="368"/>
      <c r="Z149" s="820" t="s">
        <v>1028</v>
      </c>
      <c r="AA149" s="900" t="str">
        <f t="shared" si="19"/>
        <v xml:space="preserve">        公允价值变动收益（损失以“－”号填列）</v>
      </c>
    </row>
    <row r="150" spans="1:27" s="343" customFormat="1">
      <c r="A150" s="362"/>
      <c r="C150" s="1053"/>
      <c r="D150" s="368"/>
      <c r="E150" s="368"/>
      <c r="F150" s="363"/>
      <c r="G150" s="368"/>
      <c r="H150" s="1050"/>
      <c r="I150" s="368"/>
      <c r="J150" s="368"/>
      <c r="K150" s="364"/>
      <c r="L150" s="369"/>
      <c r="M150" s="1052"/>
      <c r="P150" s="364"/>
      <c r="Q150" s="368"/>
      <c r="R150" s="1054"/>
      <c r="S150" s="368"/>
      <c r="T150" s="364"/>
      <c r="V150" s="1050"/>
      <c r="W150" s="368"/>
      <c r="Z150" s="820" t="s">
        <v>968</v>
      </c>
      <c r="AA150" s="900" t="str">
        <f t="shared" si="19"/>
        <v xml:space="preserve">        信用减值损失(损失以“-”号填列）</v>
      </c>
    </row>
    <row r="151" spans="1:27" s="343" customFormat="1">
      <c r="A151" s="362"/>
      <c r="C151" s="1053"/>
      <c r="D151" s="368"/>
      <c r="E151" s="368"/>
      <c r="F151" s="363"/>
      <c r="G151" s="368"/>
      <c r="H151" s="1050"/>
      <c r="I151" s="368"/>
      <c r="J151" s="368"/>
      <c r="K151" s="364"/>
      <c r="L151" s="369"/>
      <c r="M151" s="1052"/>
      <c r="P151" s="364"/>
      <c r="Q151" s="368"/>
      <c r="R151" s="1054"/>
      <c r="S151" s="368"/>
      <c r="T151" s="364"/>
      <c r="V151" s="1050"/>
      <c r="W151" s="368"/>
      <c r="Z151" s="820" t="s">
        <v>1029</v>
      </c>
      <c r="AA151" s="900" t="str">
        <f t="shared" si="19"/>
        <v xml:space="preserve">        资产减值损失(损失以“-”号填列）</v>
      </c>
    </row>
    <row r="152" spans="1:27" s="343" customFormat="1">
      <c r="A152" s="362"/>
      <c r="C152" s="1053"/>
      <c r="D152" s="368"/>
      <c r="E152" s="368"/>
      <c r="F152" s="363"/>
      <c r="G152" s="368"/>
      <c r="H152" s="1050"/>
      <c r="I152" s="368"/>
      <c r="J152" s="368"/>
      <c r="K152" s="364"/>
      <c r="L152" s="369"/>
      <c r="M152" s="1052"/>
      <c r="P152" s="364"/>
      <c r="Q152" s="368"/>
      <c r="R152" s="1054"/>
      <c r="S152" s="368"/>
      <c r="T152" s="364"/>
      <c r="V152" s="1050"/>
      <c r="W152" s="368"/>
      <c r="Z152" s="820" t="s">
        <v>969</v>
      </c>
      <c r="AA152" s="900" t="str">
        <f t="shared" si="19"/>
        <v xml:space="preserve">        资产处置收益(损失以“-”号填列）</v>
      </c>
    </row>
    <row r="153" spans="1:27" s="343" customFormat="1">
      <c r="A153" s="362"/>
      <c r="C153" s="1053"/>
      <c r="D153" s="368"/>
      <c r="E153" s="368"/>
      <c r="F153" s="363"/>
      <c r="G153" s="368"/>
      <c r="H153" s="1050"/>
      <c r="I153" s="368"/>
      <c r="J153" s="368"/>
      <c r="K153" s="364"/>
      <c r="L153" s="369"/>
      <c r="M153" s="1052"/>
      <c r="P153" s="364"/>
      <c r="Q153" s="368"/>
      <c r="R153" s="1054"/>
      <c r="S153" s="368"/>
      <c r="T153" s="364"/>
      <c r="V153" s="1050"/>
      <c r="W153" s="368"/>
      <c r="Z153" s="820"/>
      <c r="AA153" s="897" t="str">
        <f t="shared" si="19"/>
        <v>二、营业利润（亏损以“－”号填列）</v>
      </c>
    </row>
    <row r="154" spans="1:27" s="343" customFormat="1">
      <c r="A154" s="362"/>
      <c r="C154" s="1053"/>
      <c r="D154" s="368"/>
      <c r="E154" s="368"/>
      <c r="F154" s="363"/>
      <c r="G154" s="368"/>
      <c r="H154" s="1050"/>
      <c r="I154" s="368"/>
      <c r="J154" s="368"/>
      <c r="K154" s="364"/>
      <c r="L154" s="369"/>
      <c r="M154" s="1052"/>
      <c r="P154" s="364"/>
      <c r="Q154" s="368"/>
      <c r="R154" s="1054"/>
      <c r="S154" s="368"/>
      <c r="T154" s="364"/>
      <c r="V154" s="1050"/>
      <c r="W154" s="368"/>
      <c r="Z154" s="820" t="s">
        <v>970</v>
      </c>
      <c r="AA154" s="900" t="str">
        <f t="shared" si="19"/>
        <v xml:space="preserve">    加：营业外收入</v>
      </c>
    </row>
    <row r="155" spans="1:27" s="343" customFormat="1">
      <c r="A155" s="362"/>
      <c r="C155" s="1053"/>
      <c r="D155" s="368"/>
      <c r="E155" s="368"/>
      <c r="F155" s="363"/>
      <c r="G155" s="368"/>
      <c r="H155" s="1050"/>
      <c r="I155" s="368"/>
      <c r="J155" s="368"/>
      <c r="K155" s="364"/>
      <c r="L155" s="369"/>
      <c r="M155" s="1052"/>
      <c r="P155" s="364"/>
      <c r="Q155" s="368"/>
      <c r="R155" s="1054"/>
      <c r="S155" s="368"/>
      <c r="T155" s="364"/>
      <c r="V155" s="1050"/>
      <c r="W155" s="368"/>
      <c r="Z155" s="820" t="s">
        <v>1030</v>
      </c>
      <c r="AA155" s="900" t="str">
        <f t="shared" si="19"/>
        <v xml:space="preserve">    减：营业外支出</v>
      </c>
    </row>
    <row r="156" spans="1:27" s="343" customFormat="1">
      <c r="A156" s="362"/>
      <c r="C156" s="1053"/>
      <c r="D156" s="368"/>
      <c r="E156" s="368"/>
      <c r="F156" s="363"/>
      <c r="G156" s="368"/>
      <c r="H156" s="1050"/>
      <c r="I156" s="368"/>
      <c r="J156" s="368"/>
      <c r="K156" s="364"/>
      <c r="L156" s="369"/>
      <c r="M156" s="1052"/>
      <c r="P156" s="364"/>
      <c r="Q156" s="368"/>
      <c r="R156" s="1054"/>
      <c r="S156" s="368"/>
      <c r="T156" s="364"/>
      <c r="V156" s="1050"/>
      <c r="W156" s="368"/>
      <c r="Z156" s="820"/>
      <c r="AA156" s="900" t="str">
        <f t="shared" si="19"/>
        <v>三、利润总额（亏损总额以“－”号填列）</v>
      </c>
    </row>
    <row r="157" spans="1:27" s="343" customFormat="1">
      <c r="A157" s="362"/>
      <c r="C157" s="1053"/>
      <c r="D157" s="368"/>
      <c r="E157" s="368"/>
      <c r="F157" s="363"/>
      <c r="G157" s="368"/>
      <c r="H157" s="1050"/>
      <c r="I157" s="368"/>
      <c r="J157" s="368"/>
      <c r="K157" s="364"/>
      <c r="L157" s="369"/>
      <c r="M157" s="1052"/>
      <c r="P157" s="364"/>
      <c r="Q157" s="368"/>
      <c r="R157" s="1054"/>
      <c r="S157" s="368"/>
      <c r="T157" s="364"/>
      <c r="V157" s="1050"/>
      <c r="W157" s="368"/>
      <c r="Z157" s="820" t="s">
        <v>1031</v>
      </c>
      <c r="AA157" s="900" t="str">
        <f t="shared" si="19"/>
        <v xml:space="preserve">    减：所得税费用</v>
      </c>
    </row>
    <row r="158" spans="1:27" s="343" customFormat="1">
      <c r="A158" s="362"/>
      <c r="C158" s="1053"/>
      <c r="D158" s="368"/>
      <c r="E158" s="368"/>
      <c r="F158" s="363"/>
      <c r="G158" s="368"/>
      <c r="H158" s="1050"/>
      <c r="I158" s="368"/>
      <c r="J158" s="368"/>
      <c r="K158" s="364"/>
      <c r="L158" s="369"/>
      <c r="M158" s="1052"/>
      <c r="P158" s="364"/>
      <c r="Q158" s="368"/>
      <c r="R158" s="1054"/>
      <c r="S158" s="368"/>
      <c r="T158" s="364"/>
      <c r="V158" s="1050"/>
      <c r="W158" s="368"/>
      <c r="Z158" s="820" t="s">
        <v>1109</v>
      </c>
      <c r="AA158" s="900">
        <f t="shared" si="19"/>
        <v>0</v>
      </c>
    </row>
    <row r="159" spans="1:27" s="343" customFormat="1">
      <c r="A159" s="362"/>
      <c r="C159" s="1053"/>
      <c r="D159" s="368"/>
      <c r="E159" s="368"/>
      <c r="F159" s="363"/>
      <c r="G159" s="368"/>
      <c r="H159" s="1050"/>
      <c r="I159" s="368"/>
      <c r="J159" s="368"/>
      <c r="K159" s="364"/>
      <c r="L159" s="369"/>
      <c r="M159" s="1052"/>
      <c r="P159" s="364"/>
      <c r="Q159" s="368"/>
      <c r="R159" s="1054"/>
      <c r="S159" s="368"/>
      <c r="T159" s="364"/>
      <c r="V159" s="1050"/>
      <c r="W159" s="368"/>
      <c r="Z159" s="331"/>
      <c r="AA159" s="900" t="str">
        <f t="shared" si="19"/>
        <v>四、净利润（净亏损以“－”号填列）</v>
      </c>
    </row>
    <row r="160" spans="1:27" s="343" customFormat="1">
      <c r="A160" s="362"/>
      <c r="C160" s="1053"/>
      <c r="D160" s="368"/>
      <c r="E160" s="368"/>
      <c r="F160" s="363"/>
      <c r="G160" s="368"/>
      <c r="H160" s="1050"/>
      <c r="I160" s="368"/>
      <c r="J160" s="368"/>
      <c r="K160" s="364"/>
      <c r="L160" s="369"/>
      <c r="M160" s="1052"/>
      <c r="P160" s="364"/>
      <c r="Q160" s="368"/>
      <c r="R160" s="1054"/>
      <c r="S160" s="368"/>
      <c r="T160" s="364"/>
      <c r="V160" s="1050"/>
      <c r="W160" s="368"/>
      <c r="Z160" s="331"/>
      <c r="AA160" s="900" t="str">
        <f t="shared" si="19"/>
        <v xml:space="preserve"> （一）按经营持续性分类</v>
      </c>
    </row>
    <row r="161" spans="1:27" s="343" customFormat="1">
      <c r="A161" s="362"/>
      <c r="C161" s="1053"/>
      <c r="D161" s="368"/>
      <c r="E161" s="368"/>
      <c r="F161" s="363"/>
      <c r="G161" s="368"/>
      <c r="H161" s="1050"/>
      <c r="I161" s="368"/>
      <c r="J161" s="368"/>
      <c r="K161" s="364"/>
      <c r="L161" s="369"/>
      <c r="M161" s="1052"/>
      <c r="P161" s="364"/>
      <c r="Q161" s="368"/>
      <c r="R161" s="1054"/>
      <c r="S161" s="368"/>
      <c r="T161" s="364"/>
      <c r="V161" s="1050"/>
      <c r="W161" s="368"/>
      <c r="Z161" s="331"/>
      <c r="AA161" s="900" t="str">
        <f t="shared" si="19"/>
        <v xml:space="preserve">     其中：持续经营净利润（净亏损以“-”号填列）</v>
      </c>
    </row>
    <row r="162" spans="1:27" s="343" customFormat="1">
      <c r="A162" s="362"/>
      <c r="C162" s="1053"/>
      <c r="D162" s="368"/>
      <c r="E162" s="368"/>
      <c r="F162" s="363"/>
      <c r="G162" s="368"/>
      <c r="H162" s="1050"/>
      <c r="I162" s="368"/>
      <c r="J162" s="368"/>
      <c r="K162" s="364"/>
      <c r="L162" s="369"/>
      <c r="M162" s="1052"/>
      <c r="P162" s="364"/>
      <c r="Q162" s="368"/>
      <c r="R162" s="1054"/>
      <c r="S162" s="368"/>
      <c r="T162" s="364"/>
      <c r="V162" s="1050"/>
      <c r="W162" s="368"/>
      <c r="Z162" s="331"/>
      <c r="AA162" s="900" t="str">
        <f t="shared" si="19"/>
        <v xml:space="preserve">                 终止经营净利润（净亏损以“-”号填列）</v>
      </c>
    </row>
    <row r="163" spans="1:27" s="343" customFormat="1">
      <c r="A163" s="362"/>
      <c r="C163" s="1053"/>
      <c r="D163" s="368"/>
      <c r="E163" s="368"/>
      <c r="F163" s="363"/>
      <c r="G163" s="368"/>
      <c r="H163" s="1050"/>
      <c r="I163" s="368"/>
      <c r="J163" s="368"/>
      <c r="K163" s="364"/>
      <c r="L163" s="369"/>
      <c r="M163" s="1052"/>
      <c r="P163" s="364"/>
      <c r="Q163" s="368"/>
      <c r="R163" s="1054"/>
      <c r="S163" s="368"/>
      <c r="T163" s="364"/>
      <c r="V163" s="1050"/>
      <c r="W163" s="368"/>
      <c r="Z163" s="331"/>
      <c r="AA163" s="900" t="str">
        <f t="shared" si="19"/>
        <v xml:space="preserve"> （二）按所有权归属分类</v>
      </c>
    </row>
    <row r="164" spans="1:27" s="343" customFormat="1">
      <c r="A164" s="362"/>
      <c r="C164" s="1053"/>
      <c r="D164" s="368"/>
      <c r="E164" s="368"/>
      <c r="F164" s="363"/>
      <c r="G164" s="368"/>
      <c r="H164" s="1050"/>
      <c r="I164" s="368"/>
      <c r="J164" s="368"/>
      <c r="K164" s="364"/>
      <c r="L164" s="369"/>
      <c r="M164" s="1052"/>
      <c r="P164" s="364"/>
      <c r="Q164" s="368"/>
      <c r="R164" s="1054"/>
      <c r="S164" s="368"/>
      <c r="T164" s="364"/>
      <c r="V164" s="1050"/>
      <c r="W164" s="368"/>
      <c r="Z164" s="820"/>
      <c r="AA164" s="900" t="str">
        <f t="shared" si="19"/>
        <v xml:space="preserve">     其中：归属于母公司股东的净利润（净亏损以“-”号填列）</v>
      </c>
    </row>
    <row r="165" spans="1:27" s="343" customFormat="1">
      <c r="A165" s="362"/>
      <c r="C165" s="1053"/>
      <c r="D165" s="368"/>
      <c r="E165" s="368"/>
      <c r="F165" s="363"/>
      <c r="G165" s="368"/>
      <c r="H165" s="1050"/>
      <c r="I165" s="368"/>
      <c r="J165" s="368"/>
      <c r="K165" s="364"/>
      <c r="L165" s="369"/>
      <c r="M165" s="1052"/>
      <c r="P165" s="364"/>
      <c r="Q165" s="368"/>
      <c r="R165" s="1054"/>
      <c r="S165" s="368"/>
      <c r="T165" s="364"/>
      <c r="V165" s="1050"/>
      <c r="W165" s="368"/>
      <c r="Z165" s="820" t="s">
        <v>1116</v>
      </c>
      <c r="AA165" s="900" t="str">
        <f t="shared" si="19"/>
        <v xml:space="preserve">                少数股东损益（净亏损以“-”号填列）</v>
      </c>
    </row>
    <row r="166" spans="1:27" s="343" customFormat="1">
      <c r="A166" s="362"/>
      <c r="C166" s="1053"/>
      <c r="D166" s="368"/>
      <c r="E166" s="368"/>
      <c r="F166" s="363"/>
      <c r="G166" s="368"/>
      <c r="H166" s="1050"/>
      <c r="I166" s="368"/>
      <c r="J166" s="368"/>
      <c r="K166" s="364"/>
      <c r="L166" s="369"/>
      <c r="M166" s="1052"/>
      <c r="P166" s="364"/>
      <c r="Q166" s="368"/>
      <c r="R166" s="1054"/>
      <c r="S166" s="368"/>
      <c r="T166" s="364"/>
      <c r="V166" s="1050"/>
      <c r="W166" s="368"/>
      <c r="Z166" s="820"/>
      <c r="AA166" s="900" t="str">
        <f t="shared" si="19"/>
        <v>五、其他综合收益的税后净额</v>
      </c>
    </row>
    <row r="167" spans="1:27" s="343" customFormat="1">
      <c r="A167" s="362"/>
      <c r="C167" s="1053"/>
      <c r="D167" s="368"/>
      <c r="E167" s="368"/>
      <c r="F167" s="363"/>
      <c r="G167" s="368"/>
      <c r="H167" s="1050"/>
      <c r="I167" s="368"/>
      <c r="J167" s="368"/>
      <c r="K167" s="364"/>
      <c r="L167" s="369"/>
      <c r="M167" s="1052"/>
      <c r="P167" s="364"/>
      <c r="Q167" s="368"/>
      <c r="R167" s="1054"/>
      <c r="S167" s="368"/>
      <c r="T167" s="364"/>
      <c r="V167" s="1050"/>
      <c r="W167" s="368"/>
      <c r="Z167" s="820"/>
      <c r="AA167" s="900" t="str">
        <f t="shared" si="19"/>
        <v>归属于母公司股东的其他综合收益的税后净额</v>
      </c>
    </row>
    <row r="168" spans="1:27" s="343" customFormat="1">
      <c r="A168" s="362"/>
      <c r="C168" s="1053"/>
      <c r="D168" s="368"/>
      <c r="E168" s="368"/>
      <c r="F168" s="363"/>
      <c r="G168" s="368"/>
      <c r="H168" s="1050"/>
      <c r="I168" s="368"/>
      <c r="J168" s="368"/>
      <c r="K168" s="364"/>
      <c r="L168" s="369"/>
      <c r="M168" s="1052"/>
      <c r="P168" s="364"/>
      <c r="Q168" s="368"/>
      <c r="R168" s="1054"/>
      <c r="S168" s="368"/>
      <c r="T168" s="364"/>
      <c r="V168" s="1050"/>
      <c r="W168" s="368"/>
      <c r="Z168" s="820"/>
      <c r="AA168" s="900" t="str">
        <f t="shared" ref="AA168:AA195" si="20">L52</f>
        <v xml:space="preserve">  （一）不能重分类进损益的其他综合收益</v>
      </c>
    </row>
    <row r="169" spans="1:27" s="343" customFormat="1">
      <c r="A169" s="362"/>
      <c r="C169" s="1053"/>
      <c r="D169" s="368"/>
      <c r="E169" s="368"/>
      <c r="F169" s="363"/>
      <c r="G169" s="368"/>
      <c r="H169" s="1050"/>
      <c r="I169" s="368"/>
      <c r="J169" s="368"/>
      <c r="K169" s="364"/>
      <c r="L169" s="369"/>
      <c r="M169" s="1052"/>
      <c r="P169" s="364"/>
      <c r="Q169" s="368"/>
      <c r="R169" s="1054"/>
      <c r="S169" s="368"/>
      <c r="T169" s="364"/>
      <c r="V169" s="1050"/>
      <c r="W169" s="368"/>
      <c r="Z169" s="820" t="s">
        <v>1117</v>
      </c>
      <c r="AA169" s="900" t="str">
        <f t="shared" si="20"/>
        <v>1.重新计量设定受益计划变动额</v>
      </c>
    </row>
    <row r="170" spans="1:27">
      <c r="B170" s="343"/>
      <c r="Z170" s="820" t="s">
        <v>1110</v>
      </c>
      <c r="AA170" s="900" t="str">
        <f t="shared" si="20"/>
        <v>2.权益法下不能转损益的其他综合收益</v>
      </c>
    </row>
    <row r="171" spans="1:27">
      <c r="B171" s="343"/>
      <c r="Z171" s="820" t="s">
        <v>1111</v>
      </c>
      <c r="AA171" s="900" t="str">
        <f t="shared" si="20"/>
        <v xml:space="preserve">3.其他权益工具投资公允价值变动 </v>
      </c>
    </row>
    <row r="172" spans="1:27">
      <c r="B172" s="343"/>
      <c r="Z172" s="820" t="s">
        <v>925</v>
      </c>
      <c r="AA172" s="900" t="str">
        <f t="shared" si="20"/>
        <v xml:space="preserve">4.企业自身信用风险公允价值变动 </v>
      </c>
    </row>
    <row r="173" spans="1:27">
      <c r="B173" s="343"/>
      <c r="Z173" s="820" t="s">
        <v>1032</v>
      </c>
      <c r="AA173" s="900" t="str">
        <f t="shared" si="20"/>
        <v>5.其他</v>
      </c>
    </row>
    <row r="174" spans="1:27">
      <c r="B174" s="343"/>
      <c r="Z174" s="820"/>
      <c r="AA174" s="900" t="str">
        <f t="shared" si="20"/>
        <v xml:space="preserve">  （二）将重分类进损益的其他综合收益</v>
      </c>
    </row>
    <row r="175" spans="1:27">
      <c r="B175" s="343"/>
      <c r="Z175" s="820" t="s">
        <v>1118</v>
      </c>
      <c r="AA175" s="900" t="str">
        <f t="shared" si="20"/>
        <v>1.权益法下可转损益的其他综合收益</v>
      </c>
    </row>
    <row r="176" spans="1:27">
      <c r="B176" s="343"/>
      <c r="Z176" s="820" t="s">
        <v>926</v>
      </c>
      <c r="AA176" s="900" t="str">
        <f t="shared" si="20"/>
        <v xml:space="preserve">2.其他债权投资公允价值变动 </v>
      </c>
    </row>
    <row r="177" spans="2:27">
      <c r="B177" s="343"/>
      <c r="Z177" s="820" t="s">
        <v>1112</v>
      </c>
      <c r="AA177" s="900" t="str">
        <f t="shared" si="20"/>
        <v>3.可供出售金融资产公允价值变动损益</v>
      </c>
    </row>
    <row r="178" spans="2:27">
      <c r="B178" s="343"/>
      <c r="Z178" s="820" t="s">
        <v>1033</v>
      </c>
      <c r="AA178" s="900" t="str">
        <f t="shared" si="20"/>
        <v xml:space="preserve">4.金融资产重分类计入其他综合收益的金额 </v>
      </c>
    </row>
    <row r="179" spans="2:27">
      <c r="B179" s="343"/>
      <c r="Z179" s="820" t="s">
        <v>927</v>
      </c>
      <c r="AA179" s="900" t="str">
        <f t="shared" si="20"/>
        <v>5.持有至到期投资重分类为可供出售金融资产损益</v>
      </c>
    </row>
    <row r="180" spans="2:27">
      <c r="B180" s="343"/>
      <c r="Z180" s="820" t="s">
        <v>928</v>
      </c>
      <c r="AA180" s="900" t="str">
        <f t="shared" si="20"/>
        <v>6.其他债权投资信用减值准备</v>
      </c>
    </row>
    <row r="181" spans="2:27">
      <c r="Z181" s="820" t="s">
        <v>929</v>
      </c>
      <c r="AA181" s="900" t="str">
        <f t="shared" si="20"/>
        <v>7.现金流量套期储备</v>
      </c>
    </row>
    <row r="182" spans="2:27">
      <c r="Z182" s="820" t="s">
        <v>930</v>
      </c>
      <c r="AA182" s="900" t="str">
        <f t="shared" si="20"/>
        <v>8.外币财务报表折算差额</v>
      </c>
    </row>
    <row r="183" spans="2:27">
      <c r="Z183" s="820" t="s">
        <v>931</v>
      </c>
      <c r="AA183" s="900" t="str">
        <f t="shared" si="20"/>
        <v>9.自用房地产或作为存货的房地产转换为以公允价值计量的投资性房地产在转换日公允价值大于账面价值部分</v>
      </c>
    </row>
    <row r="184" spans="2:27">
      <c r="Z184" s="820" t="s">
        <v>932</v>
      </c>
      <c r="AA184" s="900" t="str">
        <f t="shared" si="20"/>
        <v>10.多次交易分步处置子公司股权构成一揽子交易的，丧失控制权之前各次交易处置价款与对应净资产账面价值份额的差额</v>
      </c>
    </row>
    <row r="185" spans="2:27">
      <c r="Z185" s="820" t="s">
        <v>971</v>
      </c>
      <c r="AA185" s="900" t="str">
        <f t="shared" si="20"/>
        <v>11.其他</v>
      </c>
    </row>
    <row r="186" spans="2:27">
      <c r="Z186" s="820" t="s">
        <v>972</v>
      </c>
      <c r="AA186" s="900" t="str">
        <f t="shared" si="20"/>
        <v>归属于少数股东的其他综合收益的税后净额</v>
      </c>
    </row>
    <row r="187" spans="2:27">
      <c r="Z187" s="820"/>
      <c r="AA187" s="900" t="str">
        <f t="shared" si="20"/>
        <v>六、综合收益总额</v>
      </c>
    </row>
    <row r="188" spans="2:27">
      <c r="Z188" s="820"/>
      <c r="AA188" s="900" t="str">
        <f t="shared" si="20"/>
        <v xml:space="preserve">     归属于母公司股东的综合收益总额</v>
      </c>
    </row>
    <row r="189" spans="2:27">
      <c r="Z189" s="820"/>
      <c r="AA189" s="900" t="str">
        <f t="shared" si="20"/>
        <v xml:space="preserve">     归属于少数股东的综合收益总额</v>
      </c>
    </row>
    <row r="190" spans="2:27">
      <c r="Z190" s="820"/>
      <c r="AA190" s="900" t="str">
        <f t="shared" si="20"/>
        <v>七、每股收益</v>
      </c>
    </row>
    <row r="191" spans="2:27">
      <c r="Z191" s="820" t="s">
        <v>1119</v>
      </c>
      <c r="AA191" s="900" t="str">
        <f t="shared" si="20"/>
        <v xml:space="preserve">   （一）基本每股收益</v>
      </c>
    </row>
    <row r="192" spans="2:27">
      <c r="Z192" s="820" t="s">
        <v>1034</v>
      </c>
      <c r="AA192" s="900" t="str">
        <f t="shared" si="20"/>
        <v xml:space="preserve">   （二）稀释每股收益</v>
      </c>
    </row>
    <row r="193" spans="26:27">
      <c r="Z193" s="820"/>
      <c r="AA193" s="900" t="str">
        <f t="shared" si="20"/>
        <v>八、利润分配</v>
      </c>
    </row>
    <row r="194" spans="26:27">
      <c r="Z194" s="820" t="s">
        <v>1120</v>
      </c>
      <c r="AA194" s="900" t="str">
        <f t="shared" si="20"/>
        <v xml:space="preserve">   （一）年初未分配利润</v>
      </c>
    </row>
    <row r="195" spans="26:27">
      <c r="Z195" s="820"/>
      <c r="AA195" s="900" t="str">
        <f t="shared" si="20"/>
        <v xml:space="preserve">   （二）可供分配的利润</v>
      </c>
    </row>
    <row r="196" spans="26:27">
      <c r="Z196" s="820" t="s">
        <v>1121</v>
      </c>
      <c r="AA196" s="900" t="str">
        <f t="shared" ref="AA196:AA204" si="21">L80</f>
        <v xml:space="preserve">    1、提取法定盈余公积</v>
      </c>
    </row>
    <row r="197" spans="26:27">
      <c r="Z197" s="820" t="s">
        <v>1113</v>
      </c>
      <c r="AA197" s="900" t="str">
        <f t="shared" si="21"/>
        <v xml:space="preserve">    2、其他</v>
      </c>
    </row>
    <row r="198" spans="26:27">
      <c r="Z198" s="820"/>
      <c r="AA198" s="900" t="str">
        <f t="shared" si="21"/>
        <v xml:space="preserve">   （三）可供投资者分配的利润</v>
      </c>
    </row>
    <row r="199" spans="26:27">
      <c r="Z199" s="820" t="s">
        <v>1122</v>
      </c>
      <c r="AA199" s="900" t="str">
        <f t="shared" si="21"/>
        <v xml:space="preserve">    1、应付优先股股利</v>
      </c>
    </row>
    <row r="200" spans="26:27">
      <c r="Z200" s="820" t="s">
        <v>1114</v>
      </c>
      <c r="AA200" s="900" t="str">
        <f t="shared" si="21"/>
        <v xml:space="preserve">    2、提取任意盈余公积</v>
      </c>
    </row>
    <row r="201" spans="26:27">
      <c r="Z201" s="820" t="s">
        <v>1115</v>
      </c>
      <c r="AA201" s="900" t="str">
        <f t="shared" si="21"/>
        <v xml:space="preserve">    3、应付普通股股利（应付利润）</v>
      </c>
    </row>
    <row r="202" spans="26:27">
      <c r="Z202" s="820" t="s">
        <v>942</v>
      </c>
      <c r="AA202" s="900" t="str">
        <f t="shared" si="21"/>
        <v xml:space="preserve">    4、转作资本（或股本）的普通股股利</v>
      </c>
    </row>
    <row r="203" spans="26:27">
      <c r="Z203" s="820" t="s">
        <v>943</v>
      </c>
      <c r="AA203" s="900" t="str">
        <f t="shared" si="21"/>
        <v xml:space="preserve">    5、其他</v>
      </c>
    </row>
    <row r="204" spans="26:27">
      <c r="Z204" s="820"/>
      <c r="AA204" s="900" t="str">
        <f t="shared" si="21"/>
        <v>九、未分配利润</v>
      </c>
    </row>
    <row r="205" spans="26:27">
      <c r="AA205" s="900"/>
    </row>
    <row r="206" spans="26:27">
      <c r="AA206" s="897"/>
    </row>
    <row r="207" spans="26:27">
      <c r="AA207" s="897"/>
    </row>
    <row r="208" spans="26:27">
      <c r="AA208" s="897"/>
    </row>
    <row r="209" spans="27:27">
      <c r="AA209" s="898"/>
    </row>
    <row r="210" spans="27:27">
      <c r="AA210" s="898"/>
    </row>
  </sheetData>
  <sheetProtection insertRows="0" autoFilter="0" pivotTables="0"/>
  <customSheetViews>
    <customSheetView guid="{9A8CA204-20A8-11D5-8CC7-F77182B33125}" showPageBreaks="1" zeroValues="0" printArea="1" view="pageBreakPreview" showRuler="0">
      <pane ySplit="3" topLeftCell="A4" activePane="bottomLeft" state="frozenSplit"/>
      <selection pane="bottomLeft" activeCell="B5" sqref="B5"/>
      <pageMargins left="0.25" right="0.55000000000000004" top="1.1299999999999999" bottom="0.5" header="0.65" footer="0.25"/>
      <printOptions horizontalCentered="1"/>
      <pageSetup paperSize="9" orientation="landscape" r:id="rId1"/>
      <headerFooter alignWithMargins="0"/>
    </customSheetView>
  </customSheetViews>
  <mergeCells count="13">
    <mergeCell ref="P3:P54"/>
    <mergeCell ref="Q1:W1"/>
    <mergeCell ref="U3:W3"/>
    <mergeCell ref="U4:W4"/>
    <mergeCell ref="Q3:S3"/>
    <mergeCell ref="T3:T54"/>
    <mergeCell ref="K3:K54"/>
    <mergeCell ref="A3:A54"/>
    <mergeCell ref="A1:N1"/>
    <mergeCell ref="F3:F54"/>
    <mergeCell ref="B3:E3"/>
    <mergeCell ref="G3:J3"/>
    <mergeCell ref="L3:O3"/>
  </mergeCells>
  <phoneticPr fontId="3" type="noConversion"/>
  <dataValidations xWindow="709" yWindow="382" count="5">
    <dataValidation allowBlank="1" showInputMessage="1" showErrorMessage="1" prompt="本栏已设定为减项" sqref="L41:L42 L11 L21:L25 L39"/>
    <dataValidation allowBlank="1" showInputMessage="1" showErrorMessage="1" prompt="本栏未计入合计数" sqref="L26:L27 L30:L31 G49:G50 G35:G37 B20:B21 G22:G23 L6:L10 L12 L20"/>
    <dataValidation allowBlank="1" showInputMessage="1" showErrorMessage="1" prompt="本栏已设定为加项" sqref="G51 D14 G57:G59 G38 G33:G34 G40 L34:L35 B40:B42 B33:B36 B44:B53 B22:B28 B6:B19 G6:G11 G13:G21 G24:G30"/>
    <dataValidation allowBlank="1" showInputMessage="1" showErrorMessage="1" prompt="本栏已设为加项" sqref="G47 L38 L28:L29 L32:L33 L36 G54:G56"/>
    <dataValidation allowBlank="1" showInputMessage="1" showErrorMessage="1" prompt="本栏已设为减项" sqref="G52"/>
  </dataValidations>
  <printOptions horizontalCentered="1"/>
  <pageMargins left="0.23622047244094491" right="0.55118110236220474" top="0.74803149606299213" bottom="0.51181102362204722" header="0.6692913385826772" footer="0.23622047244094491"/>
  <pageSetup paperSize="9" orientation="landscape" blackAndWhite="1" r:id="rId2"/>
  <headerFooter alignWithMargins="0"/>
  <colBreaks count="2" manualBreakCount="2">
    <brk id="16" max="1048575" man="1"/>
    <brk id="25" max="1048575" man="1"/>
  </colBreaks>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outlinePr applyStyles="1" summaryRight="0"/>
    <pageSetUpPr fitToPage="1"/>
  </sheetPr>
  <dimension ref="A1:AI132"/>
  <sheetViews>
    <sheetView showZeros="0" workbookViewId="0">
      <pane xSplit="1" ySplit="5" topLeftCell="B6" activePane="bottomRight" state="frozen"/>
      <selection activeCell="H6" sqref="H6"/>
      <selection pane="topRight" activeCell="H6" sqref="H6"/>
      <selection pane="bottomLeft" activeCell="H6" sqref="H6"/>
      <selection pane="bottomRight" activeCell="K120" sqref="K120"/>
    </sheetView>
  </sheetViews>
  <sheetFormatPr defaultColWidth="7" defaultRowHeight="12.75" outlineLevelCol="1"/>
  <cols>
    <col min="1" max="1" width="24.375" style="1003" customWidth="1"/>
    <col min="2" max="2" width="13.625" style="388" customWidth="1"/>
    <col min="3" max="3" width="13.375" style="383" customWidth="1" outlineLevel="1"/>
    <col min="4" max="4" width="13.625" style="383" customWidth="1" outlineLevel="1"/>
    <col min="5" max="5" width="13.625" style="383" customWidth="1" collapsed="1"/>
    <col min="6" max="6" width="13.625" style="383" customWidth="1"/>
    <col min="7" max="11" width="13.625" style="383" customWidth="1" outlineLevel="1"/>
    <col min="12" max="22" width="9" style="383" customWidth="1" outlineLevel="1"/>
    <col min="23" max="23" width="8.875" style="383" customWidth="1" outlineLevel="1"/>
    <col min="24" max="24" width="9" style="383" customWidth="1"/>
    <col min="25" max="32" width="9" style="383" bestFit="1" customWidth="1"/>
    <col min="33" max="33" width="9.875" style="383" bestFit="1" customWidth="1"/>
    <col min="34" max="34" width="7" style="383" customWidth="1"/>
    <col min="35" max="35" width="9.875" style="383" bestFit="1" customWidth="1"/>
    <col min="36" max="16384" width="7" style="383"/>
  </cols>
  <sheetData>
    <row r="1" spans="1:35" ht="18.75">
      <c r="A1" s="1002" t="s">
        <v>481</v>
      </c>
    </row>
    <row r="2" spans="1:35">
      <c r="A2" s="1003" t="str">
        <f>CONCATENATE("客户名称：",说明!E23)</f>
        <v>客户名称：</v>
      </c>
    </row>
    <row r="3" spans="1:35">
      <c r="A3" s="1003" t="str">
        <f>CONCATENATE("会计时点：",TEXT(说明!E31+1,"yyyy.mm.dd"))</f>
        <v>会计时点：2019.01.01</v>
      </c>
    </row>
    <row r="4" spans="1:35" s="386" customFormat="1">
      <c r="A4" s="1004"/>
      <c r="B4" s="390"/>
      <c r="X4" s="386">
        <v>1</v>
      </c>
      <c r="Y4" s="386">
        <v>2</v>
      </c>
      <c r="Z4" s="386">
        <v>3</v>
      </c>
      <c r="AA4" s="386">
        <v>4</v>
      </c>
      <c r="AB4" s="386">
        <v>5</v>
      </c>
      <c r="AC4" s="386">
        <v>6</v>
      </c>
      <c r="AD4" s="386">
        <v>7</v>
      </c>
      <c r="AE4" s="386">
        <v>8</v>
      </c>
      <c r="AF4" s="386">
        <v>9</v>
      </c>
      <c r="AG4" s="386">
        <v>10</v>
      </c>
      <c r="AI4" s="386" t="s">
        <v>514</v>
      </c>
    </row>
    <row r="5" spans="1:35" s="385" customFormat="1">
      <c r="A5" s="1005" t="str">
        <f>报表格式!B4</f>
        <v>报表项目</v>
      </c>
      <c r="B5" s="401" t="s">
        <v>512</v>
      </c>
      <c r="C5" s="402" t="s">
        <v>511</v>
      </c>
      <c r="D5" s="402" t="s">
        <v>497</v>
      </c>
      <c r="E5" s="403" t="s">
        <v>496</v>
      </c>
      <c r="F5" s="404" t="s">
        <v>510</v>
      </c>
      <c r="G5" s="405" t="s">
        <v>508</v>
      </c>
      <c r="H5" s="405" t="s">
        <v>509</v>
      </c>
      <c r="I5" s="405" t="s">
        <v>483</v>
      </c>
      <c r="J5" s="404" t="s">
        <v>484</v>
      </c>
      <c r="K5" s="405" t="s">
        <v>482</v>
      </c>
      <c r="L5" s="406" t="s">
        <v>485</v>
      </c>
      <c r="M5" s="406" t="s">
        <v>486</v>
      </c>
      <c r="N5" s="406" t="s">
        <v>487</v>
      </c>
      <c r="O5" s="406" t="s">
        <v>488</v>
      </c>
      <c r="P5" s="406" t="s">
        <v>489</v>
      </c>
      <c r="Q5" s="406" t="s">
        <v>490</v>
      </c>
      <c r="R5" s="406" t="s">
        <v>491</v>
      </c>
      <c r="S5" s="406" t="s">
        <v>492</v>
      </c>
      <c r="T5" s="406" t="s">
        <v>493</v>
      </c>
      <c r="U5" s="406" t="s">
        <v>494</v>
      </c>
      <c r="V5" s="406"/>
      <c r="W5" s="406" t="s">
        <v>495</v>
      </c>
      <c r="X5" s="407" t="s">
        <v>498</v>
      </c>
      <c r="Y5" s="407" t="s">
        <v>499</v>
      </c>
      <c r="Z5" s="407" t="s">
        <v>500</v>
      </c>
      <c r="AA5" s="407" t="s">
        <v>501</v>
      </c>
      <c r="AB5" s="407" t="s">
        <v>502</v>
      </c>
      <c r="AC5" s="407" t="s">
        <v>503</v>
      </c>
      <c r="AD5" s="407" t="s">
        <v>504</v>
      </c>
      <c r="AE5" s="407" t="s">
        <v>505</v>
      </c>
      <c r="AF5" s="407" t="s">
        <v>506</v>
      </c>
      <c r="AG5" s="407" t="s">
        <v>507</v>
      </c>
      <c r="AH5" s="407"/>
      <c r="AI5" s="408" t="s">
        <v>513</v>
      </c>
    </row>
    <row r="6" spans="1:35">
      <c r="A6" s="1006" t="str">
        <f>报表格式!B5</f>
        <v>流动资产：</v>
      </c>
      <c r="B6" s="413"/>
      <c r="C6" s="414"/>
      <c r="D6" s="414"/>
      <c r="E6" s="414"/>
      <c r="F6" s="414"/>
      <c r="G6" s="414"/>
      <c r="H6" s="414"/>
      <c r="I6" s="414"/>
      <c r="J6" s="414"/>
      <c r="K6" s="414"/>
      <c r="L6" s="414"/>
      <c r="M6" s="414"/>
      <c r="N6" s="414"/>
      <c r="O6" s="414"/>
      <c r="P6" s="414"/>
      <c r="Q6" s="414"/>
      <c r="R6" s="414"/>
      <c r="S6" s="414"/>
      <c r="T6" s="414"/>
      <c r="U6" s="414"/>
      <c r="V6" s="414"/>
      <c r="W6" s="414"/>
      <c r="X6" s="414"/>
      <c r="Y6" s="414"/>
      <c r="Z6" s="414"/>
      <c r="AA6" s="414"/>
      <c r="AB6" s="414"/>
      <c r="AC6" s="414"/>
      <c r="AD6" s="414"/>
      <c r="AE6" s="414"/>
      <c r="AF6" s="414"/>
      <c r="AG6" s="414"/>
      <c r="AH6" s="414"/>
      <c r="AI6" s="415"/>
    </row>
    <row r="7" spans="1:35">
      <c r="A7" s="1007" t="str">
        <f>报表格式!B6</f>
        <v>货币资金</v>
      </c>
      <c r="B7" s="392">
        <f t="shared" ref="B7:B100" si="0">SUM(C7:E7)</f>
        <v>0</v>
      </c>
      <c r="C7" s="393"/>
      <c r="D7" s="393"/>
      <c r="E7" s="393">
        <f>SUM(F7,X7:AI7)</f>
        <v>0</v>
      </c>
      <c r="F7" s="393">
        <f>SUM(G7:J7)</f>
        <v>0</v>
      </c>
      <c r="G7" s="393"/>
      <c r="H7" s="393"/>
      <c r="I7" s="393"/>
      <c r="J7" s="393">
        <f t="shared" ref="J7:J99" si="1">SUM(K7:W7)</f>
        <v>0</v>
      </c>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4"/>
    </row>
    <row r="8" spans="1:35">
      <c r="A8" s="1007" t="str">
        <f>报表格式!B7</f>
        <v>结算备付金</v>
      </c>
      <c r="B8" s="392">
        <f t="shared" ref="B8:B9" si="2">SUM(C8:E8)</f>
        <v>0</v>
      </c>
      <c r="C8" s="393"/>
      <c r="D8" s="393"/>
      <c r="E8" s="393">
        <f t="shared" ref="E8:E9" si="3">SUM(F8,X8:AI8)</f>
        <v>0</v>
      </c>
      <c r="F8" s="393">
        <f t="shared" ref="F8:F9" si="4">SUM(G8:J8)</f>
        <v>0</v>
      </c>
      <c r="G8" s="393"/>
      <c r="H8" s="393"/>
      <c r="I8" s="393"/>
      <c r="J8" s="393">
        <f t="shared" ref="J8:J9" si="5">SUM(K8:W8)</f>
        <v>0</v>
      </c>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4"/>
    </row>
    <row r="9" spans="1:35">
      <c r="A9" s="1007" t="str">
        <f>报表格式!B8</f>
        <v>拆出资金</v>
      </c>
      <c r="B9" s="392">
        <f t="shared" si="2"/>
        <v>0</v>
      </c>
      <c r="C9" s="393"/>
      <c r="D9" s="393"/>
      <c r="E9" s="393">
        <f t="shared" si="3"/>
        <v>0</v>
      </c>
      <c r="F9" s="393">
        <f t="shared" si="4"/>
        <v>0</v>
      </c>
      <c r="G9" s="393"/>
      <c r="H9" s="393"/>
      <c r="I9" s="393"/>
      <c r="J9" s="393">
        <f t="shared" si="5"/>
        <v>0</v>
      </c>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4"/>
    </row>
    <row r="10" spans="1:35">
      <c r="A10" s="1007" t="str">
        <f>报表格式!B9</f>
        <v>交易性金融资产</v>
      </c>
      <c r="B10" s="392">
        <f t="shared" si="0"/>
        <v>0</v>
      </c>
      <c r="C10" s="393"/>
      <c r="D10" s="393"/>
      <c r="E10" s="393">
        <f t="shared" ref="E10:E28" si="6">SUM(F10,X10:AI10)</f>
        <v>0</v>
      </c>
      <c r="F10" s="393">
        <f t="shared" ref="F10:F28" si="7">SUM(G10:J10)</f>
        <v>0</v>
      </c>
      <c r="G10" s="393"/>
      <c r="H10" s="393"/>
      <c r="I10" s="393"/>
      <c r="J10" s="393">
        <f t="shared" si="1"/>
        <v>0</v>
      </c>
      <c r="K10" s="393"/>
      <c r="L10" s="393"/>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4"/>
    </row>
    <row r="11" spans="1:35">
      <c r="A11" s="1007" t="str">
        <f>报表格式!B10</f>
        <v>以公允价值计量且其变动计入当期损益的金融资产</v>
      </c>
      <c r="B11" s="392">
        <f t="shared" si="0"/>
        <v>0</v>
      </c>
      <c r="C11" s="393"/>
      <c r="D11" s="393"/>
      <c r="E11" s="393">
        <f t="shared" si="6"/>
        <v>0</v>
      </c>
      <c r="F11" s="393">
        <f t="shared" si="7"/>
        <v>0</v>
      </c>
      <c r="G11" s="393"/>
      <c r="H11" s="393"/>
      <c r="I11" s="393"/>
      <c r="J11" s="393">
        <f t="shared" si="1"/>
        <v>0</v>
      </c>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4"/>
    </row>
    <row r="12" spans="1:35">
      <c r="A12" s="1007" t="str">
        <f>报表格式!B11</f>
        <v>衍生金融资产</v>
      </c>
      <c r="B12" s="392">
        <f>SUM(C12:E12)</f>
        <v>0</v>
      </c>
      <c r="C12" s="393"/>
      <c r="D12" s="393"/>
      <c r="E12" s="393">
        <f>SUM(F12,X12:AI12)</f>
        <v>0</v>
      </c>
      <c r="F12" s="393">
        <f>SUM(G12:J12)</f>
        <v>0</v>
      </c>
      <c r="G12" s="393"/>
      <c r="H12" s="393"/>
      <c r="I12" s="393"/>
      <c r="J12" s="393">
        <f>SUM(K12:W12)</f>
        <v>0</v>
      </c>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4"/>
    </row>
    <row r="13" spans="1:35">
      <c r="A13" s="1007" t="str">
        <f>报表格式!B12</f>
        <v>应收票据</v>
      </c>
      <c r="B13" s="392">
        <f t="shared" si="0"/>
        <v>0</v>
      </c>
      <c r="C13" s="393"/>
      <c r="D13" s="393"/>
      <c r="E13" s="393">
        <f t="shared" si="6"/>
        <v>0</v>
      </c>
      <c r="F13" s="393">
        <f t="shared" si="7"/>
        <v>0</v>
      </c>
      <c r="G13" s="393"/>
      <c r="H13" s="393"/>
      <c r="I13" s="393"/>
      <c r="J13" s="393">
        <f t="shared" si="1"/>
        <v>0</v>
      </c>
      <c r="K13" s="393"/>
      <c r="L13" s="393"/>
      <c r="M13" s="393"/>
      <c r="N13" s="393"/>
      <c r="O13" s="393"/>
      <c r="P13" s="393"/>
      <c r="Q13" s="393"/>
      <c r="R13" s="393"/>
      <c r="S13" s="393"/>
      <c r="T13" s="393"/>
      <c r="U13" s="393"/>
      <c r="V13" s="393"/>
      <c r="W13" s="393"/>
      <c r="X13" s="393"/>
      <c r="Y13" s="393"/>
      <c r="Z13" s="393"/>
      <c r="AA13" s="393"/>
      <c r="AB13" s="393"/>
      <c r="AC13" s="393"/>
      <c r="AD13" s="393"/>
      <c r="AE13" s="393"/>
      <c r="AF13" s="393"/>
      <c r="AG13" s="393"/>
      <c r="AH13" s="393"/>
      <c r="AI13" s="394"/>
    </row>
    <row r="14" spans="1:35">
      <c r="A14" s="1007" t="str">
        <f>报表格式!B13</f>
        <v>应收账款</v>
      </c>
      <c r="B14" s="392">
        <f t="shared" ref="B14:B15" si="8">SUM(C14:E14)</f>
        <v>0</v>
      </c>
      <c r="C14" s="393"/>
      <c r="D14" s="393"/>
      <c r="E14" s="393">
        <f t="shared" ref="E14:E15" si="9">SUM(F14,X14:AI14)</f>
        <v>0</v>
      </c>
      <c r="F14" s="393">
        <f t="shared" ref="F14:F15" si="10">SUM(G14:J14)</f>
        <v>0</v>
      </c>
      <c r="G14" s="393"/>
      <c r="H14" s="393"/>
      <c r="I14" s="393"/>
      <c r="J14" s="393">
        <f t="shared" ref="J14:J15" si="11">SUM(K14:W14)</f>
        <v>0</v>
      </c>
      <c r="K14" s="393"/>
      <c r="L14" s="393"/>
      <c r="M14" s="393"/>
      <c r="N14" s="393"/>
      <c r="O14" s="393"/>
      <c r="P14" s="393"/>
      <c r="Q14" s="393"/>
      <c r="R14" s="393"/>
      <c r="S14" s="393"/>
      <c r="T14" s="393"/>
      <c r="U14" s="393"/>
      <c r="V14" s="393"/>
      <c r="W14" s="393"/>
      <c r="X14" s="393"/>
      <c r="Y14" s="393"/>
      <c r="Z14" s="393"/>
      <c r="AA14" s="393"/>
      <c r="AB14" s="393"/>
      <c r="AC14" s="393"/>
      <c r="AD14" s="393"/>
      <c r="AE14" s="393"/>
      <c r="AF14" s="393"/>
      <c r="AG14" s="393"/>
      <c r="AH14" s="393"/>
      <c r="AI14" s="394"/>
    </row>
    <row r="15" spans="1:35">
      <c r="A15" s="1007" t="str">
        <f>报表格式!B14</f>
        <v>应收款项融资</v>
      </c>
      <c r="B15" s="392">
        <f t="shared" si="8"/>
        <v>0</v>
      </c>
      <c r="C15" s="393"/>
      <c r="D15" s="393"/>
      <c r="E15" s="393">
        <f t="shared" si="9"/>
        <v>0</v>
      </c>
      <c r="F15" s="393">
        <f t="shared" si="10"/>
        <v>0</v>
      </c>
      <c r="G15" s="393"/>
      <c r="H15" s="393"/>
      <c r="I15" s="393"/>
      <c r="J15" s="393">
        <f t="shared" si="11"/>
        <v>0</v>
      </c>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4"/>
    </row>
    <row r="16" spans="1:35">
      <c r="A16" s="1007" t="str">
        <f>报表格式!B15</f>
        <v>预付款项</v>
      </c>
      <c r="B16" s="392">
        <f t="shared" si="0"/>
        <v>0</v>
      </c>
      <c r="C16" s="393"/>
      <c r="D16" s="393"/>
      <c r="E16" s="393">
        <f t="shared" si="6"/>
        <v>0</v>
      </c>
      <c r="F16" s="393">
        <f t="shared" si="7"/>
        <v>0</v>
      </c>
      <c r="G16" s="393"/>
      <c r="H16" s="393"/>
      <c r="I16" s="393"/>
      <c r="J16" s="393">
        <f t="shared" si="1"/>
        <v>0</v>
      </c>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93"/>
      <c r="AH16" s="393"/>
      <c r="AI16" s="394"/>
    </row>
    <row r="17" spans="1:35">
      <c r="A17" s="1007" t="str">
        <f>报表格式!B16</f>
        <v>应收保费</v>
      </c>
      <c r="B17" s="392">
        <f t="shared" ref="B17:B19" si="12">SUM(C17:E17)</f>
        <v>0</v>
      </c>
      <c r="C17" s="393"/>
      <c r="D17" s="393"/>
      <c r="E17" s="393">
        <f t="shared" ref="E17:E19" si="13">SUM(F17,X17:AI17)</f>
        <v>0</v>
      </c>
      <c r="F17" s="393">
        <f t="shared" ref="F17:F19" si="14">SUM(G17:J17)</f>
        <v>0</v>
      </c>
      <c r="G17" s="393"/>
      <c r="H17" s="393"/>
      <c r="I17" s="393"/>
      <c r="J17" s="393">
        <f t="shared" ref="J17:J19" si="15">SUM(K17:W17)</f>
        <v>0</v>
      </c>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4"/>
    </row>
    <row r="18" spans="1:35">
      <c r="A18" s="1007" t="str">
        <f>报表格式!B17</f>
        <v>应收分保账款</v>
      </c>
      <c r="B18" s="392">
        <f t="shared" si="12"/>
        <v>0</v>
      </c>
      <c r="C18" s="393"/>
      <c r="D18" s="393"/>
      <c r="E18" s="393">
        <f t="shared" si="13"/>
        <v>0</v>
      </c>
      <c r="F18" s="393">
        <f t="shared" si="14"/>
        <v>0</v>
      </c>
      <c r="G18" s="393"/>
      <c r="H18" s="393"/>
      <c r="I18" s="393"/>
      <c r="J18" s="393">
        <f t="shared" si="15"/>
        <v>0</v>
      </c>
      <c r="K18" s="393"/>
      <c r="L18" s="393"/>
      <c r="M18" s="393"/>
      <c r="N18" s="393"/>
      <c r="O18" s="393"/>
      <c r="P18" s="393"/>
      <c r="Q18" s="393"/>
      <c r="R18" s="393"/>
      <c r="S18" s="393"/>
      <c r="T18" s="393"/>
      <c r="U18" s="393"/>
      <c r="V18" s="393"/>
      <c r="W18" s="393"/>
      <c r="X18" s="393"/>
      <c r="Y18" s="393"/>
      <c r="Z18" s="393"/>
      <c r="AA18" s="393"/>
      <c r="AB18" s="393"/>
      <c r="AC18" s="393"/>
      <c r="AD18" s="393"/>
      <c r="AE18" s="393"/>
      <c r="AF18" s="393"/>
      <c r="AG18" s="393"/>
      <c r="AH18" s="393"/>
      <c r="AI18" s="394"/>
    </row>
    <row r="19" spans="1:35">
      <c r="A19" s="1007" t="str">
        <f>报表格式!B18</f>
        <v>应收分保准备金</v>
      </c>
      <c r="B19" s="392">
        <f t="shared" si="12"/>
        <v>0</v>
      </c>
      <c r="C19" s="393"/>
      <c r="D19" s="393"/>
      <c r="E19" s="393">
        <f t="shared" si="13"/>
        <v>0</v>
      </c>
      <c r="F19" s="393">
        <f t="shared" si="14"/>
        <v>0</v>
      </c>
      <c r="G19" s="393"/>
      <c r="H19" s="393"/>
      <c r="I19" s="393"/>
      <c r="J19" s="393">
        <f t="shared" si="15"/>
        <v>0</v>
      </c>
      <c r="K19" s="393"/>
      <c r="L19" s="393"/>
      <c r="M19" s="393"/>
      <c r="N19" s="393"/>
      <c r="O19" s="393"/>
      <c r="P19" s="393"/>
      <c r="Q19" s="393"/>
      <c r="R19" s="393"/>
      <c r="S19" s="393"/>
      <c r="T19" s="393"/>
      <c r="U19" s="393"/>
      <c r="V19" s="393"/>
      <c r="W19" s="393"/>
      <c r="X19" s="393"/>
      <c r="Y19" s="393"/>
      <c r="Z19" s="393"/>
      <c r="AA19" s="393"/>
      <c r="AB19" s="393"/>
      <c r="AC19" s="393"/>
      <c r="AD19" s="393"/>
      <c r="AE19" s="393"/>
      <c r="AF19" s="393"/>
      <c r="AG19" s="393"/>
      <c r="AH19" s="393"/>
      <c r="AI19" s="394"/>
    </row>
    <row r="20" spans="1:35">
      <c r="A20" s="1007" t="str">
        <f>报表格式!B19</f>
        <v>其他应收款</v>
      </c>
      <c r="B20" s="392">
        <f t="shared" si="0"/>
        <v>0</v>
      </c>
      <c r="C20" s="393"/>
      <c r="D20" s="393"/>
      <c r="E20" s="393">
        <f t="shared" si="6"/>
        <v>0</v>
      </c>
      <c r="F20" s="393">
        <f t="shared" si="7"/>
        <v>0</v>
      </c>
      <c r="G20" s="393"/>
      <c r="H20" s="393"/>
      <c r="I20" s="393"/>
      <c r="J20" s="393">
        <f t="shared" si="1"/>
        <v>0</v>
      </c>
      <c r="K20" s="393"/>
      <c r="L20" s="393"/>
      <c r="M20" s="393"/>
      <c r="N20" s="393"/>
      <c r="O20" s="393"/>
      <c r="P20" s="393"/>
      <c r="Q20" s="393"/>
      <c r="R20" s="393"/>
      <c r="S20" s="393"/>
      <c r="T20" s="393"/>
      <c r="U20" s="393"/>
      <c r="V20" s="393"/>
      <c r="W20" s="393"/>
      <c r="X20" s="393"/>
      <c r="Y20" s="393"/>
      <c r="Z20" s="393"/>
      <c r="AA20" s="393"/>
      <c r="AB20" s="393"/>
      <c r="AC20" s="393"/>
      <c r="AD20" s="393"/>
      <c r="AE20" s="393"/>
      <c r="AF20" s="393"/>
      <c r="AG20" s="393"/>
      <c r="AH20" s="393"/>
      <c r="AI20" s="394"/>
    </row>
    <row r="21" spans="1:35">
      <c r="A21" s="1007" t="str">
        <f>报表格式!B20</f>
        <v xml:space="preserve">  其中：应收利息</v>
      </c>
      <c r="B21" s="392">
        <f t="shared" ref="B21:B22" si="16">SUM(C21:E21)</f>
        <v>0</v>
      </c>
      <c r="C21" s="393"/>
      <c r="D21" s="393"/>
      <c r="E21" s="393">
        <f t="shared" ref="E21:E22" si="17">SUM(F21,X21:AI21)</f>
        <v>0</v>
      </c>
      <c r="F21" s="393">
        <f t="shared" ref="F21:F22" si="18">SUM(G21:J21)</f>
        <v>0</v>
      </c>
      <c r="G21" s="393"/>
      <c r="H21" s="393"/>
      <c r="I21" s="393"/>
      <c r="J21" s="393">
        <f t="shared" ref="J21:J22" si="19">SUM(K21:W21)</f>
        <v>0</v>
      </c>
      <c r="L21" s="393"/>
      <c r="M21" s="393"/>
      <c r="N21" s="393"/>
      <c r="O21" s="393"/>
      <c r="P21" s="393"/>
      <c r="Q21" s="393"/>
      <c r="R21" s="393"/>
      <c r="S21" s="393"/>
      <c r="T21" s="393"/>
      <c r="U21" s="393"/>
      <c r="V21" s="393"/>
      <c r="W21" s="393"/>
      <c r="X21" s="393"/>
      <c r="Y21" s="393"/>
      <c r="Z21" s="393"/>
      <c r="AA21" s="393"/>
      <c r="AB21" s="393"/>
      <c r="AC21" s="393"/>
      <c r="AD21" s="393"/>
      <c r="AE21" s="393"/>
      <c r="AF21" s="393"/>
      <c r="AG21" s="393"/>
      <c r="AH21" s="393"/>
      <c r="AI21" s="394"/>
    </row>
    <row r="22" spans="1:35">
      <c r="A22" s="1007" t="str">
        <f>报表格式!B21</f>
        <v xml:space="preserve">        应收股利</v>
      </c>
      <c r="B22" s="392">
        <f t="shared" si="16"/>
        <v>0</v>
      </c>
      <c r="C22" s="393"/>
      <c r="D22" s="393"/>
      <c r="E22" s="393">
        <f t="shared" si="17"/>
        <v>0</v>
      </c>
      <c r="F22" s="393">
        <f t="shared" si="18"/>
        <v>0</v>
      </c>
      <c r="G22" s="393"/>
      <c r="H22" s="393"/>
      <c r="I22" s="393"/>
      <c r="J22" s="393">
        <f t="shared" si="19"/>
        <v>0</v>
      </c>
      <c r="K22" s="393"/>
      <c r="L22" s="393"/>
      <c r="M22" s="393"/>
      <c r="N22" s="393"/>
      <c r="O22" s="393"/>
      <c r="P22" s="393"/>
      <c r="Q22" s="393"/>
      <c r="R22" s="393"/>
      <c r="S22" s="393"/>
      <c r="T22" s="393"/>
      <c r="U22" s="393"/>
      <c r="V22" s="393"/>
      <c r="W22" s="393"/>
      <c r="X22" s="393"/>
      <c r="Y22" s="393"/>
      <c r="Z22" s="393"/>
      <c r="AA22" s="393"/>
      <c r="AB22" s="393"/>
      <c r="AC22" s="393"/>
      <c r="AD22" s="393"/>
      <c r="AE22" s="393"/>
      <c r="AF22" s="393"/>
      <c r="AG22" s="393"/>
      <c r="AH22" s="393"/>
      <c r="AI22" s="394"/>
    </row>
    <row r="23" spans="1:35">
      <c r="A23" s="1007" t="str">
        <f>报表格式!B22</f>
        <v>买入返售金融资产</v>
      </c>
      <c r="B23" s="392">
        <f t="shared" ref="B23" si="20">SUM(C23:E23)</f>
        <v>0</v>
      </c>
      <c r="C23" s="393"/>
      <c r="D23" s="393"/>
      <c r="E23" s="393">
        <f t="shared" ref="E23" si="21">SUM(F23,X23:AI23)</f>
        <v>0</v>
      </c>
      <c r="F23" s="393">
        <f t="shared" ref="F23" si="22">SUM(G23:J23)</f>
        <v>0</v>
      </c>
      <c r="G23" s="393"/>
      <c r="H23" s="393"/>
      <c r="I23" s="393"/>
      <c r="J23" s="393">
        <f t="shared" ref="J23" si="23">SUM(K23:W23)</f>
        <v>0</v>
      </c>
      <c r="K23" s="393"/>
      <c r="L23" s="393"/>
      <c r="M23" s="393"/>
      <c r="N23" s="393"/>
      <c r="O23" s="393"/>
      <c r="P23" s="393"/>
      <c r="Q23" s="393"/>
      <c r="R23" s="393"/>
      <c r="S23" s="393"/>
      <c r="T23" s="393"/>
      <c r="U23" s="393"/>
      <c r="V23" s="393"/>
      <c r="W23" s="393"/>
      <c r="X23" s="393"/>
      <c r="Y23" s="393"/>
      <c r="Z23" s="393"/>
      <c r="AA23" s="393"/>
      <c r="AB23" s="393"/>
      <c r="AC23" s="393"/>
      <c r="AD23" s="393"/>
      <c r="AE23" s="393"/>
      <c r="AF23" s="393"/>
      <c r="AG23" s="393"/>
      <c r="AH23" s="393"/>
      <c r="AI23" s="394"/>
    </row>
    <row r="24" spans="1:35">
      <c r="A24" s="1007" t="str">
        <f>报表格式!B23</f>
        <v>存货</v>
      </c>
      <c r="B24" s="392">
        <f t="shared" si="0"/>
        <v>0</v>
      </c>
      <c r="C24" s="393"/>
      <c r="D24" s="393"/>
      <c r="E24" s="393">
        <f t="shared" si="6"/>
        <v>0</v>
      </c>
      <c r="F24" s="393">
        <f t="shared" si="7"/>
        <v>0</v>
      </c>
      <c r="G24" s="393"/>
      <c r="H24" s="393"/>
      <c r="I24" s="393"/>
      <c r="J24" s="393">
        <f>SUM(K24:W24)</f>
        <v>0</v>
      </c>
      <c r="K24" s="393"/>
      <c r="L24" s="393"/>
      <c r="M24" s="393"/>
      <c r="N24" s="393"/>
      <c r="O24" s="393"/>
      <c r="P24" s="393"/>
      <c r="Q24" s="393"/>
      <c r="R24" s="393"/>
      <c r="S24" s="393"/>
      <c r="T24" s="393"/>
      <c r="U24" s="393"/>
      <c r="V24" s="393"/>
      <c r="W24" s="393"/>
      <c r="X24" s="393"/>
      <c r="Y24" s="393"/>
      <c r="Z24" s="393"/>
      <c r="AA24" s="393"/>
      <c r="AB24" s="393"/>
      <c r="AC24" s="393"/>
      <c r="AD24" s="393"/>
      <c r="AE24" s="393"/>
      <c r="AF24" s="393"/>
      <c r="AG24" s="393"/>
      <c r="AH24" s="393"/>
      <c r="AI24" s="394"/>
    </row>
    <row r="25" spans="1:35">
      <c r="A25" s="1007" t="str">
        <f>报表格式!B24</f>
        <v>合同资产</v>
      </c>
      <c r="B25" s="392">
        <f t="shared" si="0"/>
        <v>0</v>
      </c>
      <c r="C25" s="393"/>
      <c r="D25" s="393"/>
      <c r="E25" s="393">
        <f t="shared" si="6"/>
        <v>0</v>
      </c>
      <c r="F25" s="393">
        <f t="shared" si="7"/>
        <v>0</v>
      </c>
      <c r="G25" s="393"/>
      <c r="H25" s="393"/>
      <c r="I25" s="393"/>
      <c r="J25" s="393">
        <f t="shared" si="1"/>
        <v>0</v>
      </c>
      <c r="K25" s="393"/>
      <c r="L25" s="393"/>
      <c r="M25" s="393"/>
      <c r="N25" s="393"/>
      <c r="O25" s="393"/>
      <c r="P25" s="393"/>
      <c r="Q25" s="393"/>
      <c r="R25" s="393"/>
      <c r="S25" s="393"/>
      <c r="T25" s="393"/>
      <c r="U25" s="393"/>
      <c r="V25" s="393"/>
      <c r="W25" s="393"/>
      <c r="X25" s="393"/>
      <c r="Y25" s="393"/>
      <c r="Z25" s="393"/>
      <c r="AA25" s="393"/>
      <c r="AB25" s="393"/>
      <c r="AC25" s="393"/>
      <c r="AD25" s="393"/>
      <c r="AE25" s="393"/>
      <c r="AF25" s="393"/>
      <c r="AG25" s="393"/>
      <c r="AH25" s="393"/>
      <c r="AI25" s="394"/>
    </row>
    <row r="26" spans="1:35">
      <c r="A26" s="1007" t="str">
        <f>报表格式!B25</f>
        <v>持有待售资产</v>
      </c>
      <c r="B26" s="392">
        <f t="shared" si="0"/>
        <v>0</v>
      </c>
      <c r="C26" s="393"/>
      <c r="D26" s="393"/>
      <c r="E26" s="393">
        <f t="shared" si="6"/>
        <v>0</v>
      </c>
      <c r="F26" s="393">
        <f t="shared" si="7"/>
        <v>0</v>
      </c>
      <c r="G26" s="393"/>
      <c r="H26" s="393"/>
      <c r="I26" s="393"/>
      <c r="J26" s="393">
        <f t="shared" si="1"/>
        <v>0</v>
      </c>
      <c r="K26" s="393"/>
      <c r="L26" s="393"/>
      <c r="M26" s="393"/>
      <c r="N26" s="393"/>
      <c r="O26" s="393"/>
      <c r="P26" s="393"/>
      <c r="Q26" s="393"/>
      <c r="R26" s="393"/>
      <c r="S26" s="393"/>
      <c r="T26" s="393"/>
      <c r="U26" s="393"/>
      <c r="V26" s="393"/>
      <c r="W26" s="393"/>
      <c r="X26" s="393"/>
      <c r="Y26" s="393"/>
      <c r="Z26" s="393"/>
      <c r="AA26" s="393"/>
      <c r="AB26" s="393"/>
      <c r="AC26" s="393"/>
      <c r="AD26" s="393"/>
      <c r="AE26" s="393"/>
      <c r="AF26" s="393"/>
      <c r="AG26" s="393"/>
      <c r="AH26" s="393"/>
      <c r="AI26" s="394"/>
    </row>
    <row r="27" spans="1:35">
      <c r="A27" s="1007" t="str">
        <f>报表格式!B26</f>
        <v>一年内到期的非流动资产</v>
      </c>
      <c r="B27" s="392">
        <f>SUM(C27:E27)</f>
        <v>0</v>
      </c>
      <c r="C27" s="393"/>
      <c r="D27" s="393"/>
      <c r="E27" s="393">
        <f>SUM(F27,X27:AI27)</f>
        <v>0</v>
      </c>
      <c r="F27" s="393">
        <f>SUM(G27:J27)</f>
        <v>0</v>
      </c>
      <c r="G27" s="393"/>
      <c r="H27" s="393"/>
      <c r="I27" s="393"/>
      <c r="J27" s="393">
        <f>SUM(K27:W27)</f>
        <v>0</v>
      </c>
      <c r="K27" s="393"/>
      <c r="L27" s="393"/>
      <c r="M27" s="393"/>
      <c r="N27" s="393"/>
      <c r="O27" s="393"/>
      <c r="P27" s="393"/>
      <c r="Q27" s="393"/>
      <c r="R27" s="393"/>
      <c r="S27" s="393"/>
      <c r="T27" s="393"/>
      <c r="U27" s="393"/>
      <c r="V27" s="393"/>
      <c r="W27" s="393"/>
      <c r="X27" s="393"/>
      <c r="Y27" s="393"/>
      <c r="Z27" s="393"/>
      <c r="AA27" s="393"/>
      <c r="AB27" s="393"/>
      <c r="AC27" s="393"/>
      <c r="AD27" s="393"/>
      <c r="AE27" s="393"/>
      <c r="AF27" s="393"/>
      <c r="AG27" s="393"/>
      <c r="AH27" s="393"/>
      <c r="AI27" s="394"/>
    </row>
    <row r="28" spans="1:35">
      <c r="A28" s="1007" t="str">
        <f>报表格式!B27</f>
        <v>其他流动资产</v>
      </c>
      <c r="B28" s="392">
        <f t="shared" si="0"/>
        <v>0</v>
      </c>
      <c r="C28" s="393"/>
      <c r="D28" s="393"/>
      <c r="E28" s="393">
        <f t="shared" si="6"/>
        <v>0</v>
      </c>
      <c r="F28" s="393">
        <f t="shared" si="7"/>
        <v>0</v>
      </c>
      <c r="G28" s="393"/>
      <c r="H28" s="393"/>
      <c r="I28" s="393"/>
      <c r="J28" s="393">
        <f>SUM(K28:W28)</f>
        <v>0</v>
      </c>
      <c r="K28" s="393"/>
      <c r="L28" s="393"/>
      <c r="M28" s="393"/>
      <c r="N28" s="393"/>
      <c r="O28" s="393"/>
      <c r="P28" s="393"/>
      <c r="Q28" s="393"/>
      <c r="R28" s="393"/>
      <c r="S28" s="393"/>
      <c r="T28" s="393"/>
      <c r="U28" s="393"/>
      <c r="V28" s="393"/>
      <c r="W28" s="393"/>
      <c r="X28" s="393"/>
      <c r="Y28" s="393"/>
      <c r="Z28" s="393"/>
      <c r="AA28" s="393"/>
      <c r="AB28" s="393"/>
      <c r="AC28" s="393"/>
      <c r="AD28" s="393"/>
      <c r="AE28" s="393"/>
      <c r="AF28" s="393"/>
      <c r="AG28" s="393"/>
      <c r="AH28" s="393"/>
      <c r="AI28" s="394"/>
    </row>
    <row r="29" spans="1:35">
      <c r="A29" s="1007">
        <f>报表格式!B28</f>
        <v>0</v>
      </c>
      <c r="B29" s="860">
        <f>SUM(C29:E29)</f>
        <v>0</v>
      </c>
      <c r="C29" s="393"/>
      <c r="D29" s="393"/>
      <c r="E29" s="393">
        <f>SUM(F29,X29:AI29)</f>
        <v>0</v>
      </c>
      <c r="F29" s="393">
        <f>SUM(G29:J29)</f>
        <v>0</v>
      </c>
      <c r="G29" s="393"/>
      <c r="H29" s="393"/>
      <c r="I29" s="393"/>
      <c r="J29" s="393">
        <f>SUM(K29:W29)</f>
        <v>0</v>
      </c>
      <c r="K29" s="393"/>
      <c r="L29" s="393"/>
      <c r="M29" s="393"/>
      <c r="N29" s="393"/>
      <c r="O29" s="393"/>
      <c r="P29" s="393"/>
      <c r="Q29" s="393"/>
      <c r="R29" s="393"/>
      <c r="S29" s="393"/>
      <c r="T29" s="393"/>
      <c r="U29" s="393"/>
      <c r="V29" s="393"/>
      <c r="W29" s="393"/>
      <c r="X29" s="393"/>
      <c r="Y29" s="393"/>
      <c r="Z29" s="393"/>
      <c r="AA29" s="393"/>
      <c r="AB29" s="393"/>
      <c r="AC29" s="393"/>
      <c r="AD29" s="393"/>
      <c r="AE29" s="393"/>
      <c r="AF29" s="393"/>
      <c r="AG29" s="393"/>
      <c r="AH29" s="393"/>
      <c r="AI29" s="394"/>
    </row>
    <row r="30" spans="1:35">
      <c r="A30" s="1007">
        <f>报表格式!B29</f>
        <v>0</v>
      </c>
      <c r="B30" s="392">
        <f>SUM(C30:E30)</f>
        <v>0</v>
      </c>
      <c r="C30" s="393"/>
      <c r="D30" s="393"/>
      <c r="E30" s="393">
        <f>SUM(F30,X30:AI30)</f>
        <v>0</v>
      </c>
      <c r="F30" s="393">
        <f>SUM(G30:J30)</f>
        <v>0</v>
      </c>
      <c r="G30" s="393"/>
      <c r="H30" s="393"/>
      <c r="I30" s="393"/>
      <c r="J30" s="393">
        <f>SUM(K30:W30)</f>
        <v>0</v>
      </c>
      <c r="K30" s="393"/>
      <c r="L30" s="393"/>
      <c r="M30" s="393"/>
      <c r="N30" s="393"/>
      <c r="O30" s="393"/>
      <c r="P30" s="393"/>
      <c r="Q30" s="393"/>
      <c r="R30" s="393"/>
      <c r="S30" s="393"/>
      <c r="T30" s="393"/>
      <c r="U30" s="393"/>
      <c r="V30" s="393"/>
      <c r="W30" s="393"/>
      <c r="X30" s="393"/>
      <c r="Y30" s="393"/>
      <c r="Z30" s="393"/>
      <c r="AA30" s="393"/>
      <c r="AB30" s="393"/>
      <c r="AC30" s="393"/>
      <c r="AD30" s="393"/>
      <c r="AE30" s="393"/>
      <c r="AF30" s="393"/>
      <c r="AG30" s="393"/>
      <c r="AH30" s="393"/>
      <c r="AI30" s="394"/>
    </row>
    <row r="31" spans="1:35" s="389" customFormat="1">
      <c r="A31" s="1008" t="str">
        <f>报表格式!B30</f>
        <v>流动资产合计</v>
      </c>
      <c r="B31" s="398">
        <f>SUM(C31:E31)</f>
        <v>0</v>
      </c>
      <c r="C31" s="399">
        <f>SUM(C7:C30)-C21-C22</f>
        <v>0</v>
      </c>
      <c r="D31" s="399">
        <f>SUM(D7:D30)-D21-D22</f>
        <v>0</v>
      </c>
      <c r="E31" s="399">
        <f>SUM(F31,X31:AI31)</f>
        <v>0</v>
      </c>
      <c r="F31" s="399">
        <f>SUM(G31:J31)</f>
        <v>0</v>
      </c>
      <c r="G31" s="399">
        <f>SUM(G7:G30)-G21-G22</f>
        <v>0</v>
      </c>
      <c r="H31" s="399">
        <f>SUM(H7:H30)-H21-H22</f>
        <v>0</v>
      </c>
      <c r="I31" s="399">
        <f>SUM(I7:I30)-I21-I22</f>
        <v>0</v>
      </c>
      <c r="J31" s="399">
        <f>SUM(K31:W31)</f>
        <v>0</v>
      </c>
      <c r="K31" s="399">
        <f t="shared" ref="K31:AI31" si="24">SUM(K7:K30)-K21-K22</f>
        <v>0</v>
      </c>
      <c r="L31" s="399">
        <f t="shared" si="24"/>
        <v>0</v>
      </c>
      <c r="M31" s="399">
        <f t="shared" si="24"/>
        <v>0</v>
      </c>
      <c r="N31" s="399">
        <f t="shared" si="24"/>
        <v>0</v>
      </c>
      <c r="O31" s="399">
        <f t="shared" si="24"/>
        <v>0</v>
      </c>
      <c r="P31" s="399">
        <f t="shared" si="24"/>
        <v>0</v>
      </c>
      <c r="Q31" s="399">
        <f t="shared" si="24"/>
        <v>0</v>
      </c>
      <c r="R31" s="399">
        <f t="shared" si="24"/>
        <v>0</v>
      </c>
      <c r="S31" s="399">
        <f t="shared" si="24"/>
        <v>0</v>
      </c>
      <c r="T31" s="399">
        <f t="shared" si="24"/>
        <v>0</v>
      </c>
      <c r="U31" s="399">
        <f t="shared" si="24"/>
        <v>0</v>
      </c>
      <c r="V31" s="399">
        <f t="shared" si="24"/>
        <v>0</v>
      </c>
      <c r="W31" s="399">
        <f t="shared" si="24"/>
        <v>0</v>
      </c>
      <c r="X31" s="399">
        <f t="shared" si="24"/>
        <v>0</v>
      </c>
      <c r="Y31" s="399">
        <f t="shared" si="24"/>
        <v>0</v>
      </c>
      <c r="Z31" s="399">
        <f t="shared" si="24"/>
        <v>0</v>
      </c>
      <c r="AA31" s="399">
        <f t="shared" si="24"/>
        <v>0</v>
      </c>
      <c r="AB31" s="399">
        <f t="shared" si="24"/>
        <v>0</v>
      </c>
      <c r="AC31" s="399">
        <f t="shared" si="24"/>
        <v>0</v>
      </c>
      <c r="AD31" s="399">
        <f t="shared" si="24"/>
        <v>0</v>
      </c>
      <c r="AE31" s="399">
        <f t="shared" si="24"/>
        <v>0</v>
      </c>
      <c r="AF31" s="399">
        <f t="shared" si="24"/>
        <v>0</v>
      </c>
      <c r="AG31" s="399">
        <f t="shared" si="24"/>
        <v>0</v>
      </c>
      <c r="AH31" s="399">
        <f t="shared" si="24"/>
        <v>0</v>
      </c>
      <c r="AI31" s="399">
        <f t="shared" si="24"/>
        <v>0</v>
      </c>
    </row>
    <row r="32" spans="1:35">
      <c r="A32" s="1009" t="str">
        <f>报表格式!B31</f>
        <v>非流动资产:</v>
      </c>
      <c r="B32" s="392"/>
      <c r="C32" s="393"/>
      <c r="D32" s="393"/>
      <c r="E32" s="393"/>
      <c r="F32" s="393"/>
      <c r="G32" s="393"/>
      <c r="H32" s="393"/>
      <c r="I32" s="393"/>
      <c r="J32" s="393"/>
      <c r="K32" s="393"/>
      <c r="L32" s="393"/>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4"/>
    </row>
    <row r="33" spans="1:35">
      <c r="A33" s="1007" t="str">
        <f>报表格式!B32</f>
        <v>发放贷款及垫款</v>
      </c>
      <c r="B33" s="392">
        <f t="shared" ref="B33" si="25">SUM(C33:E33)</f>
        <v>0</v>
      </c>
      <c r="C33" s="393"/>
      <c r="D33" s="393"/>
      <c r="E33" s="393">
        <f t="shared" ref="E33" si="26">SUM(F33,X33:AI33)</f>
        <v>0</v>
      </c>
      <c r="F33" s="393">
        <f t="shared" ref="F33" si="27">SUM(G33:J33)</f>
        <v>0</v>
      </c>
      <c r="G33" s="393"/>
      <c r="H33" s="393"/>
      <c r="I33" s="393"/>
      <c r="J33" s="393">
        <f t="shared" ref="J33" si="28">SUM(K33:W33)</f>
        <v>0</v>
      </c>
      <c r="K33" s="393"/>
      <c r="L33" s="393"/>
      <c r="M33" s="393"/>
      <c r="N33" s="393"/>
      <c r="O33" s="393"/>
      <c r="P33" s="393"/>
      <c r="Q33" s="393"/>
      <c r="R33" s="393"/>
      <c r="S33" s="393"/>
      <c r="T33" s="393"/>
      <c r="U33" s="393"/>
      <c r="V33" s="393"/>
      <c r="W33" s="393"/>
      <c r="X33" s="393"/>
      <c r="Y33" s="393"/>
      <c r="Z33" s="393"/>
      <c r="AA33" s="393"/>
      <c r="AB33" s="393"/>
      <c r="AC33" s="393"/>
      <c r="AD33" s="393"/>
      <c r="AE33" s="393"/>
      <c r="AF33" s="393"/>
      <c r="AG33" s="393"/>
      <c r="AH33" s="393"/>
      <c r="AI33" s="394"/>
    </row>
    <row r="34" spans="1:35">
      <c r="A34" s="1007" t="str">
        <f>报表格式!B33</f>
        <v>债权投资</v>
      </c>
      <c r="B34" s="392">
        <f t="shared" si="0"/>
        <v>0</v>
      </c>
      <c r="C34" s="393"/>
      <c r="D34" s="393"/>
      <c r="E34" s="393">
        <f t="shared" ref="E34:E55" si="29">SUM(F34,X34:AI34)</f>
        <v>0</v>
      </c>
      <c r="F34" s="393">
        <f t="shared" ref="F34:F55" si="30">SUM(G34:J34)</f>
        <v>0</v>
      </c>
      <c r="G34" s="393"/>
      <c r="H34" s="393"/>
      <c r="I34" s="393"/>
      <c r="J34" s="393">
        <f t="shared" si="1"/>
        <v>0</v>
      </c>
      <c r="K34" s="393"/>
      <c r="L34" s="393"/>
      <c r="M34" s="393"/>
      <c r="N34" s="393"/>
      <c r="O34" s="393"/>
      <c r="P34" s="393"/>
      <c r="Q34" s="393"/>
      <c r="R34" s="393"/>
      <c r="S34" s="393"/>
      <c r="T34" s="393"/>
      <c r="U34" s="393"/>
      <c r="V34" s="393"/>
      <c r="W34" s="393"/>
      <c r="X34" s="393"/>
      <c r="Y34" s="393"/>
      <c r="Z34" s="393"/>
      <c r="AA34" s="393"/>
      <c r="AB34" s="393"/>
      <c r="AC34" s="393"/>
      <c r="AD34" s="393"/>
      <c r="AE34" s="393"/>
      <c r="AF34" s="393"/>
      <c r="AG34" s="393"/>
      <c r="AH34" s="393"/>
      <c r="AI34" s="394"/>
    </row>
    <row r="35" spans="1:35">
      <c r="A35" s="1007" t="str">
        <f>报表格式!B34</f>
        <v>可供出售金融资产</v>
      </c>
      <c r="B35" s="392">
        <f t="shared" ref="B35:B37" si="31">SUM(C35:E35)</f>
        <v>0</v>
      </c>
      <c r="C35" s="393"/>
      <c r="D35" s="393"/>
      <c r="E35" s="393">
        <f t="shared" ref="E35:E37" si="32">SUM(F35,X35:AI35)</f>
        <v>0</v>
      </c>
      <c r="F35" s="393">
        <f t="shared" ref="F35:F37" si="33">SUM(G35:J35)</f>
        <v>0</v>
      </c>
      <c r="G35" s="393"/>
      <c r="H35" s="393"/>
      <c r="I35" s="393"/>
      <c r="J35" s="393">
        <f t="shared" ref="J35:J37" si="34">SUM(K35:W35)</f>
        <v>0</v>
      </c>
      <c r="K35" s="393"/>
      <c r="L35" s="393"/>
      <c r="M35" s="393"/>
      <c r="N35" s="393"/>
      <c r="O35" s="393"/>
      <c r="P35" s="393"/>
      <c r="Q35" s="393"/>
      <c r="R35" s="393"/>
      <c r="S35" s="393"/>
      <c r="T35" s="393"/>
      <c r="U35" s="393"/>
      <c r="V35" s="393"/>
      <c r="W35" s="393"/>
      <c r="X35" s="393"/>
      <c r="Y35" s="393"/>
      <c r="Z35" s="393"/>
      <c r="AA35" s="393"/>
      <c r="AB35" s="393"/>
      <c r="AC35" s="393"/>
      <c r="AD35" s="393"/>
      <c r="AE35" s="393"/>
      <c r="AF35" s="393"/>
      <c r="AG35" s="393"/>
      <c r="AH35" s="393"/>
      <c r="AI35" s="394"/>
    </row>
    <row r="36" spans="1:35">
      <c r="A36" s="1007" t="str">
        <f>报表格式!B35</f>
        <v>其他债权投资</v>
      </c>
      <c r="B36" s="392">
        <f t="shared" si="31"/>
        <v>0</v>
      </c>
      <c r="C36" s="393"/>
      <c r="D36" s="393"/>
      <c r="E36" s="393">
        <f t="shared" si="32"/>
        <v>0</v>
      </c>
      <c r="F36" s="393">
        <f t="shared" si="33"/>
        <v>0</v>
      </c>
      <c r="G36" s="393"/>
      <c r="H36" s="393"/>
      <c r="I36" s="393"/>
      <c r="J36" s="393">
        <f t="shared" si="34"/>
        <v>0</v>
      </c>
      <c r="K36" s="393"/>
      <c r="L36" s="393"/>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4"/>
    </row>
    <row r="37" spans="1:35">
      <c r="A37" s="1007" t="str">
        <f>报表格式!B36</f>
        <v>持有至到期投资</v>
      </c>
      <c r="B37" s="392">
        <f t="shared" si="31"/>
        <v>0</v>
      </c>
      <c r="C37" s="393"/>
      <c r="D37" s="393"/>
      <c r="E37" s="393">
        <f t="shared" si="32"/>
        <v>0</v>
      </c>
      <c r="F37" s="393">
        <f t="shared" si="33"/>
        <v>0</v>
      </c>
      <c r="G37" s="393"/>
      <c r="H37" s="393"/>
      <c r="I37" s="393"/>
      <c r="J37" s="393">
        <f t="shared" si="34"/>
        <v>0</v>
      </c>
      <c r="K37" s="39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4"/>
    </row>
    <row r="38" spans="1:35">
      <c r="A38" s="1007" t="str">
        <f>报表格式!B37</f>
        <v>长期应收款</v>
      </c>
      <c r="B38" s="392">
        <f t="shared" si="0"/>
        <v>0</v>
      </c>
      <c r="C38" s="393"/>
      <c r="D38" s="393"/>
      <c r="E38" s="393">
        <f t="shared" si="29"/>
        <v>0</v>
      </c>
      <c r="F38" s="393">
        <f t="shared" si="30"/>
        <v>0</v>
      </c>
      <c r="G38" s="393"/>
      <c r="H38" s="393"/>
      <c r="I38" s="393"/>
      <c r="J38" s="393">
        <f t="shared" si="1"/>
        <v>0</v>
      </c>
      <c r="K38" s="393"/>
      <c r="L38" s="393"/>
      <c r="M38" s="393"/>
      <c r="N38" s="393"/>
      <c r="O38" s="393"/>
      <c r="P38" s="393"/>
      <c r="Q38" s="393"/>
      <c r="R38" s="393"/>
      <c r="S38" s="393"/>
      <c r="T38" s="393"/>
      <c r="U38" s="393"/>
      <c r="V38" s="393"/>
      <c r="W38" s="393"/>
      <c r="X38" s="393"/>
      <c r="Y38" s="393"/>
      <c r="Z38" s="393"/>
      <c r="AA38" s="393"/>
      <c r="AB38" s="393"/>
      <c r="AC38" s="393"/>
      <c r="AD38" s="393"/>
      <c r="AE38" s="393"/>
      <c r="AF38" s="393"/>
      <c r="AG38" s="393"/>
      <c r="AH38" s="393"/>
      <c r="AI38" s="394"/>
    </row>
    <row r="39" spans="1:35">
      <c r="A39" s="1007" t="str">
        <f>报表格式!B38</f>
        <v>设定受益计划净资产</v>
      </c>
      <c r="B39" s="392">
        <f>SUM(C39:E39)</f>
        <v>0</v>
      </c>
      <c r="C39" s="393"/>
      <c r="D39" s="393"/>
      <c r="E39" s="393">
        <f>SUM(F39,X39:AI39)</f>
        <v>0</v>
      </c>
      <c r="F39" s="393">
        <f>SUM(G39:J39)</f>
        <v>0</v>
      </c>
      <c r="G39" s="393"/>
      <c r="H39" s="393"/>
      <c r="I39" s="393"/>
      <c r="J39" s="393">
        <f>SUM(K39:W39)</f>
        <v>0</v>
      </c>
      <c r="K39" s="39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4"/>
    </row>
    <row r="40" spans="1:35">
      <c r="A40" s="1007" t="str">
        <f>报表格式!B39</f>
        <v>长期股权投资</v>
      </c>
      <c r="B40" s="392">
        <f t="shared" si="0"/>
        <v>0</v>
      </c>
      <c r="C40" s="393"/>
      <c r="D40" s="393"/>
      <c r="E40" s="393">
        <f t="shared" si="29"/>
        <v>0</v>
      </c>
      <c r="F40" s="393">
        <f t="shared" si="30"/>
        <v>0</v>
      </c>
      <c r="G40" s="393"/>
      <c r="H40" s="393"/>
      <c r="I40" s="393"/>
      <c r="J40" s="393">
        <f t="shared" si="1"/>
        <v>0</v>
      </c>
      <c r="K40" s="393"/>
      <c r="L40" s="393"/>
      <c r="M40" s="393"/>
      <c r="N40" s="393"/>
      <c r="O40" s="393"/>
      <c r="P40" s="393"/>
      <c r="Q40" s="393"/>
      <c r="R40" s="393"/>
      <c r="S40" s="393"/>
      <c r="T40" s="393"/>
      <c r="U40" s="393"/>
      <c r="V40" s="393"/>
      <c r="W40" s="393"/>
      <c r="X40" s="393"/>
      <c r="Y40" s="393"/>
      <c r="Z40" s="393"/>
      <c r="AA40" s="393"/>
      <c r="AB40" s="393"/>
      <c r="AC40" s="393"/>
      <c r="AD40" s="393"/>
      <c r="AE40" s="393"/>
      <c r="AF40" s="393"/>
      <c r="AG40" s="393"/>
      <c r="AH40" s="393"/>
      <c r="AI40" s="394"/>
    </row>
    <row r="41" spans="1:35">
      <c r="A41" s="1007" t="str">
        <f>报表格式!B40</f>
        <v>其他权益工具投资</v>
      </c>
      <c r="B41" s="392">
        <f t="shared" si="0"/>
        <v>0</v>
      </c>
      <c r="C41" s="393"/>
      <c r="D41" s="393"/>
      <c r="E41" s="393">
        <f t="shared" si="29"/>
        <v>0</v>
      </c>
      <c r="F41" s="393">
        <f t="shared" si="30"/>
        <v>0</v>
      </c>
      <c r="G41" s="393"/>
      <c r="H41" s="393"/>
      <c r="I41" s="393"/>
      <c r="J41" s="393">
        <f t="shared" si="1"/>
        <v>0</v>
      </c>
      <c r="K41" s="39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4"/>
    </row>
    <row r="42" spans="1:35">
      <c r="A42" s="1007" t="str">
        <f>报表格式!B41</f>
        <v>其他非流动金融资产</v>
      </c>
      <c r="B42" s="392">
        <f t="shared" si="0"/>
        <v>0</v>
      </c>
      <c r="C42" s="393"/>
      <c r="D42" s="393"/>
      <c r="E42" s="393">
        <f t="shared" si="29"/>
        <v>0</v>
      </c>
      <c r="F42" s="393">
        <f t="shared" si="30"/>
        <v>0</v>
      </c>
      <c r="G42" s="393"/>
      <c r="H42" s="393"/>
      <c r="I42" s="393"/>
      <c r="J42" s="393">
        <f t="shared" si="1"/>
        <v>0</v>
      </c>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4"/>
    </row>
    <row r="43" spans="1:35">
      <c r="A43" s="1007" t="str">
        <f>报表格式!B42</f>
        <v>投资性房地产</v>
      </c>
      <c r="B43" s="392">
        <f t="shared" si="0"/>
        <v>0</v>
      </c>
      <c r="C43" s="393"/>
      <c r="D43" s="393"/>
      <c r="E43" s="393">
        <f t="shared" si="29"/>
        <v>0</v>
      </c>
      <c r="F43" s="393">
        <f t="shared" si="30"/>
        <v>0</v>
      </c>
      <c r="G43" s="393"/>
      <c r="H43" s="393"/>
      <c r="I43" s="393"/>
      <c r="J43" s="393">
        <f t="shared" si="1"/>
        <v>0</v>
      </c>
      <c r="K43" s="39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4"/>
    </row>
    <row r="44" spans="1:35">
      <c r="A44" s="1007" t="str">
        <f>报表格式!B43</f>
        <v>固定资产</v>
      </c>
      <c r="B44" s="392">
        <f t="shared" si="0"/>
        <v>0</v>
      </c>
      <c r="C44" s="393"/>
      <c r="D44" s="393"/>
      <c r="E44" s="393">
        <f t="shared" si="29"/>
        <v>0</v>
      </c>
      <c r="F44" s="393">
        <f t="shared" si="30"/>
        <v>0</v>
      </c>
      <c r="G44" s="393"/>
      <c r="H44" s="393"/>
      <c r="I44" s="393"/>
      <c r="J44" s="393">
        <f t="shared" si="1"/>
        <v>0</v>
      </c>
      <c r="K44" s="393"/>
      <c r="L44" s="393"/>
      <c r="M44" s="393"/>
      <c r="N44" s="393"/>
      <c r="O44" s="393"/>
      <c r="P44" s="393"/>
      <c r="Q44" s="393"/>
      <c r="R44" s="393"/>
      <c r="S44" s="393"/>
      <c r="T44" s="393"/>
      <c r="U44" s="393"/>
      <c r="V44" s="393"/>
      <c r="W44" s="393"/>
      <c r="X44" s="393"/>
      <c r="Y44" s="393"/>
      <c r="Z44" s="393"/>
      <c r="AA44" s="393"/>
      <c r="AB44" s="393"/>
      <c r="AC44" s="393"/>
      <c r="AD44" s="393"/>
      <c r="AE44" s="393"/>
      <c r="AF44" s="393"/>
      <c r="AG44" s="393"/>
      <c r="AH44" s="393"/>
      <c r="AI44" s="394"/>
    </row>
    <row r="45" spans="1:35">
      <c r="A45" s="1007" t="str">
        <f>报表格式!B44</f>
        <v>在建工程</v>
      </c>
      <c r="B45" s="392">
        <f t="shared" si="0"/>
        <v>0</v>
      </c>
      <c r="C45" s="393"/>
      <c r="D45" s="393"/>
      <c r="E45" s="393">
        <f t="shared" si="29"/>
        <v>0</v>
      </c>
      <c r="F45" s="393">
        <f t="shared" si="30"/>
        <v>0</v>
      </c>
      <c r="G45" s="393"/>
      <c r="H45" s="393"/>
      <c r="I45" s="393"/>
      <c r="J45" s="393">
        <f t="shared" si="1"/>
        <v>0</v>
      </c>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4"/>
    </row>
    <row r="46" spans="1:35">
      <c r="A46" s="1007" t="str">
        <f>报表格式!B45</f>
        <v xml:space="preserve">生产性生物资产 </v>
      </c>
      <c r="B46" s="392">
        <f t="shared" si="0"/>
        <v>0</v>
      </c>
      <c r="C46" s="393"/>
      <c r="D46" s="393"/>
      <c r="E46" s="393">
        <f t="shared" si="29"/>
        <v>0</v>
      </c>
      <c r="F46" s="393">
        <f t="shared" si="30"/>
        <v>0</v>
      </c>
      <c r="G46" s="393"/>
      <c r="H46" s="393"/>
      <c r="I46" s="393"/>
      <c r="J46" s="393">
        <f t="shared" si="1"/>
        <v>0</v>
      </c>
      <c r="K46" s="393"/>
      <c r="L46" s="393"/>
      <c r="M46" s="393"/>
      <c r="N46" s="393"/>
      <c r="O46" s="393"/>
      <c r="P46" s="393"/>
      <c r="Q46" s="393"/>
      <c r="R46" s="393"/>
      <c r="S46" s="393"/>
      <c r="T46" s="393"/>
      <c r="U46" s="393"/>
      <c r="V46" s="393"/>
      <c r="W46" s="393"/>
      <c r="X46" s="393"/>
      <c r="Y46" s="393"/>
      <c r="Z46" s="393"/>
      <c r="AA46" s="393"/>
      <c r="AB46" s="393"/>
      <c r="AC46" s="393"/>
      <c r="AD46" s="393"/>
      <c r="AE46" s="393"/>
      <c r="AF46" s="393"/>
      <c r="AG46" s="393"/>
      <c r="AH46" s="393"/>
      <c r="AI46" s="394"/>
    </row>
    <row r="47" spans="1:35">
      <c r="A47" s="1007" t="str">
        <f>报表格式!B46</f>
        <v>油气资产</v>
      </c>
      <c r="B47" s="392">
        <f t="shared" si="0"/>
        <v>0</v>
      </c>
      <c r="C47" s="393"/>
      <c r="D47" s="393"/>
      <c r="E47" s="393">
        <f t="shared" si="29"/>
        <v>0</v>
      </c>
      <c r="F47" s="393">
        <f t="shared" si="30"/>
        <v>0</v>
      </c>
      <c r="G47" s="393"/>
      <c r="H47" s="393"/>
      <c r="I47" s="393"/>
      <c r="J47" s="393">
        <f t="shared" si="1"/>
        <v>0</v>
      </c>
      <c r="K47" s="393"/>
      <c r="L47" s="393"/>
      <c r="M47" s="393"/>
      <c r="N47" s="393"/>
      <c r="O47" s="393"/>
      <c r="P47" s="393"/>
      <c r="Q47" s="393"/>
      <c r="R47" s="393"/>
      <c r="S47" s="393"/>
      <c r="T47" s="393"/>
      <c r="U47" s="393"/>
      <c r="V47" s="393"/>
      <c r="W47" s="393"/>
      <c r="X47" s="393"/>
      <c r="Y47" s="393"/>
      <c r="Z47" s="393"/>
      <c r="AA47" s="393"/>
      <c r="AB47" s="393"/>
      <c r="AC47" s="393"/>
      <c r="AD47" s="393"/>
      <c r="AE47" s="393"/>
      <c r="AF47" s="393"/>
      <c r="AG47" s="393"/>
      <c r="AH47" s="393"/>
      <c r="AI47" s="394"/>
    </row>
    <row r="48" spans="1:35">
      <c r="A48" s="1007" t="str">
        <f>报表格式!B47</f>
        <v>使用权资产</v>
      </c>
      <c r="B48" s="392">
        <f t="shared" si="0"/>
        <v>0</v>
      </c>
      <c r="C48" s="393"/>
      <c r="D48" s="393"/>
      <c r="E48" s="393">
        <f t="shared" si="29"/>
        <v>0</v>
      </c>
      <c r="F48" s="393">
        <f t="shared" si="30"/>
        <v>0</v>
      </c>
      <c r="G48" s="393"/>
      <c r="H48" s="393"/>
      <c r="I48" s="393"/>
      <c r="J48" s="393">
        <f t="shared" si="1"/>
        <v>0</v>
      </c>
      <c r="K48" s="393"/>
      <c r="L48" s="393"/>
      <c r="M48" s="393"/>
      <c r="N48" s="393"/>
      <c r="O48" s="393"/>
      <c r="P48" s="393"/>
      <c r="Q48" s="393"/>
      <c r="R48" s="393"/>
      <c r="S48" s="393"/>
      <c r="T48" s="393"/>
      <c r="U48" s="393"/>
      <c r="V48" s="393"/>
      <c r="W48" s="393"/>
      <c r="X48" s="393"/>
      <c r="Y48" s="393"/>
      <c r="Z48" s="393"/>
      <c r="AA48" s="393"/>
      <c r="AB48" s="393"/>
      <c r="AC48" s="393"/>
      <c r="AD48" s="393"/>
      <c r="AE48" s="393"/>
      <c r="AF48" s="393"/>
      <c r="AG48" s="393"/>
      <c r="AH48" s="393"/>
      <c r="AI48" s="394"/>
    </row>
    <row r="49" spans="1:35">
      <c r="A49" s="1007" t="str">
        <f>报表格式!B48</f>
        <v>无形资产</v>
      </c>
      <c r="B49" s="392">
        <f t="shared" si="0"/>
        <v>0</v>
      </c>
      <c r="C49" s="393"/>
      <c r="D49" s="393"/>
      <c r="E49" s="393">
        <f t="shared" si="29"/>
        <v>0</v>
      </c>
      <c r="F49" s="393">
        <f t="shared" si="30"/>
        <v>0</v>
      </c>
      <c r="G49" s="393"/>
      <c r="H49" s="393"/>
      <c r="I49" s="393"/>
      <c r="J49" s="393">
        <f t="shared" si="1"/>
        <v>0</v>
      </c>
      <c r="K49" s="393"/>
      <c r="L49" s="393"/>
      <c r="M49" s="393"/>
      <c r="N49" s="393"/>
      <c r="O49" s="393"/>
      <c r="P49" s="393"/>
      <c r="Q49" s="393"/>
      <c r="R49" s="393"/>
      <c r="S49" s="393"/>
      <c r="T49" s="393"/>
      <c r="U49" s="393"/>
      <c r="V49" s="393"/>
      <c r="W49" s="393"/>
      <c r="X49" s="393"/>
      <c r="Y49" s="393"/>
      <c r="Z49" s="393"/>
      <c r="AA49" s="393"/>
      <c r="AB49" s="393"/>
      <c r="AC49" s="393"/>
      <c r="AD49" s="393"/>
      <c r="AE49" s="393"/>
      <c r="AF49" s="393"/>
      <c r="AG49" s="393"/>
      <c r="AH49" s="393"/>
      <c r="AI49" s="394"/>
    </row>
    <row r="50" spans="1:35">
      <c r="A50" s="1007" t="str">
        <f>报表格式!B49</f>
        <v>开发支出</v>
      </c>
      <c r="B50" s="392">
        <f t="shared" si="0"/>
        <v>0</v>
      </c>
      <c r="C50" s="393"/>
      <c r="D50" s="393"/>
      <c r="E50" s="393">
        <f t="shared" si="29"/>
        <v>0</v>
      </c>
      <c r="F50" s="393">
        <f t="shared" si="30"/>
        <v>0</v>
      </c>
      <c r="G50" s="393"/>
      <c r="H50" s="393"/>
      <c r="I50" s="393"/>
      <c r="J50" s="393">
        <f t="shared" si="1"/>
        <v>0</v>
      </c>
      <c r="K50" s="393"/>
      <c r="L50" s="393"/>
      <c r="M50" s="393"/>
      <c r="N50" s="393"/>
      <c r="O50" s="393"/>
      <c r="P50" s="393"/>
      <c r="Q50" s="393"/>
      <c r="R50" s="393"/>
      <c r="S50" s="393"/>
      <c r="T50" s="393"/>
      <c r="U50" s="393"/>
      <c r="V50" s="393"/>
      <c r="W50" s="393"/>
      <c r="X50" s="393"/>
      <c r="Y50" s="393"/>
      <c r="Z50" s="393"/>
      <c r="AA50" s="393"/>
      <c r="AB50" s="393"/>
      <c r="AC50" s="393"/>
      <c r="AD50" s="393"/>
      <c r="AE50" s="393"/>
      <c r="AF50" s="393"/>
      <c r="AG50" s="393"/>
      <c r="AH50" s="393"/>
      <c r="AI50" s="394"/>
    </row>
    <row r="51" spans="1:35">
      <c r="A51" s="1007" t="str">
        <f>报表格式!B50</f>
        <v>商誉</v>
      </c>
      <c r="B51" s="392">
        <f t="shared" si="0"/>
        <v>0</v>
      </c>
      <c r="C51" s="393"/>
      <c r="D51" s="393"/>
      <c r="E51" s="393">
        <f t="shared" si="29"/>
        <v>0</v>
      </c>
      <c r="F51" s="393">
        <f t="shared" si="30"/>
        <v>0</v>
      </c>
      <c r="G51" s="393"/>
      <c r="H51" s="393"/>
      <c r="I51" s="393"/>
      <c r="J51" s="393">
        <f t="shared" si="1"/>
        <v>0</v>
      </c>
      <c r="K51" s="393"/>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4"/>
    </row>
    <row r="52" spans="1:35">
      <c r="A52" s="1007" t="str">
        <f>报表格式!B51</f>
        <v>长期待摊费用</v>
      </c>
      <c r="B52" s="392">
        <f t="shared" si="0"/>
        <v>0</v>
      </c>
      <c r="C52" s="393"/>
      <c r="D52" s="393"/>
      <c r="E52" s="393">
        <f t="shared" si="29"/>
        <v>0</v>
      </c>
      <c r="F52" s="393">
        <f t="shared" si="30"/>
        <v>0</v>
      </c>
      <c r="G52" s="393"/>
      <c r="H52" s="393"/>
      <c r="I52" s="393"/>
      <c r="J52" s="393">
        <f t="shared" si="1"/>
        <v>0</v>
      </c>
      <c r="K52" s="393"/>
      <c r="L52" s="393"/>
      <c r="M52" s="393"/>
      <c r="N52" s="393"/>
      <c r="O52" s="393"/>
      <c r="P52" s="393"/>
      <c r="Q52" s="393"/>
      <c r="R52" s="393"/>
      <c r="S52" s="393"/>
      <c r="T52" s="393"/>
      <c r="U52" s="393"/>
      <c r="V52" s="393"/>
      <c r="W52" s="393"/>
      <c r="X52" s="393"/>
      <c r="Y52" s="393"/>
      <c r="Z52" s="393"/>
      <c r="AA52" s="393"/>
      <c r="AB52" s="393"/>
      <c r="AC52" s="393"/>
      <c r="AD52" s="393"/>
      <c r="AE52" s="393"/>
      <c r="AF52" s="393"/>
      <c r="AG52" s="393"/>
      <c r="AH52" s="393"/>
      <c r="AI52" s="394"/>
    </row>
    <row r="53" spans="1:35">
      <c r="A53" s="1007" t="str">
        <f>报表格式!B52</f>
        <v>递延所得税资产</v>
      </c>
      <c r="B53" s="392">
        <f t="shared" si="0"/>
        <v>0</v>
      </c>
      <c r="C53" s="393"/>
      <c r="D53" s="393"/>
      <c r="E53" s="393">
        <f t="shared" si="29"/>
        <v>0</v>
      </c>
      <c r="F53" s="393">
        <f t="shared" si="30"/>
        <v>0</v>
      </c>
      <c r="G53" s="393"/>
      <c r="H53" s="393"/>
      <c r="I53" s="393"/>
      <c r="J53" s="393">
        <f t="shared" si="1"/>
        <v>0</v>
      </c>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4"/>
    </row>
    <row r="54" spans="1:35">
      <c r="A54" s="1007" t="str">
        <f>报表格式!B53</f>
        <v>其他非流动资产</v>
      </c>
      <c r="B54" s="392">
        <f t="shared" si="0"/>
        <v>0</v>
      </c>
      <c r="C54" s="393"/>
      <c r="D54" s="393"/>
      <c r="E54" s="393">
        <f t="shared" si="29"/>
        <v>0</v>
      </c>
      <c r="F54" s="393">
        <f t="shared" si="30"/>
        <v>0</v>
      </c>
      <c r="G54" s="393"/>
      <c r="H54" s="393"/>
      <c r="I54" s="393"/>
      <c r="J54" s="393">
        <f t="shared" si="1"/>
        <v>0</v>
      </c>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4"/>
    </row>
    <row r="55" spans="1:35">
      <c r="A55" s="1007">
        <f>报表格式!B54</f>
        <v>0</v>
      </c>
      <c r="B55" s="392">
        <f t="shared" si="0"/>
        <v>0</v>
      </c>
      <c r="C55" s="393"/>
      <c r="D55" s="393"/>
      <c r="E55" s="393">
        <f t="shared" si="29"/>
        <v>0</v>
      </c>
      <c r="F55" s="393">
        <f t="shared" si="30"/>
        <v>0</v>
      </c>
      <c r="G55" s="393"/>
      <c r="H55" s="393"/>
      <c r="I55" s="393"/>
      <c r="J55" s="393">
        <f t="shared" si="1"/>
        <v>0</v>
      </c>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4"/>
    </row>
    <row r="56" spans="1:35">
      <c r="A56" s="1007">
        <f>报表格式!B55</f>
        <v>0</v>
      </c>
      <c r="B56" s="392">
        <f>SUM(C56:E56)</f>
        <v>0</v>
      </c>
      <c r="C56" s="393"/>
      <c r="D56" s="393"/>
      <c r="E56" s="393">
        <f>SUM(F56,X56:AI56)</f>
        <v>0</v>
      </c>
      <c r="F56" s="393">
        <f>SUM(G56:J56)</f>
        <v>0</v>
      </c>
      <c r="G56" s="393"/>
      <c r="H56" s="393"/>
      <c r="I56" s="393"/>
      <c r="J56" s="393">
        <f>SUM(K56:W56)</f>
        <v>0</v>
      </c>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4"/>
    </row>
    <row r="57" spans="1:35">
      <c r="A57" s="1007">
        <f>报表格式!B56</f>
        <v>0</v>
      </c>
      <c r="B57" s="392">
        <f>SUM(C57:E57)</f>
        <v>0</v>
      </c>
      <c r="C57" s="393"/>
      <c r="D57" s="393"/>
      <c r="E57" s="393">
        <f>SUM(F57,X57:AI57)</f>
        <v>0</v>
      </c>
      <c r="F57" s="393">
        <f>SUM(G57:J57)</f>
        <v>0</v>
      </c>
      <c r="G57" s="393"/>
      <c r="H57" s="393"/>
      <c r="I57" s="393"/>
      <c r="J57" s="393">
        <f>SUM(K57:W57)</f>
        <v>0</v>
      </c>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4"/>
    </row>
    <row r="58" spans="1:35" s="389" customFormat="1">
      <c r="A58" s="1010" t="str">
        <f>报表格式!B57</f>
        <v>非流动资产合计</v>
      </c>
      <c r="B58" s="631">
        <f>SUM(C58:E58)</f>
        <v>0</v>
      </c>
      <c r="C58" s="631">
        <f t="shared" ref="C58:D58" si="35">SUM(C33:C57)</f>
        <v>0</v>
      </c>
      <c r="D58" s="631">
        <f t="shared" si="35"/>
        <v>0</v>
      </c>
      <c r="E58" s="631">
        <f>SUM(F58,X58:AI58)</f>
        <v>0</v>
      </c>
      <c r="F58" s="631">
        <f>SUM(F33:F57)</f>
        <v>0</v>
      </c>
      <c r="G58" s="631">
        <f t="shared" ref="G58:AI58" si="36">SUM(G33:G57)</f>
        <v>0</v>
      </c>
      <c r="H58" s="631">
        <f t="shared" si="36"/>
        <v>0</v>
      </c>
      <c r="I58" s="631">
        <f t="shared" si="36"/>
        <v>0</v>
      </c>
      <c r="J58" s="631">
        <f t="shared" si="36"/>
        <v>0</v>
      </c>
      <c r="K58" s="631">
        <f t="shared" si="36"/>
        <v>0</v>
      </c>
      <c r="L58" s="631">
        <f t="shared" si="36"/>
        <v>0</v>
      </c>
      <c r="M58" s="631">
        <f t="shared" si="36"/>
        <v>0</v>
      </c>
      <c r="N58" s="631">
        <f t="shared" si="36"/>
        <v>0</v>
      </c>
      <c r="O58" s="631">
        <f t="shared" si="36"/>
        <v>0</v>
      </c>
      <c r="P58" s="631">
        <f t="shared" si="36"/>
        <v>0</v>
      </c>
      <c r="Q58" s="631">
        <f t="shared" si="36"/>
        <v>0</v>
      </c>
      <c r="R58" s="631">
        <f t="shared" si="36"/>
        <v>0</v>
      </c>
      <c r="S58" s="631">
        <f t="shared" si="36"/>
        <v>0</v>
      </c>
      <c r="T58" s="631">
        <f t="shared" si="36"/>
        <v>0</v>
      </c>
      <c r="U58" s="631">
        <f t="shared" si="36"/>
        <v>0</v>
      </c>
      <c r="V58" s="631">
        <f t="shared" si="36"/>
        <v>0</v>
      </c>
      <c r="W58" s="631">
        <f t="shared" si="36"/>
        <v>0</v>
      </c>
      <c r="X58" s="631">
        <f t="shared" si="36"/>
        <v>0</v>
      </c>
      <c r="Y58" s="631">
        <f t="shared" si="36"/>
        <v>0</v>
      </c>
      <c r="Z58" s="631">
        <f t="shared" si="36"/>
        <v>0</v>
      </c>
      <c r="AA58" s="631">
        <f t="shared" si="36"/>
        <v>0</v>
      </c>
      <c r="AB58" s="631">
        <f t="shared" si="36"/>
        <v>0</v>
      </c>
      <c r="AC58" s="631">
        <f t="shared" si="36"/>
        <v>0</v>
      </c>
      <c r="AD58" s="631">
        <f t="shared" si="36"/>
        <v>0</v>
      </c>
      <c r="AE58" s="631">
        <f t="shared" si="36"/>
        <v>0</v>
      </c>
      <c r="AF58" s="631">
        <f t="shared" si="36"/>
        <v>0</v>
      </c>
      <c r="AG58" s="631">
        <f t="shared" si="36"/>
        <v>0</v>
      </c>
      <c r="AH58" s="631">
        <f t="shared" si="36"/>
        <v>0</v>
      </c>
      <c r="AI58" s="631">
        <f t="shared" si="36"/>
        <v>0</v>
      </c>
    </row>
    <row r="59" spans="1:35" s="389" customFormat="1">
      <c r="A59" s="1011" t="str">
        <f>报表格式!B58</f>
        <v>资 产 总 计</v>
      </c>
      <c r="B59" s="409">
        <f>SUM(C59:E59)</f>
        <v>0</v>
      </c>
      <c r="C59" s="409">
        <f t="shared" ref="C59:AI59" si="37">SUM(C31,C58)</f>
        <v>0</v>
      </c>
      <c r="D59" s="409">
        <f t="shared" si="37"/>
        <v>0</v>
      </c>
      <c r="E59" s="409">
        <f t="shared" si="37"/>
        <v>0</v>
      </c>
      <c r="F59" s="409">
        <f t="shared" si="37"/>
        <v>0</v>
      </c>
      <c r="G59" s="409">
        <f t="shared" si="37"/>
        <v>0</v>
      </c>
      <c r="H59" s="409">
        <f t="shared" si="37"/>
        <v>0</v>
      </c>
      <c r="I59" s="409">
        <f t="shared" si="37"/>
        <v>0</v>
      </c>
      <c r="J59" s="409">
        <f t="shared" si="37"/>
        <v>0</v>
      </c>
      <c r="K59" s="409">
        <f t="shared" si="37"/>
        <v>0</v>
      </c>
      <c r="L59" s="409">
        <f t="shared" si="37"/>
        <v>0</v>
      </c>
      <c r="M59" s="409">
        <f t="shared" si="37"/>
        <v>0</v>
      </c>
      <c r="N59" s="409">
        <f t="shared" si="37"/>
        <v>0</v>
      </c>
      <c r="O59" s="409">
        <f t="shared" si="37"/>
        <v>0</v>
      </c>
      <c r="P59" s="409">
        <f t="shared" si="37"/>
        <v>0</v>
      </c>
      <c r="Q59" s="409">
        <f t="shared" si="37"/>
        <v>0</v>
      </c>
      <c r="R59" s="409">
        <f t="shared" si="37"/>
        <v>0</v>
      </c>
      <c r="S59" s="409">
        <f t="shared" si="37"/>
        <v>0</v>
      </c>
      <c r="T59" s="409">
        <f t="shared" si="37"/>
        <v>0</v>
      </c>
      <c r="U59" s="409">
        <f t="shared" si="37"/>
        <v>0</v>
      </c>
      <c r="V59" s="409">
        <f t="shared" si="37"/>
        <v>0</v>
      </c>
      <c r="W59" s="409">
        <f t="shared" si="37"/>
        <v>0</v>
      </c>
      <c r="X59" s="409">
        <f t="shared" si="37"/>
        <v>0</v>
      </c>
      <c r="Y59" s="409">
        <f t="shared" si="37"/>
        <v>0</v>
      </c>
      <c r="Z59" s="409">
        <f t="shared" si="37"/>
        <v>0</v>
      </c>
      <c r="AA59" s="409">
        <f t="shared" si="37"/>
        <v>0</v>
      </c>
      <c r="AB59" s="409">
        <f t="shared" si="37"/>
        <v>0</v>
      </c>
      <c r="AC59" s="409">
        <f t="shared" si="37"/>
        <v>0</v>
      </c>
      <c r="AD59" s="409">
        <f t="shared" si="37"/>
        <v>0</v>
      </c>
      <c r="AE59" s="409">
        <f t="shared" si="37"/>
        <v>0</v>
      </c>
      <c r="AF59" s="409">
        <f t="shared" si="37"/>
        <v>0</v>
      </c>
      <c r="AG59" s="409">
        <f t="shared" si="37"/>
        <v>0</v>
      </c>
      <c r="AH59" s="409">
        <f t="shared" si="37"/>
        <v>0</v>
      </c>
      <c r="AI59" s="411">
        <f t="shared" si="37"/>
        <v>0</v>
      </c>
    </row>
    <row r="60" spans="1:35">
      <c r="A60" s="1012"/>
      <c r="B60" s="387"/>
      <c r="J60" s="383">
        <f t="shared" si="1"/>
        <v>0</v>
      </c>
    </row>
    <row r="61" spans="1:35">
      <c r="A61" s="1006" t="str">
        <f>报表格式!G5</f>
        <v>流动负债：</v>
      </c>
      <c r="B61" s="413"/>
      <c r="C61" s="414"/>
      <c r="D61" s="414"/>
      <c r="E61" s="414"/>
      <c r="F61" s="414"/>
      <c r="G61" s="414"/>
      <c r="H61" s="414"/>
      <c r="I61" s="414"/>
      <c r="J61" s="414"/>
      <c r="K61" s="414"/>
      <c r="L61" s="414"/>
      <c r="M61" s="414"/>
      <c r="N61" s="414"/>
      <c r="O61" s="414"/>
      <c r="P61" s="414"/>
      <c r="Q61" s="414"/>
      <c r="R61" s="414"/>
      <c r="S61" s="414"/>
      <c r="T61" s="414"/>
      <c r="U61" s="414"/>
      <c r="V61" s="414"/>
      <c r="W61" s="414"/>
      <c r="X61" s="414"/>
      <c r="Y61" s="414"/>
      <c r="Z61" s="414"/>
      <c r="AA61" s="414"/>
      <c r="AB61" s="414"/>
      <c r="AC61" s="414"/>
      <c r="AD61" s="414"/>
      <c r="AE61" s="414"/>
      <c r="AF61" s="414"/>
      <c r="AG61" s="414"/>
      <c r="AH61" s="414"/>
      <c r="AI61" s="415"/>
    </row>
    <row r="62" spans="1:35">
      <c r="A62" s="1007" t="str">
        <f>报表格式!G6</f>
        <v>短期借款</v>
      </c>
      <c r="B62" s="392">
        <f t="shared" si="0"/>
        <v>0</v>
      </c>
      <c r="C62" s="393"/>
      <c r="D62" s="393"/>
      <c r="E62" s="393">
        <f>SUM(F62,X62:AI62)</f>
        <v>0</v>
      </c>
      <c r="F62" s="393">
        <f>SUM(G62:J62)</f>
        <v>0</v>
      </c>
      <c r="G62" s="393"/>
      <c r="H62" s="393"/>
      <c r="I62" s="393"/>
      <c r="J62" s="393">
        <f t="shared" si="1"/>
        <v>0</v>
      </c>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4"/>
    </row>
    <row r="63" spans="1:35">
      <c r="A63" s="1007" t="str">
        <f>报表格式!G7</f>
        <v>向中央银行借款</v>
      </c>
      <c r="B63" s="392">
        <f t="shared" ref="B63:B65" si="38">SUM(C63:E63)</f>
        <v>0</v>
      </c>
      <c r="C63" s="393"/>
      <c r="D63" s="393"/>
      <c r="E63" s="393">
        <f t="shared" ref="E63:E65" si="39">SUM(F63,X63:AI63)</f>
        <v>0</v>
      </c>
      <c r="F63" s="393">
        <f t="shared" ref="F63:F65" si="40">SUM(G63:J63)</f>
        <v>0</v>
      </c>
      <c r="G63" s="393"/>
      <c r="H63" s="393"/>
      <c r="I63" s="393"/>
      <c r="J63" s="393">
        <f t="shared" ref="J63:J65" si="41">SUM(K63:W63)</f>
        <v>0</v>
      </c>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4"/>
    </row>
    <row r="64" spans="1:35">
      <c r="A64" s="1007" t="str">
        <f>报表格式!G8</f>
        <v>吸收存款及同业存放</v>
      </c>
      <c r="B64" s="392">
        <f t="shared" si="38"/>
        <v>0</v>
      </c>
      <c r="C64" s="393"/>
      <c r="D64" s="393"/>
      <c r="E64" s="393">
        <f t="shared" si="39"/>
        <v>0</v>
      </c>
      <c r="F64" s="393">
        <f t="shared" si="40"/>
        <v>0</v>
      </c>
      <c r="G64" s="393"/>
      <c r="H64" s="393"/>
      <c r="I64" s="393"/>
      <c r="J64" s="393">
        <f t="shared" si="41"/>
        <v>0</v>
      </c>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4"/>
    </row>
    <row r="65" spans="1:35">
      <c r="A65" s="1007" t="str">
        <f>报表格式!G9</f>
        <v>拆入资金</v>
      </c>
      <c r="B65" s="392">
        <f t="shared" si="38"/>
        <v>0</v>
      </c>
      <c r="C65" s="393"/>
      <c r="D65" s="393"/>
      <c r="E65" s="393">
        <f t="shared" si="39"/>
        <v>0</v>
      </c>
      <c r="F65" s="393">
        <f t="shared" si="40"/>
        <v>0</v>
      </c>
      <c r="G65" s="393"/>
      <c r="H65" s="393"/>
      <c r="I65" s="393"/>
      <c r="J65" s="393">
        <f t="shared" si="41"/>
        <v>0</v>
      </c>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4"/>
    </row>
    <row r="66" spans="1:35">
      <c r="A66" s="1007" t="str">
        <f>报表格式!G10</f>
        <v>交易性金融负债</v>
      </c>
      <c r="B66" s="392">
        <f t="shared" si="0"/>
        <v>0</v>
      </c>
      <c r="C66" s="393"/>
      <c r="D66" s="393"/>
      <c r="E66" s="393">
        <f t="shared" ref="E66:E115" si="42">SUM(F66,X66:AI66)</f>
        <v>0</v>
      </c>
      <c r="F66" s="393">
        <f t="shared" ref="F66:F115" si="43">SUM(G66:J66)</f>
        <v>0</v>
      </c>
      <c r="G66" s="393"/>
      <c r="H66" s="393"/>
      <c r="I66" s="393"/>
      <c r="J66" s="393">
        <f t="shared" si="1"/>
        <v>0</v>
      </c>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4"/>
    </row>
    <row r="67" spans="1:35">
      <c r="A67" s="1007" t="str">
        <f>报表格式!G11</f>
        <v>以公允价值计量且其变动计入当期损益的金融负债</v>
      </c>
      <c r="B67" s="392">
        <f t="shared" ref="B67:B69" si="44">SUM(C67:E67)</f>
        <v>0</v>
      </c>
      <c r="C67" s="393"/>
      <c r="D67" s="393"/>
      <c r="E67" s="393">
        <f t="shared" ref="E67:E69" si="45">SUM(F67,X67:AI67)</f>
        <v>0</v>
      </c>
      <c r="F67" s="393">
        <f t="shared" ref="F67:F69" si="46">SUM(G67:J67)</f>
        <v>0</v>
      </c>
      <c r="G67" s="393"/>
      <c r="H67" s="393"/>
      <c r="I67" s="393"/>
      <c r="J67" s="393">
        <f t="shared" ref="J67:J69" si="47">SUM(K67:W67)</f>
        <v>0</v>
      </c>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4"/>
    </row>
    <row r="68" spans="1:35">
      <c r="A68" s="1007" t="str">
        <f>报表格式!G12</f>
        <v>衍生金融负债</v>
      </c>
      <c r="B68" s="392">
        <f t="shared" si="44"/>
        <v>0</v>
      </c>
      <c r="C68" s="393"/>
      <c r="D68" s="393"/>
      <c r="E68" s="393">
        <f t="shared" si="45"/>
        <v>0</v>
      </c>
      <c r="F68" s="393">
        <f t="shared" si="46"/>
        <v>0</v>
      </c>
      <c r="G68" s="393"/>
      <c r="H68" s="393"/>
      <c r="I68" s="393"/>
      <c r="J68" s="393">
        <f t="shared" si="47"/>
        <v>0</v>
      </c>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4"/>
    </row>
    <row r="69" spans="1:35">
      <c r="A69" s="1007" t="str">
        <f>报表格式!G13</f>
        <v>应付票据</v>
      </c>
      <c r="B69" s="392">
        <f t="shared" si="44"/>
        <v>0</v>
      </c>
      <c r="C69" s="393"/>
      <c r="D69" s="393"/>
      <c r="E69" s="393">
        <f t="shared" si="45"/>
        <v>0</v>
      </c>
      <c r="F69" s="393">
        <f t="shared" si="46"/>
        <v>0</v>
      </c>
      <c r="G69" s="393"/>
      <c r="H69" s="393"/>
      <c r="I69" s="393"/>
      <c r="J69" s="393">
        <f t="shared" si="47"/>
        <v>0</v>
      </c>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4"/>
    </row>
    <row r="70" spans="1:35">
      <c r="A70" s="1007" t="str">
        <f>报表格式!G14</f>
        <v>应付账款</v>
      </c>
      <c r="B70" s="392">
        <f t="shared" si="0"/>
        <v>0</v>
      </c>
      <c r="C70" s="393"/>
      <c r="D70" s="393"/>
      <c r="E70" s="393">
        <f t="shared" si="42"/>
        <v>0</v>
      </c>
      <c r="F70" s="393">
        <f t="shared" si="43"/>
        <v>0</v>
      </c>
      <c r="G70" s="393"/>
      <c r="H70" s="393"/>
      <c r="I70" s="393"/>
      <c r="J70" s="393">
        <f t="shared" si="1"/>
        <v>0</v>
      </c>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4"/>
    </row>
    <row r="71" spans="1:35">
      <c r="A71" s="1007" t="str">
        <f>报表格式!G15</f>
        <v>预收款项</v>
      </c>
      <c r="B71" s="392">
        <f t="shared" si="0"/>
        <v>0</v>
      </c>
      <c r="C71" s="393"/>
      <c r="D71" s="393"/>
      <c r="E71" s="393">
        <f t="shared" si="42"/>
        <v>0</v>
      </c>
      <c r="F71" s="393">
        <f t="shared" si="43"/>
        <v>0</v>
      </c>
      <c r="G71" s="393"/>
      <c r="H71" s="393"/>
      <c r="I71" s="393"/>
      <c r="J71" s="393">
        <f t="shared" si="1"/>
        <v>0</v>
      </c>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4"/>
    </row>
    <row r="72" spans="1:35">
      <c r="A72" s="1007" t="str">
        <f>报表格式!G16</f>
        <v>卖出回购金融资产款</v>
      </c>
      <c r="B72" s="392">
        <f t="shared" ref="B72:B73" si="48">SUM(C72:E72)</f>
        <v>0</v>
      </c>
      <c r="C72" s="393"/>
      <c r="D72" s="393"/>
      <c r="E72" s="393">
        <f t="shared" ref="E72:E73" si="49">SUM(F72,X72:AI72)</f>
        <v>0</v>
      </c>
      <c r="F72" s="393">
        <f t="shared" ref="F72:F73" si="50">SUM(G72:J72)</f>
        <v>0</v>
      </c>
      <c r="G72" s="393"/>
      <c r="H72" s="393"/>
      <c r="I72" s="393"/>
      <c r="J72" s="393">
        <f t="shared" ref="J72:J73" si="51">SUM(K72:W72)</f>
        <v>0</v>
      </c>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4"/>
    </row>
    <row r="73" spans="1:35">
      <c r="A73" s="1007" t="str">
        <f>报表格式!G17</f>
        <v>应付手续费及佣金</v>
      </c>
      <c r="B73" s="392">
        <f t="shared" si="48"/>
        <v>0</v>
      </c>
      <c r="C73" s="393"/>
      <c r="D73" s="393"/>
      <c r="E73" s="393">
        <f t="shared" si="49"/>
        <v>0</v>
      </c>
      <c r="F73" s="393">
        <f t="shared" si="50"/>
        <v>0</v>
      </c>
      <c r="G73" s="393"/>
      <c r="H73" s="393"/>
      <c r="I73" s="393"/>
      <c r="J73" s="393">
        <f t="shared" si="51"/>
        <v>0</v>
      </c>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4"/>
    </row>
    <row r="74" spans="1:35">
      <c r="A74" s="1007" t="str">
        <f>报表格式!G18</f>
        <v>合同负债</v>
      </c>
      <c r="B74" s="392">
        <f t="shared" si="0"/>
        <v>0</v>
      </c>
      <c r="C74" s="393"/>
      <c r="D74" s="393"/>
      <c r="E74" s="393">
        <f t="shared" si="42"/>
        <v>0</v>
      </c>
      <c r="F74" s="393">
        <f t="shared" si="43"/>
        <v>0</v>
      </c>
      <c r="G74" s="393"/>
      <c r="H74" s="393"/>
      <c r="I74" s="393"/>
      <c r="J74" s="393">
        <f t="shared" si="1"/>
        <v>0</v>
      </c>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4"/>
    </row>
    <row r="75" spans="1:35">
      <c r="A75" s="1007" t="str">
        <f>报表格式!G19</f>
        <v>应付职工薪酬</v>
      </c>
      <c r="B75" s="392">
        <f t="shared" si="0"/>
        <v>0</v>
      </c>
      <c r="C75" s="393"/>
      <c r="D75" s="393"/>
      <c r="E75" s="393">
        <f t="shared" si="42"/>
        <v>0</v>
      </c>
      <c r="F75" s="393">
        <f t="shared" si="43"/>
        <v>0</v>
      </c>
      <c r="G75" s="393"/>
      <c r="H75" s="393"/>
      <c r="I75" s="393"/>
      <c r="J75" s="393">
        <f t="shared" si="1"/>
        <v>0</v>
      </c>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4"/>
    </row>
    <row r="76" spans="1:35">
      <c r="A76" s="1007" t="str">
        <f>报表格式!G20</f>
        <v>应交税费</v>
      </c>
      <c r="B76" s="392">
        <f t="shared" si="0"/>
        <v>0</v>
      </c>
      <c r="C76" s="393"/>
      <c r="D76" s="393"/>
      <c r="E76" s="393">
        <f t="shared" si="42"/>
        <v>0</v>
      </c>
      <c r="F76" s="393">
        <f t="shared" si="43"/>
        <v>0</v>
      </c>
      <c r="G76" s="393"/>
      <c r="H76" s="393"/>
      <c r="I76" s="393"/>
      <c r="J76" s="393">
        <f t="shared" si="1"/>
        <v>0</v>
      </c>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4"/>
    </row>
    <row r="77" spans="1:35">
      <c r="A77" s="1007" t="str">
        <f>报表格式!G21</f>
        <v>其他应付款</v>
      </c>
      <c r="B77" s="392">
        <f>SUM(C77:E77)</f>
        <v>0</v>
      </c>
      <c r="C77" s="393"/>
      <c r="D77" s="393"/>
      <c r="E77" s="393">
        <f>SUM(F77,X77:AI77)</f>
        <v>0</v>
      </c>
      <c r="F77" s="393">
        <f>SUM(G77:J77)</f>
        <v>0</v>
      </c>
      <c r="G77" s="393"/>
      <c r="H77" s="393"/>
      <c r="I77" s="393"/>
      <c r="J77" s="393">
        <f>SUM(K77:W77)</f>
        <v>0</v>
      </c>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4"/>
    </row>
    <row r="78" spans="1:35">
      <c r="A78" s="1007" t="str">
        <f>报表格式!G22</f>
        <v xml:space="preserve">  其中：应付利息</v>
      </c>
      <c r="B78" s="392">
        <f t="shared" ref="B78:B79" si="52">SUM(C78:E78)</f>
        <v>0</v>
      </c>
      <c r="C78" s="393"/>
      <c r="D78" s="393"/>
      <c r="E78" s="393">
        <f t="shared" ref="E78:E83" si="53">SUM(F78,X78:AI78)</f>
        <v>0</v>
      </c>
      <c r="F78" s="393">
        <f t="shared" ref="F78:F83" si="54">SUM(G78:J78)</f>
        <v>0</v>
      </c>
      <c r="G78" s="393"/>
      <c r="H78" s="393"/>
      <c r="I78" s="393"/>
      <c r="J78" s="393">
        <f t="shared" ref="J78:J83" si="55">SUM(K78:W78)</f>
        <v>0</v>
      </c>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4"/>
    </row>
    <row r="79" spans="1:35">
      <c r="A79" s="1007" t="str">
        <f>报表格式!G23</f>
        <v xml:space="preserve">        应付股利</v>
      </c>
      <c r="B79" s="392">
        <f t="shared" si="52"/>
        <v>0</v>
      </c>
      <c r="C79" s="393"/>
      <c r="D79" s="393"/>
      <c r="E79" s="393">
        <f t="shared" si="53"/>
        <v>0</v>
      </c>
      <c r="F79" s="393">
        <f t="shared" si="54"/>
        <v>0</v>
      </c>
      <c r="G79" s="393"/>
      <c r="H79" s="393"/>
      <c r="I79" s="393"/>
      <c r="J79" s="393">
        <f t="shared" si="55"/>
        <v>0</v>
      </c>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4"/>
    </row>
    <row r="80" spans="1:35">
      <c r="A80" s="1007" t="str">
        <f>报表格式!G24</f>
        <v>应付分保账款</v>
      </c>
      <c r="B80" s="392">
        <f t="shared" ref="B80:B83" si="56">SUM(C80:E80)</f>
        <v>0</v>
      </c>
      <c r="C80" s="393"/>
      <c r="D80" s="393"/>
      <c r="E80" s="393">
        <f t="shared" si="53"/>
        <v>0</v>
      </c>
      <c r="F80" s="393">
        <f t="shared" si="54"/>
        <v>0</v>
      </c>
      <c r="G80" s="393"/>
      <c r="H80" s="393"/>
      <c r="I80" s="393"/>
      <c r="J80" s="393">
        <f t="shared" si="55"/>
        <v>0</v>
      </c>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4"/>
    </row>
    <row r="81" spans="1:35">
      <c r="A81" s="1007" t="str">
        <f>报表格式!G25</f>
        <v>保险合同准备金</v>
      </c>
      <c r="B81" s="392">
        <f t="shared" si="56"/>
        <v>0</v>
      </c>
      <c r="C81" s="393"/>
      <c r="D81" s="393"/>
      <c r="E81" s="393">
        <f t="shared" si="53"/>
        <v>0</v>
      </c>
      <c r="F81" s="393">
        <f t="shared" si="54"/>
        <v>0</v>
      </c>
      <c r="G81" s="393"/>
      <c r="H81" s="393"/>
      <c r="I81" s="393"/>
      <c r="J81" s="393">
        <f t="shared" si="55"/>
        <v>0</v>
      </c>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4"/>
    </row>
    <row r="82" spans="1:35">
      <c r="A82" s="1007" t="str">
        <f>报表格式!G26</f>
        <v>代理买卖证券款</v>
      </c>
      <c r="B82" s="392">
        <f t="shared" si="56"/>
        <v>0</v>
      </c>
      <c r="C82" s="393"/>
      <c r="D82" s="393"/>
      <c r="E82" s="393">
        <f t="shared" si="53"/>
        <v>0</v>
      </c>
      <c r="F82" s="393">
        <f t="shared" si="54"/>
        <v>0</v>
      </c>
      <c r="G82" s="393"/>
      <c r="H82" s="393"/>
      <c r="I82" s="393"/>
      <c r="J82" s="393">
        <f t="shared" si="55"/>
        <v>0</v>
      </c>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4"/>
    </row>
    <row r="83" spans="1:35">
      <c r="A83" s="1007" t="str">
        <f>报表格式!G27</f>
        <v>代理承销证券款</v>
      </c>
      <c r="B83" s="392">
        <f t="shared" si="56"/>
        <v>0</v>
      </c>
      <c r="C83" s="393"/>
      <c r="D83" s="393"/>
      <c r="E83" s="393">
        <f t="shared" si="53"/>
        <v>0</v>
      </c>
      <c r="F83" s="393">
        <f t="shared" si="54"/>
        <v>0</v>
      </c>
      <c r="G83" s="393"/>
      <c r="H83" s="393"/>
      <c r="I83" s="393"/>
      <c r="J83" s="393">
        <f t="shared" si="55"/>
        <v>0</v>
      </c>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4"/>
    </row>
    <row r="84" spans="1:35">
      <c r="A84" s="1007" t="str">
        <f>报表格式!G28</f>
        <v>持有待售负债</v>
      </c>
      <c r="B84" s="392">
        <f t="shared" si="0"/>
        <v>0</v>
      </c>
      <c r="C84" s="393"/>
      <c r="D84" s="393"/>
      <c r="E84" s="393">
        <f t="shared" si="42"/>
        <v>0</v>
      </c>
      <c r="F84" s="393">
        <f t="shared" si="43"/>
        <v>0</v>
      </c>
      <c r="G84" s="393"/>
      <c r="H84" s="393"/>
      <c r="I84" s="393"/>
      <c r="J84" s="393">
        <f t="shared" si="1"/>
        <v>0</v>
      </c>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4"/>
    </row>
    <row r="85" spans="1:35">
      <c r="A85" s="1007" t="str">
        <f>报表格式!G29</f>
        <v>一年内到期的非流动负债</v>
      </c>
      <c r="B85" s="392">
        <f t="shared" si="0"/>
        <v>0</v>
      </c>
      <c r="C85" s="393"/>
      <c r="D85" s="393"/>
      <c r="E85" s="393">
        <f t="shared" si="42"/>
        <v>0</v>
      </c>
      <c r="F85" s="393">
        <f t="shared" si="43"/>
        <v>0</v>
      </c>
      <c r="G85" s="393"/>
      <c r="H85" s="393"/>
      <c r="I85" s="393"/>
      <c r="J85" s="393">
        <f t="shared" si="1"/>
        <v>0</v>
      </c>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4"/>
    </row>
    <row r="86" spans="1:35">
      <c r="A86" s="1007" t="str">
        <f>报表格式!G30</f>
        <v>其他流动负债</v>
      </c>
      <c r="B86" s="392">
        <f>SUM(C86:E86)</f>
        <v>0</v>
      </c>
      <c r="C86" s="393"/>
      <c r="D86" s="393"/>
      <c r="E86" s="393">
        <f>SUM(F86,X86:AI86)</f>
        <v>0</v>
      </c>
      <c r="F86" s="393">
        <f>SUM(G86:J86)</f>
        <v>0</v>
      </c>
      <c r="G86" s="393"/>
      <c r="H86" s="393"/>
      <c r="I86" s="393"/>
      <c r="J86" s="393">
        <f>SUM(K86:W86)</f>
        <v>0</v>
      </c>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4"/>
    </row>
    <row r="87" spans="1:35" s="389" customFormat="1">
      <c r="A87" s="1008" t="str">
        <f>报表格式!G31</f>
        <v>流动负债合计</v>
      </c>
      <c r="B87" s="398">
        <f>SUM(C87:E87)</f>
        <v>0</v>
      </c>
      <c r="C87" s="398">
        <f t="shared" ref="C87" si="57">SUM(C62:C86)-C78-C79</f>
        <v>0</v>
      </c>
      <c r="D87" s="398">
        <f t="shared" ref="D87" si="58">SUM(D62:D86)-D78-D79</f>
        <v>0</v>
      </c>
      <c r="E87" s="398">
        <f t="shared" ref="E87" si="59">SUM(E62:E86)-E78-E79</f>
        <v>0</v>
      </c>
      <c r="F87" s="398">
        <f t="shared" ref="F87" si="60">SUM(F62:F86)-F78-F79</f>
        <v>0</v>
      </c>
      <c r="G87" s="398">
        <f t="shared" ref="G87:J87" si="61">SUM(G62:G86)-G78-G79</f>
        <v>0</v>
      </c>
      <c r="H87" s="398">
        <f t="shared" si="61"/>
        <v>0</v>
      </c>
      <c r="I87" s="398">
        <f t="shared" si="61"/>
        <v>0</v>
      </c>
      <c r="J87" s="398">
        <f t="shared" si="61"/>
        <v>0</v>
      </c>
      <c r="K87" s="398">
        <f>SUM(K62:K86)-K78-K79</f>
        <v>0</v>
      </c>
      <c r="L87" s="398">
        <f>SUM(L62:L86)-L78-L79</f>
        <v>0</v>
      </c>
      <c r="M87" s="398">
        <f t="shared" ref="M87:AI87" si="62">SUM(M62:M86)-M78-M79</f>
        <v>0</v>
      </c>
      <c r="N87" s="398">
        <f t="shared" si="62"/>
        <v>0</v>
      </c>
      <c r="O87" s="398">
        <f t="shared" si="62"/>
        <v>0</v>
      </c>
      <c r="P87" s="398">
        <f t="shared" si="62"/>
        <v>0</v>
      </c>
      <c r="Q87" s="398">
        <f t="shared" si="62"/>
        <v>0</v>
      </c>
      <c r="R87" s="398">
        <f t="shared" si="62"/>
        <v>0</v>
      </c>
      <c r="S87" s="398">
        <f t="shared" si="62"/>
        <v>0</v>
      </c>
      <c r="T87" s="398">
        <f t="shared" si="62"/>
        <v>0</v>
      </c>
      <c r="U87" s="398">
        <f t="shared" si="62"/>
        <v>0</v>
      </c>
      <c r="V87" s="398">
        <f t="shared" si="62"/>
        <v>0</v>
      </c>
      <c r="W87" s="398">
        <f t="shared" si="62"/>
        <v>0</v>
      </c>
      <c r="X87" s="398">
        <f t="shared" si="62"/>
        <v>0</v>
      </c>
      <c r="Y87" s="398">
        <f t="shared" si="62"/>
        <v>0</v>
      </c>
      <c r="Z87" s="398">
        <f t="shared" si="62"/>
        <v>0</v>
      </c>
      <c r="AA87" s="398">
        <f t="shared" si="62"/>
        <v>0</v>
      </c>
      <c r="AB87" s="398">
        <f t="shared" si="62"/>
        <v>0</v>
      </c>
      <c r="AC87" s="398">
        <f t="shared" si="62"/>
        <v>0</v>
      </c>
      <c r="AD87" s="398">
        <f t="shared" si="62"/>
        <v>0</v>
      </c>
      <c r="AE87" s="398">
        <f t="shared" si="62"/>
        <v>0</v>
      </c>
      <c r="AF87" s="398">
        <f t="shared" si="62"/>
        <v>0</v>
      </c>
      <c r="AG87" s="398">
        <f t="shared" si="62"/>
        <v>0</v>
      </c>
      <c r="AH87" s="398">
        <f t="shared" si="62"/>
        <v>0</v>
      </c>
      <c r="AI87" s="398">
        <f t="shared" si="62"/>
        <v>0</v>
      </c>
    </row>
    <row r="88" spans="1:35">
      <c r="A88" s="1009" t="str">
        <f>报表格式!G32</f>
        <v>非流动负债:</v>
      </c>
      <c r="B88" s="392"/>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4"/>
    </row>
    <row r="89" spans="1:35">
      <c r="A89" s="1007" t="str">
        <f>报表格式!G33</f>
        <v>长期借款</v>
      </c>
      <c r="B89" s="392">
        <f t="shared" si="0"/>
        <v>0</v>
      </c>
      <c r="C89" s="393"/>
      <c r="D89" s="393"/>
      <c r="E89" s="393">
        <f t="shared" si="42"/>
        <v>0</v>
      </c>
      <c r="F89" s="393">
        <f t="shared" si="43"/>
        <v>0</v>
      </c>
      <c r="G89" s="393"/>
      <c r="H89" s="393"/>
      <c r="I89" s="393"/>
      <c r="J89" s="393">
        <f t="shared" si="1"/>
        <v>0</v>
      </c>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4"/>
    </row>
    <row r="90" spans="1:35">
      <c r="A90" s="1007" t="str">
        <f>报表格式!G34</f>
        <v>应付债券</v>
      </c>
      <c r="B90" s="392">
        <f t="shared" si="0"/>
        <v>0</v>
      </c>
      <c r="C90" s="393"/>
      <c r="D90" s="393"/>
      <c r="E90" s="393">
        <f t="shared" si="42"/>
        <v>0</v>
      </c>
      <c r="F90" s="393">
        <f t="shared" si="43"/>
        <v>0</v>
      </c>
      <c r="G90" s="393"/>
      <c r="H90" s="393"/>
      <c r="I90" s="393"/>
      <c r="J90" s="393">
        <f t="shared" si="1"/>
        <v>0</v>
      </c>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4"/>
    </row>
    <row r="91" spans="1:35">
      <c r="A91" s="1007" t="str">
        <f>报表格式!G35</f>
        <v xml:space="preserve">  其中：优先股</v>
      </c>
      <c r="B91" s="392">
        <f>SUM(C91:E91)</f>
        <v>0</v>
      </c>
      <c r="C91" s="393"/>
      <c r="D91" s="393"/>
      <c r="E91" s="393">
        <f>SUM(F91,X91:AI91)</f>
        <v>0</v>
      </c>
      <c r="F91" s="393">
        <f>SUM(G91:J91)</f>
        <v>0</v>
      </c>
      <c r="G91" s="393"/>
      <c r="H91" s="393"/>
      <c r="I91" s="393"/>
      <c r="J91" s="393">
        <f>SUM(K91:W91)</f>
        <v>0</v>
      </c>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4"/>
    </row>
    <row r="92" spans="1:35">
      <c r="A92" s="1013" t="str">
        <f>报表格式!G36</f>
        <v xml:space="preserve">        永续债</v>
      </c>
      <c r="B92" s="392">
        <f>SUM(C92:E92)</f>
        <v>0</v>
      </c>
      <c r="C92" s="393"/>
      <c r="D92" s="393"/>
      <c r="E92" s="393">
        <f>SUM(F92,X92:AI92)</f>
        <v>0</v>
      </c>
      <c r="F92" s="393">
        <f>SUM(G92:J92)</f>
        <v>0</v>
      </c>
      <c r="G92" s="393"/>
      <c r="H92" s="393"/>
      <c r="I92" s="393"/>
      <c r="J92" s="393">
        <f>SUM(K92:W92)</f>
        <v>0</v>
      </c>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4"/>
    </row>
    <row r="93" spans="1:35">
      <c r="A93" s="1007" t="str">
        <f>报表格式!G37</f>
        <v>租赁负债</v>
      </c>
      <c r="B93" s="392">
        <f t="shared" ref="B93" si="63">SUM(C93:E93)</f>
        <v>0</v>
      </c>
      <c r="C93" s="393"/>
      <c r="D93" s="393"/>
      <c r="E93" s="393">
        <f t="shared" ref="E93" si="64">SUM(F93,X93:AI93)</f>
        <v>0</v>
      </c>
      <c r="F93" s="393">
        <f t="shared" ref="F93" si="65">SUM(G93:J93)</f>
        <v>0</v>
      </c>
      <c r="G93" s="393"/>
      <c r="H93" s="393"/>
      <c r="I93" s="393"/>
      <c r="J93" s="393">
        <f t="shared" ref="J93" si="66">SUM(K93:W93)</f>
        <v>0</v>
      </c>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4"/>
    </row>
    <row r="94" spans="1:35">
      <c r="A94" s="1007" t="str">
        <f>报表格式!G38</f>
        <v>长期应付款</v>
      </c>
      <c r="B94" s="392">
        <f t="shared" si="0"/>
        <v>0</v>
      </c>
      <c r="C94" s="393"/>
      <c r="D94" s="393"/>
      <c r="E94" s="393">
        <f t="shared" si="42"/>
        <v>0</v>
      </c>
      <c r="F94" s="393">
        <f t="shared" si="43"/>
        <v>0</v>
      </c>
      <c r="G94" s="393"/>
      <c r="H94" s="393"/>
      <c r="I94" s="393"/>
      <c r="J94" s="393">
        <f t="shared" si="1"/>
        <v>0</v>
      </c>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4"/>
    </row>
    <row r="95" spans="1:35">
      <c r="A95" s="1007" t="str">
        <f>报表格式!G39</f>
        <v>长期应付职工薪酬</v>
      </c>
      <c r="B95" s="392">
        <f>SUM(C95:E95)</f>
        <v>0</v>
      </c>
      <c r="C95" s="393"/>
      <c r="D95" s="393"/>
      <c r="E95" s="393">
        <f>SUM(F95,X95:AI95)</f>
        <v>0</v>
      </c>
      <c r="F95" s="393">
        <f>SUM(G95:J95)</f>
        <v>0</v>
      </c>
      <c r="G95" s="393"/>
      <c r="H95" s="393"/>
      <c r="I95" s="393"/>
      <c r="J95" s="393">
        <f>SUM(K95:W95)</f>
        <v>0</v>
      </c>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4"/>
    </row>
    <row r="96" spans="1:35">
      <c r="A96" s="1007" t="str">
        <f>报表格式!G40</f>
        <v>预计负债</v>
      </c>
      <c r="B96" s="392">
        <f t="shared" si="0"/>
        <v>0</v>
      </c>
      <c r="C96" s="393"/>
      <c r="D96" s="393"/>
      <c r="E96" s="393">
        <f t="shared" si="42"/>
        <v>0</v>
      </c>
      <c r="F96" s="393">
        <f t="shared" si="43"/>
        <v>0</v>
      </c>
      <c r="G96" s="393"/>
      <c r="H96" s="393"/>
      <c r="I96" s="393"/>
      <c r="J96" s="393">
        <f t="shared" si="1"/>
        <v>0</v>
      </c>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4"/>
    </row>
    <row r="97" spans="1:35">
      <c r="A97" s="1007" t="str">
        <f>报表格式!G41</f>
        <v>递延收益</v>
      </c>
      <c r="B97" s="392">
        <f>SUM(C97:E97)</f>
        <v>0</v>
      </c>
      <c r="C97" s="393"/>
      <c r="D97" s="393"/>
      <c r="E97" s="393">
        <f>SUM(F97,X97:AI97)</f>
        <v>0</v>
      </c>
      <c r="F97" s="393">
        <f>SUM(G97:J97)</f>
        <v>0</v>
      </c>
      <c r="G97" s="393"/>
      <c r="H97" s="393"/>
      <c r="I97" s="393"/>
      <c r="J97" s="393">
        <f>SUM(K97:W97)</f>
        <v>0</v>
      </c>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4"/>
    </row>
    <row r="98" spans="1:35">
      <c r="A98" s="1007" t="str">
        <f>报表格式!G42</f>
        <v>递延所得税负债</v>
      </c>
      <c r="B98" s="392">
        <f t="shared" si="0"/>
        <v>0</v>
      </c>
      <c r="C98" s="393"/>
      <c r="D98" s="393"/>
      <c r="E98" s="393">
        <f t="shared" si="42"/>
        <v>0</v>
      </c>
      <c r="F98" s="393">
        <f t="shared" si="43"/>
        <v>0</v>
      </c>
      <c r="G98" s="393"/>
      <c r="H98" s="393"/>
      <c r="I98" s="393"/>
      <c r="J98" s="393">
        <f t="shared" si="1"/>
        <v>0</v>
      </c>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4"/>
    </row>
    <row r="99" spans="1:35">
      <c r="A99" s="1007" t="str">
        <f>报表格式!G43</f>
        <v>其他非流动负债</v>
      </c>
      <c r="B99" s="392">
        <f t="shared" si="0"/>
        <v>0</v>
      </c>
      <c r="C99" s="393"/>
      <c r="D99" s="393"/>
      <c r="E99" s="393">
        <f t="shared" si="42"/>
        <v>0</v>
      </c>
      <c r="F99" s="393">
        <f t="shared" si="43"/>
        <v>0</v>
      </c>
      <c r="G99" s="393"/>
      <c r="H99" s="393"/>
      <c r="I99" s="393"/>
      <c r="J99" s="393">
        <f t="shared" si="1"/>
        <v>0</v>
      </c>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4"/>
    </row>
    <row r="100" spans="1:35" s="389" customFormat="1">
      <c r="A100" s="1008" t="str">
        <f>报表格式!G44</f>
        <v>非流动负债合计</v>
      </c>
      <c r="B100" s="398">
        <f t="shared" si="0"/>
        <v>0</v>
      </c>
      <c r="C100" s="398">
        <f t="shared" ref="C100:AI100" si="67">SUM(C89:C99)-C91-C92</f>
        <v>0</v>
      </c>
      <c r="D100" s="398">
        <f t="shared" si="67"/>
        <v>0</v>
      </c>
      <c r="E100" s="398">
        <f t="shared" si="67"/>
        <v>0</v>
      </c>
      <c r="F100" s="398">
        <f t="shared" si="67"/>
        <v>0</v>
      </c>
      <c r="G100" s="398">
        <f t="shared" si="67"/>
        <v>0</v>
      </c>
      <c r="H100" s="398">
        <f t="shared" si="67"/>
        <v>0</v>
      </c>
      <c r="I100" s="398">
        <f t="shared" si="67"/>
        <v>0</v>
      </c>
      <c r="J100" s="398">
        <f t="shared" si="67"/>
        <v>0</v>
      </c>
      <c r="K100" s="398">
        <f t="shared" si="67"/>
        <v>0</v>
      </c>
      <c r="L100" s="398">
        <f t="shared" si="67"/>
        <v>0</v>
      </c>
      <c r="M100" s="398">
        <f t="shared" si="67"/>
        <v>0</v>
      </c>
      <c r="N100" s="398">
        <f t="shared" si="67"/>
        <v>0</v>
      </c>
      <c r="O100" s="398">
        <f t="shared" si="67"/>
        <v>0</v>
      </c>
      <c r="P100" s="398">
        <f t="shared" si="67"/>
        <v>0</v>
      </c>
      <c r="Q100" s="398">
        <f t="shared" si="67"/>
        <v>0</v>
      </c>
      <c r="R100" s="398">
        <f t="shared" si="67"/>
        <v>0</v>
      </c>
      <c r="S100" s="398">
        <f t="shared" si="67"/>
        <v>0</v>
      </c>
      <c r="T100" s="398">
        <f t="shared" si="67"/>
        <v>0</v>
      </c>
      <c r="U100" s="398">
        <f t="shared" si="67"/>
        <v>0</v>
      </c>
      <c r="V100" s="398">
        <f t="shared" si="67"/>
        <v>0</v>
      </c>
      <c r="W100" s="398">
        <f t="shared" si="67"/>
        <v>0</v>
      </c>
      <c r="X100" s="398">
        <f t="shared" si="67"/>
        <v>0</v>
      </c>
      <c r="Y100" s="398">
        <f t="shared" si="67"/>
        <v>0</v>
      </c>
      <c r="Z100" s="398">
        <f t="shared" si="67"/>
        <v>0</v>
      </c>
      <c r="AA100" s="398">
        <f t="shared" si="67"/>
        <v>0</v>
      </c>
      <c r="AB100" s="398">
        <f t="shared" si="67"/>
        <v>0</v>
      </c>
      <c r="AC100" s="398">
        <f t="shared" si="67"/>
        <v>0</v>
      </c>
      <c r="AD100" s="398">
        <f t="shared" si="67"/>
        <v>0</v>
      </c>
      <c r="AE100" s="398">
        <f t="shared" si="67"/>
        <v>0</v>
      </c>
      <c r="AF100" s="398">
        <f t="shared" si="67"/>
        <v>0</v>
      </c>
      <c r="AG100" s="398">
        <f t="shared" si="67"/>
        <v>0</v>
      </c>
      <c r="AH100" s="398">
        <f t="shared" si="67"/>
        <v>0</v>
      </c>
      <c r="AI100" s="798">
        <f t="shared" si="67"/>
        <v>0</v>
      </c>
    </row>
    <row r="101" spans="1:35" s="389" customFormat="1">
      <c r="A101" s="1008" t="str">
        <f>报表格式!G45</f>
        <v>负 债 合 计</v>
      </c>
      <c r="B101" s="398">
        <f>SUM(C101:E101)</f>
        <v>0</v>
      </c>
      <c r="C101" s="398">
        <f t="shared" ref="C101:AI101" si="68">SUM(C87,C100)</f>
        <v>0</v>
      </c>
      <c r="D101" s="398">
        <f t="shared" si="68"/>
        <v>0</v>
      </c>
      <c r="E101" s="398">
        <f t="shared" si="68"/>
        <v>0</v>
      </c>
      <c r="F101" s="398">
        <f t="shared" si="68"/>
        <v>0</v>
      </c>
      <c r="G101" s="398">
        <f t="shared" si="68"/>
        <v>0</v>
      </c>
      <c r="H101" s="398">
        <f t="shared" si="68"/>
        <v>0</v>
      </c>
      <c r="I101" s="398">
        <f t="shared" si="68"/>
        <v>0</v>
      </c>
      <c r="J101" s="398">
        <f t="shared" si="68"/>
        <v>0</v>
      </c>
      <c r="K101" s="398">
        <f t="shared" si="68"/>
        <v>0</v>
      </c>
      <c r="L101" s="398">
        <f t="shared" si="68"/>
        <v>0</v>
      </c>
      <c r="M101" s="398">
        <f t="shared" si="68"/>
        <v>0</v>
      </c>
      <c r="N101" s="398">
        <f t="shared" si="68"/>
        <v>0</v>
      </c>
      <c r="O101" s="398">
        <f t="shared" si="68"/>
        <v>0</v>
      </c>
      <c r="P101" s="398">
        <f t="shared" si="68"/>
        <v>0</v>
      </c>
      <c r="Q101" s="398">
        <f t="shared" si="68"/>
        <v>0</v>
      </c>
      <c r="R101" s="398">
        <f t="shared" si="68"/>
        <v>0</v>
      </c>
      <c r="S101" s="398">
        <f t="shared" si="68"/>
        <v>0</v>
      </c>
      <c r="T101" s="398">
        <f t="shared" si="68"/>
        <v>0</v>
      </c>
      <c r="U101" s="398">
        <f t="shared" si="68"/>
        <v>0</v>
      </c>
      <c r="V101" s="398">
        <f t="shared" si="68"/>
        <v>0</v>
      </c>
      <c r="W101" s="398">
        <f t="shared" si="68"/>
        <v>0</v>
      </c>
      <c r="X101" s="398">
        <f t="shared" si="68"/>
        <v>0</v>
      </c>
      <c r="Y101" s="398">
        <f t="shared" si="68"/>
        <v>0</v>
      </c>
      <c r="Z101" s="398">
        <f t="shared" si="68"/>
        <v>0</v>
      </c>
      <c r="AA101" s="398">
        <f t="shared" si="68"/>
        <v>0</v>
      </c>
      <c r="AB101" s="398">
        <f t="shared" si="68"/>
        <v>0</v>
      </c>
      <c r="AC101" s="398">
        <f t="shared" si="68"/>
        <v>0</v>
      </c>
      <c r="AD101" s="398">
        <f t="shared" si="68"/>
        <v>0</v>
      </c>
      <c r="AE101" s="398">
        <f t="shared" si="68"/>
        <v>0</v>
      </c>
      <c r="AF101" s="398">
        <f t="shared" si="68"/>
        <v>0</v>
      </c>
      <c r="AG101" s="398">
        <f t="shared" si="68"/>
        <v>0</v>
      </c>
      <c r="AH101" s="398">
        <f t="shared" si="68"/>
        <v>0</v>
      </c>
      <c r="AI101" s="400">
        <f t="shared" si="68"/>
        <v>0</v>
      </c>
    </row>
    <row r="102" spans="1:35">
      <c r="A102" s="1009" t="str">
        <f>报表格式!G46</f>
        <v>股东权益：</v>
      </c>
      <c r="B102" s="392"/>
      <c r="C102" s="392"/>
      <c r="D102" s="392"/>
      <c r="E102" s="392"/>
      <c r="F102" s="392"/>
      <c r="G102" s="392"/>
      <c r="H102" s="392"/>
      <c r="I102" s="392"/>
      <c r="J102" s="392"/>
      <c r="K102" s="392"/>
      <c r="L102" s="392"/>
      <c r="M102" s="392"/>
      <c r="N102" s="392"/>
      <c r="O102" s="392"/>
      <c r="P102" s="392"/>
      <c r="Q102" s="392"/>
      <c r="R102" s="392"/>
      <c r="S102" s="392"/>
      <c r="T102" s="392"/>
      <c r="U102" s="392"/>
      <c r="V102" s="392"/>
      <c r="W102" s="392"/>
      <c r="X102" s="392"/>
      <c r="Y102" s="392"/>
      <c r="Z102" s="392"/>
      <c r="AA102" s="392"/>
      <c r="AB102" s="392"/>
      <c r="AC102" s="392"/>
      <c r="AD102" s="392"/>
      <c r="AE102" s="392"/>
      <c r="AF102" s="392"/>
      <c r="AG102" s="392"/>
      <c r="AH102" s="392"/>
      <c r="AI102" s="392"/>
    </row>
    <row r="103" spans="1:35">
      <c r="A103" s="1007" t="str">
        <f>报表格式!G47</f>
        <v>股本</v>
      </c>
      <c r="B103" s="392">
        <f t="shared" ref="B103:B117" si="69">SUM(C103:E103)</f>
        <v>0</v>
      </c>
      <c r="C103" s="393"/>
      <c r="D103" s="393"/>
      <c r="E103" s="393">
        <f t="shared" si="42"/>
        <v>0</v>
      </c>
      <c r="F103" s="393">
        <f t="shared" si="43"/>
        <v>0</v>
      </c>
      <c r="G103" s="393"/>
      <c r="H103" s="393"/>
      <c r="I103" s="393"/>
      <c r="J103" s="393">
        <f t="shared" ref="J103:J115" si="70">SUM(K103:W103)</f>
        <v>0</v>
      </c>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4"/>
    </row>
    <row r="104" spans="1:35">
      <c r="A104" s="1007" t="str">
        <f>报表格式!G48</f>
        <v>其他权益工具</v>
      </c>
      <c r="B104" s="392">
        <f>SUM(C104:E104)</f>
        <v>0</v>
      </c>
      <c r="C104" s="393"/>
      <c r="D104" s="393"/>
      <c r="E104" s="393">
        <f>SUM(F104,X104:AI104)</f>
        <v>0</v>
      </c>
      <c r="F104" s="393">
        <f>SUM(G104:J104)</f>
        <v>0</v>
      </c>
      <c r="G104" s="393"/>
      <c r="H104" s="393"/>
      <c r="I104" s="393"/>
      <c r="J104" s="393">
        <f>SUM(K104:W104)</f>
        <v>0</v>
      </c>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4"/>
    </row>
    <row r="105" spans="1:35">
      <c r="A105" s="1007" t="str">
        <f>报表格式!G49</f>
        <v xml:space="preserve">  其中：优先股</v>
      </c>
      <c r="B105" s="392">
        <f>SUM(C105:E105)</f>
        <v>0</v>
      </c>
      <c r="C105" s="393"/>
      <c r="D105" s="393"/>
      <c r="E105" s="393">
        <f>SUM(F105,X105:AI105)</f>
        <v>0</v>
      </c>
      <c r="F105" s="393">
        <f>SUM(G105:J105)</f>
        <v>0</v>
      </c>
      <c r="G105" s="393"/>
      <c r="H105" s="393"/>
      <c r="I105" s="393"/>
      <c r="J105" s="393">
        <f>SUM(K105:W105)</f>
        <v>0</v>
      </c>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4"/>
    </row>
    <row r="106" spans="1:35">
      <c r="A106" s="1013" t="str">
        <f>报表格式!G50</f>
        <v xml:space="preserve">        永续债</v>
      </c>
      <c r="B106" s="392">
        <f>SUM(C106:E106)</f>
        <v>0</v>
      </c>
      <c r="C106" s="393"/>
      <c r="D106" s="393"/>
      <c r="E106" s="393">
        <f>SUM(F106,X106:AI106)</f>
        <v>0</v>
      </c>
      <c r="F106" s="393">
        <f>SUM(G106:J106)</f>
        <v>0</v>
      </c>
      <c r="G106" s="393"/>
      <c r="H106" s="393"/>
      <c r="I106" s="393"/>
      <c r="J106" s="393">
        <f>SUM(K106:W106)</f>
        <v>0</v>
      </c>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4"/>
    </row>
    <row r="107" spans="1:35">
      <c r="A107" s="1007" t="str">
        <f>报表格式!G51</f>
        <v>资本公积</v>
      </c>
      <c r="B107" s="392">
        <f t="shared" si="69"/>
        <v>0</v>
      </c>
      <c r="C107" s="393"/>
      <c r="D107" s="393"/>
      <c r="E107" s="393">
        <f t="shared" si="42"/>
        <v>0</v>
      </c>
      <c r="F107" s="393">
        <f t="shared" si="43"/>
        <v>0</v>
      </c>
      <c r="G107" s="393"/>
      <c r="H107" s="393"/>
      <c r="I107" s="393"/>
      <c r="J107" s="393">
        <f t="shared" si="70"/>
        <v>0</v>
      </c>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4"/>
    </row>
    <row r="108" spans="1:35">
      <c r="A108" s="1007" t="str">
        <f>报表格式!G52</f>
        <v>减：库存股</v>
      </c>
      <c r="B108" s="392">
        <f t="shared" si="69"/>
        <v>0</v>
      </c>
      <c r="C108" s="393"/>
      <c r="D108" s="393"/>
      <c r="E108" s="393">
        <f t="shared" si="42"/>
        <v>0</v>
      </c>
      <c r="F108" s="393">
        <f t="shared" si="43"/>
        <v>0</v>
      </c>
      <c r="G108" s="393"/>
      <c r="H108" s="393"/>
      <c r="I108" s="393"/>
      <c r="J108" s="393">
        <f t="shared" si="70"/>
        <v>0</v>
      </c>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4"/>
    </row>
    <row r="109" spans="1:35">
      <c r="A109" s="1007" t="str">
        <f>报表格式!G53</f>
        <v>其他综合收益</v>
      </c>
      <c r="B109" s="392">
        <f>SUM(C109:E109)</f>
        <v>0</v>
      </c>
      <c r="C109" s="393"/>
      <c r="D109" s="393"/>
      <c r="E109" s="393">
        <f>SUM(F109,X109:AI109)</f>
        <v>0</v>
      </c>
      <c r="F109" s="393">
        <f>SUM(G109:J109)</f>
        <v>0</v>
      </c>
      <c r="G109" s="393"/>
      <c r="H109" s="393"/>
      <c r="I109" s="393"/>
      <c r="J109" s="393">
        <f>SUM(K109:W109)</f>
        <v>0</v>
      </c>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4"/>
    </row>
    <row r="110" spans="1:35">
      <c r="A110" s="1007" t="str">
        <f>报表格式!G54</f>
        <v>专项储备</v>
      </c>
      <c r="B110" s="392">
        <f t="shared" si="69"/>
        <v>0</v>
      </c>
      <c r="C110" s="393"/>
      <c r="D110" s="393"/>
      <c r="E110" s="393">
        <f t="shared" si="42"/>
        <v>0</v>
      </c>
      <c r="F110" s="393">
        <f t="shared" si="43"/>
        <v>0</v>
      </c>
      <c r="G110" s="393"/>
      <c r="H110" s="393"/>
      <c r="I110" s="393"/>
      <c r="J110" s="393">
        <f t="shared" si="70"/>
        <v>0</v>
      </c>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4"/>
    </row>
    <row r="111" spans="1:35">
      <c r="A111" s="1007" t="str">
        <f>报表格式!G55</f>
        <v>盈余公积</v>
      </c>
      <c r="B111" s="392">
        <f t="shared" si="69"/>
        <v>0</v>
      </c>
      <c r="C111" s="393"/>
      <c r="D111" s="393"/>
      <c r="E111" s="393">
        <f t="shared" si="42"/>
        <v>0</v>
      </c>
      <c r="F111" s="393">
        <f t="shared" si="43"/>
        <v>0</v>
      </c>
      <c r="G111" s="393"/>
      <c r="H111" s="393"/>
      <c r="I111" s="393"/>
      <c r="J111" s="393">
        <f t="shared" si="70"/>
        <v>0</v>
      </c>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4"/>
    </row>
    <row r="112" spans="1:35">
      <c r="A112" s="1007" t="str">
        <f>报表格式!G56</f>
        <v>一般风险准备</v>
      </c>
      <c r="B112" s="392">
        <f t="shared" ref="B112" si="71">SUM(C112:E112)</f>
        <v>0</v>
      </c>
      <c r="C112" s="393"/>
      <c r="D112" s="393"/>
      <c r="E112" s="393">
        <f t="shared" ref="E112" si="72">SUM(F112,X112:AI112)</f>
        <v>0</v>
      </c>
      <c r="F112" s="393">
        <f t="shared" ref="F112" si="73">SUM(G112:J112)</f>
        <v>0</v>
      </c>
      <c r="G112" s="393"/>
      <c r="H112" s="393"/>
      <c r="I112" s="393"/>
      <c r="J112" s="393">
        <f t="shared" ref="J112" si="74">SUM(K112:W112)</f>
        <v>0</v>
      </c>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4"/>
    </row>
    <row r="113" spans="1:35">
      <c r="A113" s="1007" t="str">
        <f>报表格式!G57</f>
        <v>未分配利润</v>
      </c>
      <c r="B113" s="392">
        <f t="shared" si="69"/>
        <v>0</v>
      </c>
      <c r="C113" s="393"/>
      <c r="D113" s="393"/>
      <c r="E113" s="393">
        <f t="shared" si="42"/>
        <v>0</v>
      </c>
      <c r="F113" s="393">
        <f t="shared" si="43"/>
        <v>0</v>
      </c>
      <c r="G113" s="393"/>
      <c r="H113" s="393"/>
      <c r="I113" s="393"/>
      <c r="J113" s="393">
        <f t="shared" si="70"/>
        <v>0</v>
      </c>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4"/>
    </row>
    <row r="114" spans="1:35" s="389" customFormat="1">
      <c r="A114" s="1014" t="str">
        <f>报表格式!G58</f>
        <v>归属于母公司股东权益合计</v>
      </c>
      <c r="B114" s="398">
        <f t="shared" si="69"/>
        <v>0</v>
      </c>
      <c r="C114" s="398">
        <f>SUM(C103:C104,C107,-C108,C109:C113)</f>
        <v>0</v>
      </c>
      <c r="D114" s="398">
        <f>SUM(D103:D104,D107,-D108,D109:D113)</f>
        <v>0</v>
      </c>
      <c r="E114" s="398">
        <f>SUM(E103:E104,E107,-E108,E109:E113)</f>
        <v>0</v>
      </c>
      <c r="F114" s="398">
        <f t="shared" ref="F114:AI114" si="75">SUM(F103:F104,F107,-F108,F109:F113)</f>
        <v>0</v>
      </c>
      <c r="G114" s="398">
        <f t="shared" si="75"/>
        <v>0</v>
      </c>
      <c r="H114" s="398">
        <f t="shared" si="75"/>
        <v>0</v>
      </c>
      <c r="I114" s="398">
        <f t="shared" si="75"/>
        <v>0</v>
      </c>
      <c r="J114" s="398">
        <f t="shared" si="75"/>
        <v>0</v>
      </c>
      <c r="K114" s="398">
        <f t="shared" si="75"/>
        <v>0</v>
      </c>
      <c r="L114" s="398">
        <f t="shared" si="75"/>
        <v>0</v>
      </c>
      <c r="M114" s="398">
        <f t="shared" si="75"/>
        <v>0</v>
      </c>
      <c r="N114" s="398">
        <f t="shared" si="75"/>
        <v>0</v>
      </c>
      <c r="O114" s="398">
        <f t="shared" si="75"/>
        <v>0</v>
      </c>
      <c r="P114" s="398">
        <f t="shared" si="75"/>
        <v>0</v>
      </c>
      <c r="Q114" s="398">
        <f t="shared" si="75"/>
        <v>0</v>
      </c>
      <c r="R114" s="398">
        <f t="shared" si="75"/>
        <v>0</v>
      </c>
      <c r="S114" s="398">
        <f t="shared" si="75"/>
        <v>0</v>
      </c>
      <c r="T114" s="398">
        <f t="shared" si="75"/>
        <v>0</v>
      </c>
      <c r="U114" s="398">
        <f t="shared" si="75"/>
        <v>0</v>
      </c>
      <c r="V114" s="398">
        <f t="shared" si="75"/>
        <v>0</v>
      </c>
      <c r="W114" s="398">
        <f t="shared" si="75"/>
        <v>0</v>
      </c>
      <c r="X114" s="398">
        <f t="shared" si="75"/>
        <v>0</v>
      </c>
      <c r="Y114" s="398">
        <f t="shared" si="75"/>
        <v>0</v>
      </c>
      <c r="Z114" s="398">
        <f t="shared" si="75"/>
        <v>0</v>
      </c>
      <c r="AA114" s="398">
        <f t="shared" si="75"/>
        <v>0</v>
      </c>
      <c r="AB114" s="398">
        <f t="shared" si="75"/>
        <v>0</v>
      </c>
      <c r="AC114" s="398">
        <f t="shared" si="75"/>
        <v>0</v>
      </c>
      <c r="AD114" s="398">
        <f t="shared" si="75"/>
        <v>0</v>
      </c>
      <c r="AE114" s="398">
        <f t="shared" si="75"/>
        <v>0</v>
      </c>
      <c r="AF114" s="398">
        <f t="shared" si="75"/>
        <v>0</v>
      </c>
      <c r="AG114" s="398">
        <f t="shared" si="75"/>
        <v>0</v>
      </c>
      <c r="AH114" s="398">
        <f t="shared" si="75"/>
        <v>0</v>
      </c>
      <c r="AI114" s="398">
        <f t="shared" si="75"/>
        <v>0</v>
      </c>
    </row>
    <row r="115" spans="1:35">
      <c r="A115" s="1007" t="str">
        <f>报表格式!G59</f>
        <v>少数股东权益</v>
      </c>
      <c r="B115" s="392">
        <f t="shared" si="69"/>
        <v>0</v>
      </c>
      <c r="C115" s="393"/>
      <c r="D115" s="393"/>
      <c r="E115" s="393">
        <f t="shared" si="42"/>
        <v>0</v>
      </c>
      <c r="F115" s="393">
        <f t="shared" si="43"/>
        <v>0</v>
      </c>
      <c r="G115" s="393"/>
      <c r="H115" s="393"/>
      <c r="I115" s="393"/>
      <c r="J115" s="393">
        <f t="shared" si="70"/>
        <v>0</v>
      </c>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4"/>
    </row>
    <row r="116" spans="1:35" s="389" customFormat="1">
      <c r="A116" s="1008" t="str">
        <f>报表格式!G60</f>
        <v>股东权益合计</v>
      </c>
      <c r="B116" s="631">
        <f t="shared" si="69"/>
        <v>0</v>
      </c>
      <c r="C116" s="398">
        <f t="shared" ref="C116:AI116" si="76">SUM(C114:C115)</f>
        <v>0</v>
      </c>
      <c r="D116" s="398">
        <f t="shared" si="76"/>
        <v>0</v>
      </c>
      <c r="E116" s="398">
        <f t="shared" si="76"/>
        <v>0</v>
      </c>
      <c r="F116" s="398">
        <f t="shared" si="76"/>
        <v>0</v>
      </c>
      <c r="G116" s="398">
        <f t="shared" si="76"/>
        <v>0</v>
      </c>
      <c r="H116" s="398">
        <f t="shared" si="76"/>
        <v>0</v>
      </c>
      <c r="I116" s="398">
        <f t="shared" si="76"/>
        <v>0</v>
      </c>
      <c r="J116" s="398">
        <f t="shared" si="76"/>
        <v>0</v>
      </c>
      <c r="K116" s="398">
        <f t="shared" si="76"/>
        <v>0</v>
      </c>
      <c r="L116" s="398">
        <f t="shared" si="76"/>
        <v>0</v>
      </c>
      <c r="M116" s="398">
        <f t="shared" si="76"/>
        <v>0</v>
      </c>
      <c r="N116" s="398">
        <f t="shared" si="76"/>
        <v>0</v>
      </c>
      <c r="O116" s="398">
        <f t="shared" si="76"/>
        <v>0</v>
      </c>
      <c r="P116" s="398">
        <f t="shared" si="76"/>
        <v>0</v>
      </c>
      <c r="Q116" s="398">
        <f t="shared" si="76"/>
        <v>0</v>
      </c>
      <c r="R116" s="398">
        <f t="shared" si="76"/>
        <v>0</v>
      </c>
      <c r="S116" s="398">
        <f t="shared" si="76"/>
        <v>0</v>
      </c>
      <c r="T116" s="398">
        <f t="shared" si="76"/>
        <v>0</v>
      </c>
      <c r="U116" s="398">
        <f t="shared" si="76"/>
        <v>0</v>
      </c>
      <c r="V116" s="398">
        <f t="shared" si="76"/>
        <v>0</v>
      </c>
      <c r="W116" s="398">
        <f t="shared" si="76"/>
        <v>0</v>
      </c>
      <c r="X116" s="398">
        <f t="shared" si="76"/>
        <v>0</v>
      </c>
      <c r="Y116" s="398">
        <f t="shared" si="76"/>
        <v>0</v>
      </c>
      <c r="Z116" s="398">
        <f t="shared" si="76"/>
        <v>0</v>
      </c>
      <c r="AA116" s="398">
        <f t="shared" si="76"/>
        <v>0</v>
      </c>
      <c r="AB116" s="398">
        <f t="shared" si="76"/>
        <v>0</v>
      </c>
      <c r="AC116" s="398">
        <f t="shared" si="76"/>
        <v>0</v>
      </c>
      <c r="AD116" s="398">
        <f t="shared" si="76"/>
        <v>0</v>
      </c>
      <c r="AE116" s="398">
        <f t="shared" si="76"/>
        <v>0</v>
      </c>
      <c r="AF116" s="398">
        <f t="shared" si="76"/>
        <v>0</v>
      </c>
      <c r="AG116" s="398">
        <f t="shared" si="76"/>
        <v>0</v>
      </c>
      <c r="AH116" s="398">
        <f t="shared" si="76"/>
        <v>0</v>
      </c>
      <c r="AI116" s="400">
        <f t="shared" si="76"/>
        <v>0</v>
      </c>
    </row>
    <row r="117" spans="1:35" s="389" customFormat="1">
      <c r="A117" s="1015" t="str">
        <f>报表格式!G61</f>
        <v>负债和股东权益合计</v>
      </c>
      <c r="B117" s="409">
        <f t="shared" si="69"/>
        <v>0</v>
      </c>
      <c r="C117" s="418">
        <f t="shared" ref="C117:AI117" si="77">SUM(C101,C116)</f>
        <v>0</v>
      </c>
      <c r="D117" s="418">
        <f t="shared" si="77"/>
        <v>0</v>
      </c>
      <c r="E117" s="418">
        <f t="shared" si="77"/>
        <v>0</v>
      </c>
      <c r="F117" s="418">
        <f t="shared" si="77"/>
        <v>0</v>
      </c>
      <c r="G117" s="418">
        <f t="shared" si="77"/>
        <v>0</v>
      </c>
      <c r="H117" s="418">
        <f t="shared" si="77"/>
        <v>0</v>
      </c>
      <c r="I117" s="418">
        <f t="shared" si="77"/>
        <v>0</v>
      </c>
      <c r="J117" s="418">
        <f t="shared" si="77"/>
        <v>0</v>
      </c>
      <c r="K117" s="418">
        <f t="shared" si="77"/>
        <v>0</v>
      </c>
      <c r="L117" s="418">
        <f t="shared" si="77"/>
        <v>0</v>
      </c>
      <c r="M117" s="418">
        <f t="shared" si="77"/>
        <v>0</v>
      </c>
      <c r="N117" s="418">
        <f t="shared" si="77"/>
        <v>0</v>
      </c>
      <c r="O117" s="418">
        <f t="shared" si="77"/>
        <v>0</v>
      </c>
      <c r="P117" s="418">
        <f t="shared" si="77"/>
        <v>0</v>
      </c>
      <c r="Q117" s="418">
        <f t="shared" si="77"/>
        <v>0</v>
      </c>
      <c r="R117" s="418">
        <f t="shared" si="77"/>
        <v>0</v>
      </c>
      <c r="S117" s="418">
        <f t="shared" si="77"/>
        <v>0</v>
      </c>
      <c r="T117" s="418">
        <f t="shared" si="77"/>
        <v>0</v>
      </c>
      <c r="U117" s="418">
        <f t="shared" si="77"/>
        <v>0</v>
      </c>
      <c r="V117" s="418">
        <f t="shared" si="77"/>
        <v>0</v>
      </c>
      <c r="W117" s="418">
        <f t="shared" si="77"/>
        <v>0</v>
      </c>
      <c r="X117" s="418">
        <f t="shared" si="77"/>
        <v>0</v>
      </c>
      <c r="Y117" s="418">
        <f t="shared" si="77"/>
        <v>0</v>
      </c>
      <c r="Z117" s="418">
        <f t="shared" si="77"/>
        <v>0</v>
      </c>
      <c r="AA117" s="418">
        <f t="shared" si="77"/>
        <v>0</v>
      </c>
      <c r="AB117" s="418">
        <f t="shared" si="77"/>
        <v>0</v>
      </c>
      <c r="AC117" s="418">
        <f t="shared" si="77"/>
        <v>0</v>
      </c>
      <c r="AD117" s="418">
        <f t="shared" si="77"/>
        <v>0</v>
      </c>
      <c r="AE117" s="418">
        <f t="shared" si="77"/>
        <v>0</v>
      </c>
      <c r="AF117" s="418">
        <f t="shared" si="77"/>
        <v>0</v>
      </c>
      <c r="AG117" s="418">
        <f t="shared" si="77"/>
        <v>0</v>
      </c>
      <c r="AH117" s="418">
        <f t="shared" si="77"/>
        <v>0</v>
      </c>
      <c r="AI117" s="420">
        <f t="shared" si="77"/>
        <v>0</v>
      </c>
    </row>
    <row r="120" spans="1:35">
      <c r="A120" s="1016" t="s">
        <v>101</v>
      </c>
    </row>
    <row r="121" spans="1:35" s="587" customFormat="1">
      <c r="A121" s="1017" t="s">
        <v>102</v>
      </c>
      <c r="B121" s="432">
        <f>B59-B117</f>
        <v>0</v>
      </c>
      <c r="C121" s="433">
        <f t="shared" ref="C121:AI121" si="78">C59-C117</f>
        <v>0</v>
      </c>
      <c r="D121" s="433">
        <f t="shared" si="78"/>
        <v>0</v>
      </c>
      <c r="E121" s="433">
        <f t="shared" si="78"/>
        <v>0</v>
      </c>
      <c r="F121" s="433">
        <f t="shared" si="78"/>
        <v>0</v>
      </c>
      <c r="G121" s="433">
        <f t="shared" si="78"/>
        <v>0</v>
      </c>
      <c r="H121" s="433">
        <f t="shared" si="78"/>
        <v>0</v>
      </c>
      <c r="I121" s="433">
        <f t="shared" si="78"/>
        <v>0</v>
      </c>
      <c r="J121" s="433">
        <f t="shared" si="78"/>
        <v>0</v>
      </c>
      <c r="K121" s="433">
        <f t="shared" si="78"/>
        <v>0</v>
      </c>
      <c r="L121" s="433">
        <f t="shared" si="78"/>
        <v>0</v>
      </c>
      <c r="M121" s="433">
        <f t="shared" si="78"/>
        <v>0</v>
      </c>
      <c r="N121" s="433">
        <f t="shared" si="78"/>
        <v>0</v>
      </c>
      <c r="O121" s="433">
        <f t="shared" si="78"/>
        <v>0</v>
      </c>
      <c r="P121" s="433">
        <f t="shared" si="78"/>
        <v>0</v>
      </c>
      <c r="Q121" s="433">
        <f t="shared" si="78"/>
        <v>0</v>
      </c>
      <c r="R121" s="433">
        <f t="shared" si="78"/>
        <v>0</v>
      </c>
      <c r="S121" s="433">
        <f t="shared" si="78"/>
        <v>0</v>
      </c>
      <c r="T121" s="433">
        <f t="shared" si="78"/>
        <v>0</v>
      </c>
      <c r="U121" s="433">
        <f t="shared" si="78"/>
        <v>0</v>
      </c>
      <c r="V121" s="433">
        <f t="shared" si="78"/>
        <v>0</v>
      </c>
      <c r="W121" s="433">
        <f t="shared" si="78"/>
        <v>0</v>
      </c>
      <c r="X121" s="433">
        <f t="shared" si="78"/>
        <v>0</v>
      </c>
      <c r="Y121" s="433">
        <f t="shared" si="78"/>
        <v>0</v>
      </c>
      <c r="Z121" s="433">
        <f t="shared" si="78"/>
        <v>0</v>
      </c>
      <c r="AA121" s="433">
        <f t="shared" si="78"/>
        <v>0</v>
      </c>
      <c r="AB121" s="433">
        <f t="shared" si="78"/>
        <v>0</v>
      </c>
      <c r="AC121" s="433">
        <f t="shared" si="78"/>
        <v>0</v>
      </c>
      <c r="AD121" s="433">
        <f t="shared" si="78"/>
        <v>0</v>
      </c>
      <c r="AE121" s="433">
        <f t="shared" si="78"/>
        <v>0</v>
      </c>
      <c r="AF121" s="433">
        <f t="shared" si="78"/>
        <v>0</v>
      </c>
      <c r="AG121" s="433">
        <f t="shared" si="78"/>
        <v>0</v>
      </c>
      <c r="AH121" s="433">
        <f t="shared" si="78"/>
        <v>0</v>
      </c>
      <c r="AI121" s="433">
        <f t="shared" si="78"/>
        <v>0</v>
      </c>
    </row>
    <row r="122" spans="1:35" s="587" customFormat="1">
      <c r="A122" s="1018" t="s">
        <v>542</v>
      </c>
      <c r="B122" s="433">
        <f t="shared" ref="B122:AI122" si="79">SUM(B7:B30)-B21-B22-B31</f>
        <v>0</v>
      </c>
      <c r="C122" s="433">
        <f t="shared" si="79"/>
        <v>0</v>
      </c>
      <c r="D122" s="433">
        <f t="shared" si="79"/>
        <v>0</v>
      </c>
      <c r="E122" s="433">
        <f t="shared" si="79"/>
        <v>0</v>
      </c>
      <c r="F122" s="433">
        <f t="shared" si="79"/>
        <v>0</v>
      </c>
      <c r="G122" s="433">
        <f t="shared" si="79"/>
        <v>0</v>
      </c>
      <c r="H122" s="433">
        <f t="shared" si="79"/>
        <v>0</v>
      </c>
      <c r="I122" s="433">
        <f t="shared" si="79"/>
        <v>0</v>
      </c>
      <c r="J122" s="433">
        <f t="shared" si="79"/>
        <v>0</v>
      </c>
      <c r="K122" s="433">
        <f t="shared" si="79"/>
        <v>0</v>
      </c>
      <c r="L122" s="433">
        <f t="shared" si="79"/>
        <v>0</v>
      </c>
      <c r="M122" s="433">
        <f t="shared" si="79"/>
        <v>0</v>
      </c>
      <c r="N122" s="433">
        <f t="shared" si="79"/>
        <v>0</v>
      </c>
      <c r="O122" s="433">
        <f t="shared" si="79"/>
        <v>0</v>
      </c>
      <c r="P122" s="433">
        <f t="shared" si="79"/>
        <v>0</v>
      </c>
      <c r="Q122" s="433">
        <f t="shared" si="79"/>
        <v>0</v>
      </c>
      <c r="R122" s="433">
        <f t="shared" si="79"/>
        <v>0</v>
      </c>
      <c r="S122" s="433">
        <f t="shared" si="79"/>
        <v>0</v>
      </c>
      <c r="T122" s="433">
        <f t="shared" si="79"/>
        <v>0</v>
      </c>
      <c r="U122" s="433">
        <f t="shared" si="79"/>
        <v>0</v>
      </c>
      <c r="V122" s="433">
        <f t="shared" si="79"/>
        <v>0</v>
      </c>
      <c r="W122" s="433">
        <f t="shared" si="79"/>
        <v>0</v>
      </c>
      <c r="X122" s="433">
        <f t="shared" si="79"/>
        <v>0</v>
      </c>
      <c r="Y122" s="433">
        <f t="shared" si="79"/>
        <v>0</v>
      </c>
      <c r="Z122" s="433">
        <f t="shared" si="79"/>
        <v>0</v>
      </c>
      <c r="AA122" s="433">
        <f t="shared" si="79"/>
        <v>0</v>
      </c>
      <c r="AB122" s="433">
        <f t="shared" si="79"/>
        <v>0</v>
      </c>
      <c r="AC122" s="433">
        <f t="shared" si="79"/>
        <v>0</v>
      </c>
      <c r="AD122" s="433">
        <f t="shared" si="79"/>
        <v>0</v>
      </c>
      <c r="AE122" s="433">
        <f t="shared" si="79"/>
        <v>0</v>
      </c>
      <c r="AF122" s="433">
        <f t="shared" si="79"/>
        <v>0</v>
      </c>
      <c r="AG122" s="433">
        <f t="shared" si="79"/>
        <v>0</v>
      </c>
      <c r="AH122" s="433">
        <f t="shared" si="79"/>
        <v>0</v>
      </c>
      <c r="AI122" s="433">
        <f t="shared" si="79"/>
        <v>0</v>
      </c>
    </row>
    <row r="123" spans="1:35" s="587" customFormat="1">
      <c r="A123" s="1017" t="s">
        <v>104</v>
      </c>
      <c r="B123" s="432">
        <f>SUM(B33:B57)-B58</f>
        <v>0</v>
      </c>
      <c r="C123" s="432">
        <f t="shared" ref="C123:AI123" si="80">SUM(C33:C57)-C58</f>
        <v>0</v>
      </c>
      <c r="D123" s="432">
        <f t="shared" si="80"/>
        <v>0</v>
      </c>
      <c r="E123" s="432">
        <f t="shared" si="80"/>
        <v>0</v>
      </c>
      <c r="F123" s="432">
        <f t="shared" si="80"/>
        <v>0</v>
      </c>
      <c r="G123" s="432">
        <f t="shared" si="80"/>
        <v>0</v>
      </c>
      <c r="H123" s="432">
        <f t="shared" si="80"/>
        <v>0</v>
      </c>
      <c r="I123" s="432">
        <f t="shared" si="80"/>
        <v>0</v>
      </c>
      <c r="J123" s="432">
        <f t="shared" si="80"/>
        <v>0</v>
      </c>
      <c r="K123" s="432">
        <f t="shared" si="80"/>
        <v>0</v>
      </c>
      <c r="L123" s="432">
        <f t="shared" si="80"/>
        <v>0</v>
      </c>
      <c r="M123" s="432">
        <f t="shared" si="80"/>
        <v>0</v>
      </c>
      <c r="N123" s="432">
        <f t="shared" si="80"/>
        <v>0</v>
      </c>
      <c r="O123" s="432">
        <f t="shared" si="80"/>
        <v>0</v>
      </c>
      <c r="P123" s="432">
        <f t="shared" si="80"/>
        <v>0</v>
      </c>
      <c r="Q123" s="432">
        <f t="shared" si="80"/>
        <v>0</v>
      </c>
      <c r="R123" s="432">
        <f t="shared" si="80"/>
        <v>0</v>
      </c>
      <c r="S123" s="432">
        <f t="shared" si="80"/>
        <v>0</v>
      </c>
      <c r="T123" s="432">
        <f t="shared" si="80"/>
        <v>0</v>
      </c>
      <c r="U123" s="432">
        <f t="shared" si="80"/>
        <v>0</v>
      </c>
      <c r="V123" s="432">
        <f t="shared" si="80"/>
        <v>0</v>
      </c>
      <c r="W123" s="432">
        <f t="shared" si="80"/>
        <v>0</v>
      </c>
      <c r="X123" s="432">
        <f t="shared" si="80"/>
        <v>0</v>
      </c>
      <c r="Y123" s="432">
        <f t="shared" si="80"/>
        <v>0</v>
      </c>
      <c r="Z123" s="432">
        <f t="shared" si="80"/>
        <v>0</v>
      </c>
      <c r="AA123" s="432">
        <f t="shared" si="80"/>
        <v>0</v>
      </c>
      <c r="AB123" s="432">
        <f t="shared" si="80"/>
        <v>0</v>
      </c>
      <c r="AC123" s="432">
        <f t="shared" si="80"/>
        <v>0</v>
      </c>
      <c r="AD123" s="432">
        <f t="shared" si="80"/>
        <v>0</v>
      </c>
      <c r="AE123" s="432">
        <f t="shared" si="80"/>
        <v>0</v>
      </c>
      <c r="AF123" s="432">
        <f t="shared" si="80"/>
        <v>0</v>
      </c>
      <c r="AG123" s="432">
        <f t="shared" si="80"/>
        <v>0</v>
      </c>
      <c r="AH123" s="432">
        <f t="shared" si="80"/>
        <v>0</v>
      </c>
      <c r="AI123" s="432">
        <f t="shared" si="80"/>
        <v>0</v>
      </c>
    </row>
    <row r="124" spans="1:35" s="587" customFormat="1">
      <c r="A124" s="1018" t="s">
        <v>543</v>
      </c>
      <c r="B124" s="432">
        <f>B31+B58-B59</f>
        <v>0</v>
      </c>
      <c r="C124" s="433">
        <f t="shared" ref="C124:AI124" si="81">C31+C58-C59</f>
        <v>0</v>
      </c>
      <c r="D124" s="433">
        <f t="shared" si="81"/>
        <v>0</v>
      </c>
      <c r="E124" s="433">
        <f t="shared" si="81"/>
        <v>0</v>
      </c>
      <c r="F124" s="433">
        <f t="shared" si="81"/>
        <v>0</v>
      </c>
      <c r="G124" s="433">
        <f t="shared" si="81"/>
        <v>0</v>
      </c>
      <c r="H124" s="433">
        <f t="shared" si="81"/>
        <v>0</v>
      </c>
      <c r="I124" s="433">
        <f t="shared" si="81"/>
        <v>0</v>
      </c>
      <c r="J124" s="433">
        <f t="shared" si="81"/>
        <v>0</v>
      </c>
      <c r="K124" s="433">
        <f t="shared" si="81"/>
        <v>0</v>
      </c>
      <c r="L124" s="433">
        <f t="shared" si="81"/>
        <v>0</v>
      </c>
      <c r="M124" s="433">
        <f t="shared" si="81"/>
        <v>0</v>
      </c>
      <c r="N124" s="433">
        <f t="shared" si="81"/>
        <v>0</v>
      </c>
      <c r="O124" s="433">
        <f t="shared" si="81"/>
        <v>0</v>
      </c>
      <c r="P124" s="433">
        <f t="shared" si="81"/>
        <v>0</v>
      </c>
      <c r="Q124" s="433">
        <f t="shared" si="81"/>
        <v>0</v>
      </c>
      <c r="R124" s="433">
        <f t="shared" si="81"/>
        <v>0</v>
      </c>
      <c r="S124" s="433">
        <f t="shared" si="81"/>
        <v>0</v>
      </c>
      <c r="T124" s="433">
        <f t="shared" si="81"/>
        <v>0</v>
      </c>
      <c r="U124" s="433">
        <f t="shared" si="81"/>
        <v>0</v>
      </c>
      <c r="V124" s="433">
        <f t="shared" si="81"/>
        <v>0</v>
      </c>
      <c r="W124" s="433">
        <f t="shared" si="81"/>
        <v>0</v>
      </c>
      <c r="X124" s="433">
        <f t="shared" si="81"/>
        <v>0</v>
      </c>
      <c r="Y124" s="433">
        <f t="shared" si="81"/>
        <v>0</v>
      </c>
      <c r="Z124" s="433">
        <f t="shared" si="81"/>
        <v>0</v>
      </c>
      <c r="AA124" s="433">
        <f t="shared" si="81"/>
        <v>0</v>
      </c>
      <c r="AB124" s="433">
        <f t="shared" si="81"/>
        <v>0</v>
      </c>
      <c r="AC124" s="433">
        <f t="shared" si="81"/>
        <v>0</v>
      </c>
      <c r="AD124" s="433">
        <f t="shared" si="81"/>
        <v>0</v>
      </c>
      <c r="AE124" s="433">
        <f t="shared" si="81"/>
        <v>0</v>
      </c>
      <c r="AF124" s="433">
        <f t="shared" si="81"/>
        <v>0</v>
      </c>
      <c r="AG124" s="433">
        <f t="shared" si="81"/>
        <v>0</v>
      </c>
      <c r="AH124" s="433">
        <f t="shared" si="81"/>
        <v>0</v>
      </c>
      <c r="AI124" s="433">
        <f t="shared" si="81"/>
        <v>0</v>
      </c>
    </row>
    <row r="125" spans="1:35" s="587" customFormat="1">
      <c r="A125" s="1018" t="s">
        <v>544</v>
      </c>
      <c r="B125" s="432">
        <f>SUM(B62:B86)-B78-B79-B87</f>
        <v>0</v>
      </c>
      <c r="C125" s="432">
        <f t="shared" ref="C125:AI125" si="82">SUM(C62:C86)-C78-C79-C87</f>
        <v>0</v>
      </c>
      <c r="D125" s="432">
        <f t="shared" si="82"/>
        <v>0</v>
      </c>
      <c r="E125" s="432">
        <f t="shared" si="82"/>
        <v>0</v>
      </c>
      <c r="F125" s="432">
        <f t="shared" si="82"/>
        <v>0</v>
      </c>
      <c r="G125" s="432">
        <f t="shared" si="82"/>
        <v>0</v>
      </c>
      <c r="H125" s="432">
        <f t="shared" si="82"/>
        <v>0</v>
      </c>
      <c r="I125" s="432">
        <f t="shared" si="82"/>
        <v>0</v>
      </c>
      <c r="J125" s="432">
        <f t="shared" si="82"/>
        <v>0</v>
      </c>
      <c r="K125" s="432">
        <f t="shared" si="82"/>
        <v>0</v>
      </c>
      <c r="L125" s="432">
        <f t="shared" si="82"/>
        <v>0</v>
      </c>
      <c r="M125" s="432">
        <f t="shared" si="82"/>
        <v>0</v>
      </c>
      <c r="N125" s="432">
        <f t="shared" si="82"/>
        <v>0</v>
      </c>
      <c r="O125" s="432">
        <f t="shared" si="82"/>
        <v>0</v>
      </c>
      <c r="P125" s="432">
        <f t="shared" si="82"/>
        <v>0</v>
      </c>
      <c r="Q125" s="432">
        <f t="shared" si="82"/>
        <v>0</v>
      </c>
      <c r="R125" s="432">
        <f t="shared" si="82"/>
        <v>0</v>
      </c>
      <c r="S125" s="432">
        <f t="shared" si="82"/>
        <v>0</v>
      </c>
      <c r="T125" s="432">
        <f t="shared" si="82"/>
        <v>0</v>
      </c>
      <c r="U125" s="432">
        <f t="shared" si="82"/>
        <v>0</v>
      </c>
      <c r="V125" s="432">
        <f t="shared" si="82"/>
        <v>0</v>
      </c>
      <c r="W125" s="432">
        <f t="shared" si="82"/>
        <v>0</v>
      </c>
      <c r="X125" s="432">
        <f t="shared" si="82"/>
        <v>0</v>
      </c>
      <c r="Y125" s="432">
        <f t="shared" si="82"/>
        <v>0</v>
      </c>
      <c r="Z125" s="432">
        <f t="shared" si="82"/>
        <v>0</v>
      </c>
      <c r="AA125" s="432">
        <f t="shared" si="82"/>
        <v>0</v>
      </c>
      <c r="AB125" s="432">
        <f t="shared" si="82"/>
        <v>0</v>
      </c>
      <c r="AC125" s="432">
        <f t="shared" si="82"/>
        <v>0</v>
      </c>
      <c r="AD125" s="432">
        <f t="shared" si="82"/>
        <v>0</v>
      </c>
      <c r="AE125" s="432">
        <f t="shared" si="82"/>
        <v>0</v>
      </c>
      <c r="AF125" s="432">
        <f t="shared" si="82"/>
        <v>0</v>
      </c>
      <c r="AG125" s="432">
        <f t="shared" si="82"/>
        <v>0</v>
      </c>
      <c r="AH125" s="432">
        <f t="shared" si="82"/>
        <v>0</v>
      </c>
      <c r="AI125" s="432">
        <f t="shared" si="82"/>
        <v>0</v>
      </c>
    </row>
    <row r="126" spans="1:35" s="587" customFormat="1">
      <c r="A126" s="1017" t="s">
        <v>106</v>
      </c>
      <c r="B126" s="432">
        <f>SUM(B89:B99)-B91-B92-B100</f>
        <v>0</v>
      </c>
      <c r="C126" s="432">
        <f t="shared" ref="C126:AI126" si="83">SUM(C89:C99)-C91-C92-C100</f>
        <v>0</v>
      </c>
      <c r="D126" s="432">
        <f t="shared" si="83"/>
        <v>0</v>
      </c>
      <c r="E126" s="432">
        <f t="shared" si="83"/>
        <v>0</v>
      </c>
      <c r="F126" s="432">
        <f t="shared" si="83"/>
        <v>0</v>
      </c>
      <c r="G126" s="432">
        <f t="shared" si="83"/>
        <v>0</v>
      </c>
      <c r="H126" s="432">
        <f t="shared" si="83"/>
        <v>0</v>
      </c>
      <c r="I126" s="432">
        <f t="shared" si="83"/>
        <v>0</v>
      </c>
      <c r="J126" s="432">
        <f t="shared" si="83"/>
        <v>0</v>
      </c>
      <c r="K126" s="432">
        <f t="shared" si="83"/>
        <v>0</v>
      </c>
      <c r="L126" s="432">
        <f t="shared" si="83"/>
        <v>0</v>
      </c>
      <c r="M126" s="432">
        <f t="shared" si="83"/>
        <v>0</v>
      </c>
      <c r="N126" s="432">
        <f t="shared" si="83"/>
        <v>0</v>
      </c>
      <c r="O126" s="432">
        <f t="shared" si="83"/>
        <v>0</v>
      </c>
      <c r="P126" s="432">
        <f t="shared" si="83"/>
        <v>0</v>
      </c>
      <c r="Q126" s="432">
        <f t="shared" si="83"/>
        <v>0</v>
      </c>
      <c r="R126" s="432">
        <f t="shared" si="83"/>
        <v>0</v>
      </c>
      <c r="S126" s="432">
        <f t="shared" si="83"/>
        <v>0</v>
      </c>
      <c r="T126" s="432">
        <f t="shared" si="83"/>
        <v>0</v>
      </c>
      <c r="U126" s="432">
        <f t="shared" si="83"/>
        <v>0</v>
      </c>
      <c r="V126" s="432">
        <f t="shared" si="83"/>
        <v>0</v>
      </c>
      <c r="W126" s="432">
        <f t="shared" si="83"/>
        <v>0</v>
      </c>
      <c r="X126" s="432">
        <f t="shared" si="83"/>
        <v>0</v>
      </c>
      <c r="Y126" s="432">
        <f t="shared" si="83"/>
        <v>0</v>
      </c>
      <c r="Z126" s="432">
        <f t="shared" si="83"/>
        <v>0</v>
      </c>
      <c r="AA126" s="432">
        <f t="shared" si="83"/>
        <v>0</v>
      </c>
      <c r="AB126" s="432">
        <f t="shared" si="83"/>
        <v>0</v>
      </c>
      <c r="AC126" s="432">
        <f t="shared" si="83"/>
        <v>0</v>
      </c>
      <c r="AD126" s="432">
        <f t="shared" si="83"/>
        <v>0</v>
      </c>
      <c r="AE126" s="432">
        <f t="shared" si="83"/>
        <v>0</v>
      </c>
      <c r="AF126" s="432">
        <f t="shared" si="83"/>
        <v>0</v>
      </c>
      <c r="AG126" s="432">
        <f t="shared" si="83"/>
        <v>0</v>
      </c>
      <c r="AH126" s="432">
        <f t="shared" si="83"/>
        <v>0</v>
      </c>
      <c r="AI126" s="432">
        <f t="shared" si="83"/>
        <v>0</v>
      </c>
    </row>
    <row r="127" spans="1:35" s="587" customFormat="1">
      <c r="A127" s="1018" t="s">
        <v>545</v>
      </c>
      <c r="B127" s="432">
        <f>B87+B100-B101</f>
        <v>0</v>
      </c>
      <c r="C127" s="433">
        <f t="shared" ref="C127:AI127" si="84">C87+C100-C101</f>
        <v>0</v>
      </c>
      <c r="D127" s="433">
        <f t="shared" si="84"/>
        <v>0</v>
      </c>
      <c r="E127" s="433">
        <f t="shared" si="84"/>
        <v>0</v>
      </c>
      <c r="F127" s="433">
        <f t="shared" si="84"/>
        <v>0</v>
      </c>
      <c r="G127" s="433">
        <f t="shared" si="84"/>
        <v>0</v>
      </c>
      <c r="H127" s="433">
        <f t="shared" si="84"/>
        <v>0</v>
      </c>
      <c r="I127" s="433">
        <f t="shared" si="84"/>
        <v>0</v>
      </c>
      <c r="J127" s="433">
        <f t="shared" si="84"/>
        <v>0</v>
      </c>
      <c r="K127" s="433">
        <f t="shared" si="84"/>
        <v>0</v>
      </c>
      <c r="L127" s="433">
        <f t="shared" si="84"/>
        <v>0</v>
      </c>
      <c r="M127" s="433">
        <f t="shared" si="84"/>
        <v>0</v>
      </c>
      <c r="N127" s="433">
        <f t="shared" si="84"/>
        <v>0</v>
      </c>
      <c r="O127" s="433">
        <f t="shared" si="84"/>
        <v>0</v>
      </c>
      <c r="P127" s="433">
        <f t="shared" si="84"/>
        <v>0</v>
      </c>
      <c r="Q127" s="433">
        <f t="shared" si="84"/>
        <v>0</v>
      </c>
      <c r="R127" s="433">
        <f t="shared" si="84"/>
        <v>0</v>
      </c>
      <c r="S127" s="433">
        <f t="shared" si="84"/>
        <v>0</v>
      </c>
      <c r="T127" s="433">
        <f t="shared" si="84"/>
        <v>0</v>
      </c>
      <c r="U127" s="433">
        <f t="shared" si="84"/>
        <v>0</v>
      </c>
      <c r="V127" s="433">
        <f t="shared" si="84"/>
        <v>0</v>
      </c>
      <c r="W127" s="433">
        <f t="shared" si="84"/>
        <v>0</v>
      </c>
      <c r="X127" s="433">
        <f t="shared" si="84"/>
        <v>0</v>
      </c>
      <c r="Y127" s="433">
        <f t="shared" si="84"/>
        <v>0</v>
      </c>
      <c r="Z127" s="433">
        <f t="shared" si="84"/>
        <v>0</v>
      </c>
      <c r="AA127" s="433">
        <f t="shared" si="84"/>
        <v>0</v>
      </c>
      <c r="AB127" s="433">
        <f t="shared" si="84"/>
        <v>0</v>
      </c>
      <c r="AC127" s="433">
        <f t="shared" si="84"/>
        <v>0</v>
      </c>
      <c r="AD127" s="433">
        <f t="shared" si="84"/>
        <v>0</v>
      </c>
      <c r="AE127" s="433">
        <f t="shared" si="84"/>
        <v>0</v>
      </c>
      <c r="AF127" s="433">
        <f t="shared" si="84"/>
        <v>0</v>
      </c>
      <c r="AG127" s="433">
        <f t="shared" si="84"/>
        <v>0</v>
      </c>
      <c r="AH127" s="433">
        <f t="shared" si="84"/>
        <v>0</v>
      </c>
      <c r="AI127" s="433">
        <f t="shared" si="84"/>
        <v>0</v>
      </c>
    </row>
    <row r="128" spans="1:35" s="587" customFormat="1">
      <c r="A128" s="1017" t="s">
        <v>108</v>
      </c>
      <c r="B128" s="432">
        <f>SUM(B103:B104,B107,-B108,B109:B113)-B114</f>
        <v>0</v>
      </c>
      <c r="C128" s="432">
        <f t="shared" ref="C128:AI128" si="85">SUM(C103:C104,C107,-C108,C109:C113)-C114</f>
        <v>0</v>
      </c>
      <c r="D128" s="432">
        <f t="shared" si="85"/>
        <v>0</v>
      </c>
      <c r="E128" s="432">
        <f t="shared" si="85"/>
        <v>0</v>
      </c>
      <c r="F128" s="432">
        <f t="shared" si="85"/>
        <v>0</v>
      </c>
      <c r="G128" s="432">
        <f t="shared" si="85"/>
        <v>0</v>
      </c>
      <c r="H128" s="432">
        <f t="shared" si="85"/>
        <v>0</v>
      </c>
      <c r="I128" s="432">
        <f t="shared" si="85"/>
        <v>0</v>
      </c>
      <c r="J128" s="432">
        <f t="shared" si="85"/>
        <v>0</v>
      </c>
      <c r="K128" s="432">
        <f t="shared" si="85"/>
        <v>0</v>
      </c>
      <c r="L128" s="432">
        <f t="shared" si="85"/>
        <v>0</v>
      </c>
      <c r="M128" s="432">
        <f t="shared" si="85"/>
        <v>0</v>
      </c>
      <c r="N128" s="432">
        <f t="shared" si="85"/>
        <v>0</v>
      </c>
      <c r="O128" s="432">
        <f t="shared" si="85"/>
        <v>0</v>
      </c>
      <c r="P128" s="432">
        <f t="shared" si="85"/>
        <v>0</v>
      </c>
      <c r="Q128" s="432">
        <f t="shared" si="85"/>
        <v>0</v>
      </c>
      <c r="R128" s="432">
        <f t="shared" si="85"/>
        <v>0</v>
      </c>
      <c r="S128" s="432">
        <f t="shared" si="85"/>
        <v>0</v>
      </c>
      <c r="T128" s="432">
        <f t="shared" si="85"/>
        <v>0</v>
      </c>
      <c r="U128" s="432">
        <f t="shared" si="85"/>
        <v>0</v>
      </c>
      <c r="V128" s="432">
        <f t="shared" si="85"/>
        <v>0</v>
      </c>
      <c r="W128" s="432">
        <f t="shared" si="85"/>
        <v>0</v>
      </c>
      <c r="X128" s="432">
        <f t="shared" si="85"/>
        <v>0</v>
      </c>
      <c r="Y128" s="432">
        <f t="shared" si="85"/>
        <v>0</v>
      </c>
      <c r="Z128" s="432">
        <f t="shared" si="85"/>
        <v>0</v>
      </c>
      <c r="AA128" s="432">
        <f t="shared" si="85"/>
        <v>0</v>
      </c>
      <c r="AB128" s="432">
        <f t="shared" si="85"/>
        <v>0</v>
      </c>
      <c r="AC128" s="432">
        <f t="shared" si="85"/>
        <v>0</v>
      </c>
      <c r="AD128" s="432">
        <f t="shared" si="85"/>
        <v>0</v>
      </c>
      <c r="AE128" s="432">
        <f t="shared" si="85"/>
        <v>0</v>
      </c>
      <c r="AF128" s="432">
        <f t="shared" si="85"/>
        <v>0</v>
      </c>
      <c r="AG128" s="432">
        <f t="shared" si="85"/>
        <v>0</v>
      </c>
      <c r="AH128" s="432">
        <f t="shared" si="85"/>
        <v>0</v>
      </c>
      <c r="AI128" s="432">
        <f t="shared" si="85"/>
        <v>0</v>
      </c>
    </row>
    <row r="129" spans="1:35" s="587" customFormat="1">
      <c r="A129" s="1017" t="s">
        <v>110</v>
      </c>
      <c r="B129" s="432">
        <f>B114+B115-B116</f>
        <v>0</v>
      </c>
      <c r="C129" s="433">
        <f>C114+C115-C116</f>
        <v>0</v>
      </c>
      <c r="D129" s="433">
        <f t="shared" ref="D129:AI129" si="86">D114+D115-D116</f>
        <v>0</v>
      </c>
      <c r="E129" s="433">
        <f t="shared" si="86"/>
        <v>0</v>
      </c>
      <c r="F129" s="433">
        <f t="shared" si="86"/>
        <v>0</v>
      </c>
      <c r="G129" s="433">
        <f t="shared" si="86"/>
        <v>0</v>
      </c>
      <c r="H129" s="433">
        <f t="shared" si="86"/>
        <v>0</v>
      </c>
      <c r="I129" s="433">
        <f t="shared" si="86"/>
        <v>0</v>
      </c>
      <c r="J129" s="433">
        <f t="shared" si="86"/>
        <v>0</v>
      </c>
      <c r="K129" s="433">
        <f t="shared" si="86"/>
        <v>0</v>
      </c>
      <c r="L129" s="433">
        <f t="shared" si="86"/>
        <v>0</v>
      </c>
      <c r="M129" s="433">
        <f t="shared" si="86"/>
        <v>0</v>
      </c>
      <c r="N129" s="433">
        <f t="shared" si="86"/>
        <v>0</v>
      </c>
      <c r="O129" s="433">
        <f t="shared" si="86"/>
        <v>0</v>
      </c>
      <c r="P129" s="433">
        <f t="shared" si="86"/>
        <v>0</v>
      </c>
      <c r="Q129" s="433">
        <f t="shared" si="86"/>
        <v>0</v>
      </c>
      <c r="R129" s="433">
        <f t="shared" si="86"/>
        <v>0</v>
      </c>
      <c r="S129" s="433">
        <f t="shared" si="86"/>
        <v>0</v>
      </c>
      <c r="T129" s="433">
        <f t="shared" si="86"/>
        <v>0</v>
      </c>
      <c r="U129" s="433">
        <f t="shared" si="86"/>
        <v>0</v>
      </c>
      <c r="V129" s="433">
        <f t="shared" si="86"/>
        <v>0</v>
      </c>
      <c r="W129" s="433">
        <f t="shared" si="86"/>
        <v>0</v>
      </c>
      <c r="X129" s="433">
        <f t="shared" si="86"/>
        <v>0</v>
      </c>
      <c r="Y129" s="433">
        <f t="shared" si="86"/>
        <v>0</v>
      </c>
      <c r="Z129" s="433">
        <f t="shared" si="86"/>
        <v>0</v>
      </c>
      <c r="AA129" s="433">
        <f t="shared" si="86"/>
        <v>0</v>
      </c>
      <c r="AB129" s="433">
        <f t="shared" si="86"/>
        <v>0</v>
      </c>
      <c r="AC129" s="433">
        <f t="shared" si="86"/>
        <v>0</v>
      </c>
      <c r="AD129" s="433">
        <f t="shared" si="86"/>
        <v>0</v>
      </c>
      <c r="AE129" s="433">
        <f t="shared" si="86"/>
        <v>0</v>
      </c>
      <c r="AF129" s="433">
        <f t="shared" si="86"/>
        <v>0</v>
      </c>
      <c r="AG129" s="433">
        <f t="shared" si="86"/>
        <v>0</v>
      </c>
      <c r="AH129" s="433">
        <f t="shared" si="86"/>
        <v>0</v>
      </c>
      <c r="AI129" s="433">
        <f t="shared" si="86"/>
        <v>0</v>
      </c>
    </row>
    <row r="130" spans="1:35" s="587" customFormat="1">
      <c r="A130" s="1018" t="s">
        <v>546</v>
      </c>
      <c r="B130" s="432">
        <f>B101+B116-B117</f>
        <v>0</v>
      </c>
      <c r="C130" s="433">
        <f t="shared" ref="C130:AI130" si="87">C101+C116-C117</f>
        <v>0</v>
      </c>
      <c r="D130" s="433">
        <f t="shared" si="87"/>
        <v>0</v>
      </c>
      <c r="E130" s="433">
        <f t="shared" si="87"/>
        <v>0</v>
      </c>
      <c r="F130" s="433">
        <f t="shared" si="87"/>
        <v>0</v>
      </c>
      <c r="G130" s="433">
        <f t="shared" si="87"/>
        <v>0</v>
      </c>
      <c r="H130" s="433">
        <f t="shared" si="87"/>
        <v>0</v>
      </c>
      <c r="I130" s="433">
        <f t="shared" si="87"/>
        <v>0</v>
      </c>
      <c r="J130" s="433">
        <f t="shared" si="87"/>
        <v>0</v>
      </c>
      <c r="K130" s="433">
        <f t="shared" si="87"/>
        <v>0</v>
      </c>
      <c r="L130" s="433">
        <f t="shared" si="87"/>
        <v>0</v>
      </c>
      <c r="M130" s="433">
        <f t="shared" si="87"/>
        <v>0</v>
      </c>
      <c r="N130" s="433">
        <f t="shared" si="87"/>
        <v>0</v>
      </c>
      <c r="O130" s="433">
        <f t="shared" si="87"/>
        <v>0</v>
      </c>
      <c r="P130" s="433">
        <f t="shared" si="87"/>
        <v>0</v>
      </c>
      <c r="Q130" s="433">
        <f t="shared" si="87"/>
        <v>0</v>
      </c>
      <c r="R130" s="433">
        <f t="shared" si="87"/>
        <v>0</v>
      </c>
      <c r="S130" s="433">
        <f t="shared" si="87"/>
        <v>0</v>
      </c>
      <c r="T130" s="433">
        <f t="shared" si="87"/>
        <v>0</v>
      </c>
      <c r="U130" s="433">
        <f t="shared" si="87"/>
        <v>0</v>
      </c>
      <c r="V130" s="433">
        <f t="shared" si="87"/>
        <v>0</v>
      </c>
      <c r="W130" s="433">
        <f t="shared" si="87"/>
        <v>0</v>
      </c>
      <c r="X130" s="433">
        <f t="shared" si="87"/>
        <v>0</v>
      </c>
      <c r="Y130" s="433">
        <f t="shared" si="87"/>
        <v>0</v>
      </c>
      <c r="Z130" s="433">
        <f t="shared" si="87"/>
        <v>0</v>
      </c>
      <c r="AA130" s="433">
        <f t="shared" si="87"/>
        <v>0</v>
      </c>
      <c r="AB130" s="433">
        <f t="shared" si="87"/>
        <v>0</v>
      </c>
      <c r="AC130" s="433">
        <f t="shared" si="87"/>
        <v>0</v>
      </c>
      <c r="AD130" s="433">
        <f t="shared" si="87"/>
        <v>0</v>
      </c>
      <c r="AE130" s="433">
        <f t="shared" si="87"/>
        <v>0</v>
      </c>
      <c r="AF130" s="433">
        <f t="shared" si="87"/>
        <v>0</v>
      </c>
      <c r="AG130" s="433">
        <f t="shared" si="87"/>
        <v>0</v>
      </c>
      <c r="AH130" s="433">
        <f t="shared" si="87"/>
        <v>0</v>
      </c>
      <c r="AI130" s="433">
        <f t="shared" si="87"/>
        <v>0</v>
      </c>
    </row>
    <row r="132" spans="1:35">
      <c r="A132" s="1019"/>
    </row>
  </sheetData>
  <phoneticPr fontId="13" type="noConversion"/>
  <printOptions horizontalCentered="1"/>
  <pageMargins left="0.74803149606299202" right="0.74803149606299202" top="0.98425196850393704" bottom="0.98425196850393704" header="0.511811023622047" footer="0.511811023622047"/>
  <pageSetup paperSize="9" scale="20" orientation="portrait" cellComments="asDisplayed" r:id="rId1"/>
  <headerFooter alignWithMargins="0">
    <oddHeader>&amp;C&amp;F/&amp;A&amp;R
&amp;T  &amp;D</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outlinePr summaryRight="0"/>
    <pageSetUpPr fitToPage="1"/>
  </sheetPr>
  <dimension ref="A1:AI101"/>
  <sheetViews>
    <sheetView showZeros="0" workbookViewId="0">
      <pane xSplit="1" ySplit="5" topLeftCell="G6" activePane="bottomRight" state="frozen"/>
      <selection activeCell="H6" sqref="H6"/>
      <selection pane="topRight" activeCell="H6" sqref="H6"/>
      <selection pane="bottomLeft" activeCell="H6" sqref="H6"/>
      <selection pane="bottomRight" activeCell="L77" sqref="L77"/>
    </sheetView>
  </sheetViews>
  <sheetFormatPr defaultColWidth="9" defaultRowHeight="12.75" outlineLevelCol="1"/>
  <cols>
    <col min="1" max="1" width="33.5" style="903" customWidth="1"/>
    <col min="2" max="2" width="12.5" style="383" bestFit="1" customWidth="1"/>
    <col min="3" max="3" width="13.375" style="383" customWidth="1" outlineLevel="1"/>
    <col min="4" max="4" width="12" style="383" customWidth="1" outlineLevel="1"/>
    <col min="5" max="5" width="13.625" style="383" bestFit="1" customWidth="1"/>
    <col min="6" max="6" width="14.375" style="383" bestFit="1" customWidth="1"/>
    <col min="7" max="7" width="12.75" style="383" customWidth="1" outlineLevel="1"/>
    <col min="8" max="8" width="13" style="383" customWidth="1" outlineLevel="1"/>
    <col min="9" max="9" width="13.125" style="383" customWidth="1" outlineLevel="1"/>
    <col min="10" max="10" width="12.5" style="383" customWidth="1" outlineLevel="1"/>
    <col min="11" max="11" width="13.625" style="383" bestFit="1" customWidth="1" outlineLevel="1"/>
    <col min="12" max="20" width="7.875" style="383" customWidth="1" outlineLevel="1"/>
    <col min="21" max="21" width="8.625" style="383" customWidth="1" outlineLevel="1"/>
    <col min="22" max="22" width="9" style="383" outlineLevel="1"/>
    <col min="23" max="23" width="8.875" style="383" customWidth="1" outlineLevel="1"/>
    <col min="24" max="24" width="9" style="383" bestFit="1"/>
    <col min="25" max="25" width="9.75" style="383" bestFit="1" customWidth="1"/>
    <col min="26" max="34" width="9" style="383"/>
    <col min="35" max="35" width="11.5" style="383" bestFit="1" customWidth="1"/>
    <col min="36" max="16384" width="9" style="383"/>
  </cols>
  <sheetData>
    <row r="1" spans="1:35" ht="18.75">
      <c r="A1" s="902" t="s">
        <v>994</v>
      </c>
      <c r="B1" s="389"/>
      <c r="X1" s="389"/>
    </row>
    <row r="2" spans="1:35">
      <c r="A2" s="903" t="str">
        <f>CONCATENATE("客户名称：",说明!E23)</f>
        <v>客户名称：</v>
      </c>
      <c r="B2" s="389"/>
      <c r="X2" s="389"/>
    </row>
    <row r="3" spans="1:35">
      <c r="A3" s="903" t="str">
        <f>CONCATENATE("会计期间：",说明!E29)</f>
        <v>会计期间：2018年度</v>
      </c>
      <c r="B3" s="389"/>
      <c r="X3" s="389"/>
    </row>
    <row r="4" spans="1:35" s="386" customFormat="1">
      <c r="A4" s="904"/>
      <c r="B4" s="384"/>
      <c r="X4" s="386">
        <v>1</v>
      </c>
      <c r="Y4" s="386">
        <v>2</v>
      </c>
      <c r="Z4" s="386">
        <v>3</v>
      </c>
      <c r="AA4" s="386">
        <v>4</v>
      </c>
      <c r="AB4" s="386">
        <v>5</v>
      </c>
      <c r="AC4" s="386">
        <v>6</v>
      </c>
      <c r="AD4" s="386">
        <v>7</v>
      </c>
      <c r="AE4" s="386">
        <v>8</v>
      </c>
      <c r="AF4" s="386">
        <v>9</v>
      </c>
      <c r="AG4" s="386">
        <v>10</v>
      </c>
      <c r="AI4" s="386" t="s">
        <v>515</v>
      </c>
    </row>
    <row r="5" spans="1:35" s="385" customFormat="1">
      <c r="A5" s="906" t="str">
        <f>报表格式!L4</f>
        <v>报表项目</v>
      </c>
      <c r="B5" s="424" t="s">
        <v>516</v>
      </c>
      <c r="C5" s="425" t="s">
        <v>517</v>
      </c>
      <c r="D5" s="425" t="s">
        <v>518</v>
      </c>
      <c r="E5" s="424" t="s">
        <v>519</v>
      </c>
      <c r="F5" s="426" t="s">
        <v>520</v>
      </c>
      <c r="G5" s="427" t="s">
        <v>521</v>
      </c>
      <c r="H5" s="427" t="s">
        <v>522</v>
      </c>
      <c r="I5" s="427" t="s">
        <v>523</v>
      </c>
      <c r="J5" s="426" t="s">
        <v>524</v>
      </c>
      <c r="K5" s="427" t="s">
        <v>525</v>
      </c>
      <c r="L5" s="428" t="s">
        <v>526</v>
      </c>
      <c r="M5" s="428" t="s">
        <v>486</v>
      </c>
      <c r="N5" s="428" t="s">
        <v>487</v>
      </c>
      <c r="O5" s="428" t="s">
        <v>488</v>
      </c>
      <c r="P5" s="428" t="s">
        <v>489</v>
      </c>
      <c r="Q5" s="428" t="s">
        <v>490</v>
      </c>
      <c r="R5" s="428" t="s">
        <v>491</v>
      </c>
      <c r="S5" s="428" t="s">
        <v>492</v>
      </c>
      <c r="T5" s="428" t="s">
        <v>493</v>
      </c>
      <c r="U5" s="428" t="s">
        <v>494</v>
      </c>
      <c r="V5" s="428"/>
      <c r="W5" s="428" t="s">
        <v>527</v>
      </c>
      <c r="X5" s="425" t="s">
        <v>528</v>
      </c>
      <c r="Y5" s="425" t="s">
        <v>529</v>
      </c>
      <c r="Z5" s="425" t="s">
        <v>530</v>
      </c>
      <c r="AA5" s="425" t="s">
        <v>531</v>
      </c>
      <c r="AB5" s="425" t="s">
        <v>532</v>
      </c>
      <c r="AC5" s="425" t="s">
        <v>533</v>
      </c>
      <c r="AD5" s="425" t="s">
        <v>534</v>
      </c>
      <c r="AE5" s="425" t="s">
        <v>535</v>
      </c>
      <c r="AF5" s="425" t="s">
        <v>536</v>
      </c>
      <c r="AG5" s="425" t="s">
        <v>537</v>
      </c>
      <c r="AH5" s="429"/>
      <c r="AI5" s="430" t="s">
        <v>538</v>
      </c>
    </row>
    <row r="6" spans="1:35" s="389" customFormat="1">
      <c r="A6" s="910" t="str">
        <f>报表格式!L5</f>
        <v>一、营业收入</v>
      </c>
      <c r="B6" s="422">
        <f>SUM(C6:E6)</f>
        <v>0</v>
      </c>
      <c r="C6" s="422"/>
      <c r="D6" s="422"/>
      <c r="E6" s="393">
        <f t="shared" ref="E6:E83" si="0">SUM(F6,X6:AI6)</f>
        <v>0</v>
      </c>
      <c r="F6" s="422">
        <f>SUM(G6:J6)</f>
        <v>0</v>
      </c>
      <c r="G6" s="422"/>
      <c r="H6" s="422"/>
      <c r="I6" s="422"/>
      <c r="J6" s="422">
        <f>SUM(K6:W6)</f>
        <v>0</v>
      </c>
      <c r="K6" s="422"/>
      <c r="L6" s="422"/>
      <c r="M6" s="422"/>
      <c r="N6" s="422"/>
      <c r="O6" s="422"/>
      <c r="P6" s="422"/>
      <c r="Q6" s="422"/>
      <c r="R6" s="422"/>
      <c r="S6" s="422"/>
      <c r="T6" s="422"/>
      <c r="U6" s="422"/>
      <c r="V6" s="422"/>
      <c r="W6" s="422"/>
      <c r="X6" s="422"/>
      <c r="Y6" s="422"/>
      <c r="Z6" s="422"/>
      <c r="AA6" s="422"/>
      <c r="AB6" s="422"/>
      <c r="AC6" s="422"/>
      <c r="AD6" s="422"/>
      <c r="AE6" s="422"/>
      <c r="AF6" s="422"/>
      <c r="AG6" s="422"/>
      <c r="AH6" s="422"/>
      <c r="AI6" s="423"/>
    </row>
    <row r="7" spans="1:35">
      <c r="A7" s="914" t="str">
        <f>报表格式!L6</f>
        <v xml:space="preserve">        其中：主营业务收入</v>
      </c>
      <c r="B7" s="393">
        <f t="shared" ref="B7:B77" si="1">SUM(C7:E7)</f>
        <v>0</v>
      </c>
      <c r="C7" s="393"/>
      <c r="D7" s="393"/>
      <c r="E7" s="393">
        <f t="shared" si="0"/>
        <v>0</v>
      </c>
      <c r="F7" s="393">
        <f t="shared" ref="F7:F50" si="2">SUM(G7:J7)</f>
        <v>0</v>
      </c>
      <c r="G7" s="393"/>
      <c r="H7" s="393"/>
      <c r="I7" s="393"/>
      <c r="J7" s="393">
        <f t="shared" ref="J7:J70" si="3">SUM(K7:W7)</f>
        <v>0</v>
      </c>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4"/>
    </row>
    <row r="8" spans="1:35">
      <c r="A8" s="905" t="str">
        <f>报表格式!L7</f>
        <v xml:space="preserve">              利息收入</v>
      </c>
      <c r="B8" s="393">
        <f t="shared" ref="B8:B10" si="4">SUM(C8:E8)</f>
        <v>0</v>
      </c>
      <c r="C8" s="393"/>
      <c r="D8" s="393"/>
      <c r="E8" s="393">
        <f t="shared" ref="E8:E10" si="5">SUM(F8,X8:AI8)</f>
        <v>0</v>
      </c>
      <c r="F8" s="393">
        <f t="shared" ref="F8:F10" si="6">SUM(G8:J8)</f>
        <v>0</v>
      </c>
      <c r="G8" s="393"/>
      <c r="H8" s="393"/>
      <c r="I8" s="393"/>
      <c r="J8" s="393">
        <f t="shared" ref="J8:J10" si="7">SUM(K8:W8)</f>
        <v>0</v>
      </c>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4"/>
    </row>
    <row r="9" spans="1:35">
      <c r="A9" s="905" t="str">
        <f>报表格式!L8</f>
        <v xml:space="preserve">              已赚保费</v>
      </c>
      <c r="B9" s="393">
        <f t="shared" si="4"/>
        <v>0</v>
      </c>
      <c r="C9" s="393"/>
      <c r="D9" s="393"/>
      <c r="E9" s="393">
        <f t="shared" si="5"/>
        <v>0</v>
      </c>
      <c r="F9" s="393">
        <f t="shared" si="6"/>
        <v>0</v>
      </c>
      <c r="G9" s="393"/>
      <c r="H9" s="393"/>
      <c r="I9" s="393"/>
      <c r="J9" s="393">
        <f t="shared" si="7"/>
        <v>0</v>
      </c>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4"/>
    </row>
    <row r="10" spans="1:35">
      <c r="A10" s="905" t="str">
        <f>报表格式!L9</f>
        <v xml:space="preserve">              手续费及佣金收入</v>
      </c>
      <c r="B10" s="393">
        <f t="shared" si="4"/>
        <v>0</v>
      </c>
      <c r="C10" s="393"/>
      <c r="D10" s="393"/>
      <c r="E10" s="393">
        <f t="shared" si="5"/>
        <v>0</v>
      </c>
      <c r="F10" s="393">
        <f t="shared" si="6"/>
        <v>0</v>
      </c>
      <c r="G10" s="393"/>
      <c r="H10" s="393"/>
      <c r="I10" s="393"/>
      <c r="J10" s="393">
        <f t="shared" si="7"/>
        <v>0</v>
      </c>
      <c r="K10" s="393"/>
      <c r="L10" s="393"/>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4"/>
    </row>
    <row r="11" spans="1:35">
      <c r="A11" s="905" t="str">
        <f>报表格式!L10</f>
        <v xml:space="preserve">              其他业务收入</v>
      </c>
      <c r="B11" s="393">
        <f t="shared" si="1"/>
        <v>0</v>
      </c>
      <c r="C11" s="393"/>
      <c r="D11" s="393"/>
      <c r="E11" s="393">
        <f t="shared" si="0"/>
        <v>0</v>
      </c>
      <c r="F11" s="393">
        <f t="shared" si="2"/>
        <v>0</v>
      </c>
      <c r="G11" s="393"/>
      <c r="H11" s="393"/>
      <c r="I11" s="393"/>
      <c r="J11" s="393">
        <f t="shared" si="3"/>
        <v>0</v>
      </c>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4"/>
    </row>
    <row r="12" spans="1:35">
      <c r="A12" s="914" t="str">
        <f>报表格式!L11</f>
        <v xml:space="preserve">    减：营业成本</v>
      </c>
      <c r="B12" s="393">
        <f t="shared" si="1"/>
        <v>0</v>
      </c>
      <c r="C12" s="393"/>
      <c r="D12" s="393"/>
      <c r="E12" s="393">
        <f t="shared" si="0"/>
        <v>0</v>
      </c>
      <c r="F12" s="393">
        <f t="shared" si="2"/>
        <v>0</v>
      </c>
      <c r="G12" s="393"/>
      <c r="H12" s="393"/>
      <c r="I12" s="393"/>
      <c r="J12" s="393">
        <f t="shared" si="3"/>
        <v>0</v>
      </c>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4"/>
    </row>
    <row r="13" spans="1:35">
      <c r="A13" s="914" t="str">
        <f>报表格式!L12</f>
        <v xml:space="preserve">        其中：主营业务成本</v>
      </c>
      <c r="B13" s="393">
        <f t="shared" si="1"/>
        <v>0</v>
      </c>
      <c r="C13" s="393"/>
      <c r="D13" s="393"/>
      <c r="E13" s="393">
        <f t="shared" si="0"/>
        <v>0</v>
      </c>
      <c r="F13" s="393">
        <f t="shared" si="2"/>
        <v>0</v>
      </c>
      <c r="G13" s="393"/>
      <c r="H13" s="393"/>
      <c r="I13" s="393"/>
      <c r="J13" s="393">
        <f t="shared" si="3"/>
        <v>0</v>
      </c>
      <c r="K13" s="393"/>
      <c r="L13" s="393"/>
      <c r="M13" s="393"/>
      <c r="N13" s="393"/>
      <c r="O13" s="393"/>
      <c r="P13" s="393"/>
      <c r="Q13" s="393"/>
      <c r="R13" s="393"/>
      <c r="S13" s="393"/>
      <c r="T13" s="393"/>
      <c r="U13" s="393"/>
      <c r="V13" s="393"/>
      <c r="W13" s="393"/>
      <c r="X13" s="393"/>
      <c r="Y13" s="393"/>
      <c r="Z13" s="393"/>
      <c r="AA13" s="393"/>
      <c r="AB13" s="393"/>
      <c r="AC13" s="393"/>
      <c r="AD13" s="393"/>
      <c r="AE13" s="393"/>
      <c r="AF13" s="393"/>
      <c r="AG13" s="393"/>
      <c r="AH13" s="393"/>
      <c r="AI13" s="394"/>
    </row>
    <row r="14" spans="1:35">
      <c r="A14" s="905" t="str">
        <f>报表格式!L13</f>
        <v xml:space="preserve">              利息支出</v>
      </c>
      <c r="B14" s="393">
        <f t="shared" ref="B14" si="8">SUM(C14:E14)</f>
        <v>0</v>
      </c>
      <c r="C14" s="393"/>
      <c r="D14" s="393"/>
      <c r="E14" s="393">
        <f t="shared" ref="E14" si="9">SUM(F14,X14:AI14)</f>
        <v>0</v>
      </c>
      <c r="F14" s="393">
        <f t="shared" ref="F14" si="10">SUM(G14:J14)</f>
        <v>0</v>
      </c>
      <c r="G14" s="393"/>
      <c r="H14" s="393"/>
      <c r="I14" s="393"/>
      <c r="J14" s="393">
        <f t="shared" ref="J14" si="11">SUM(K14:W14)</f>
        <v>0</v>
      </c>
      <c r="K14" s="393"/>
      <c r="L14" s="393"/>
      <c r="M14" s="393"/>
      <c r="N14" s="393"/>
      <c r="O14" s="393"/>
      <c r="P14" s="393"/>
      <c r="Q14" s="393"/>
      <c r="R14" s="393"/>
      <c r="S14" s="393"/>
      <c r="T14" s="393"/>
      <c r="U14" s="393"/>
      <c r="V14" s="393"/>
      <c r="W14" s="393"/>
      <c r="X14" s="393"/>
      <c r="Y14" s="393"/>
      <c r="Z14" s="393"/>
      <c r="AA14" s="393"/>
      <c r="AB14" s="393"/>
      <c r="AC14" s="393"/>
      <c r="AD14" s="393"/>
      <c r="AE14" s="393"/>
      <c r="AF14" s="393"/>
      <c r="AG14" s="393"/>
      <c r="AH14" s="393"/>
      <c r="AI14" s="394"/>
    </row>
    <row r="15" spans="1:35">
      <c r="A15" s="905" t="str">
        <f>报表格式!L14</f>
        <v xml:space="preserve">              手续费及佣金支出</v>
      </c>
      <c r="B15" s="393">
        <f t="shared" ref="B15:B20" si="12">SUM(C15:E15)</f>
        <v>0</v>
      </c>
      <c r="C15" s="393"/>
      <c r="D15" s="393"/>
      <c r="E15" s="393">
        <f t="shared" ref="E15:E20" si="13">SUM(F15,X15:AI15)</f>
        <v>0</v>
      </c>
      <c r="F15" s="393">
        <f t="shared" ref="F15:F20" si="14">SUM(G15:J15)</f>
        <v>0</v>
      </c>
      <c r="G15" s="393"/>
      <c r="H15" s="393"/>
      <c r="I15" s="393"/>
      <c r="J15" s="393">
        <f t="shared" ref="J15:J20" si="15">SUM(K15:W15)</f>
        <v>0</v>
      </c>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4"/>
    </row>
    <row r="16" spans="1:35">
      <c r="A16" s="905" t="str">
        <f>报表格式!L15</f>
        <v xml:space="preserve">              退保金</v>
      </c>
      <c r="B16" s="393">
        <f t="shared" si="12"/>
        <v>0</v>
      </c>
      <c r="C16" s="393"/>
      <c r="D16" s="393"/>
      <c r="E16" s="393">
        <f t="shared" si="13"/>
        <v>0</v>
      </c>
      <c r="F16" s="393">
        <f t="shared" si="14"/>
        <v>0</v>
      </c>
      <c r="G16" s="393"/>
      <c r="H16" s="393"/>
      <c r="I16" s="393"/>
      <c r="J16" s="393">
        <f t="shared" si="15"/>
        <v>0</v>
      </c>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93"/>
      <c r="AH16" s="393"/>
      <c r="AI16" s="394"/>
    </row>
    <row r="17" spans="1:35">
      <c r="A17" s="905" t="str">
        <f>报表格式!L16</f>
        <v xml:space="preserve">              赔付支出净额</v>
      </c>
      <c r="B17" s="393">
        <f t="shared" si="12"/>
        <v>0</v>
      </c>
      <c r="C17" s="393"/>
      <c r="D17" s="393"/>
      <c r="E17" s="393">
        <f t="shared" si="13"/>
        <v>0</v>
      </c>
      <c r="F17" s="393">
        <f t="shared" si="14"/>
        <v>0</v>
      </c>
      <c r="G17" s="393"/>
      <c r="H17" s="393"/>
      <c r="I17" s="393"/>
      <c r="J17" s="393">
        <f t="shared" si="15"/>
        <v>0</v>
      </c>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4"/>
    </row>
    <row r="18" spans="1:35">
      <c r="A18" s="905" t="str">
        <f>报表格式!L17</f>
        <v xml:space="preserve">              提取保险合同准备金净额</v>
      </c>
      <c r="B18" s="393">
        <f t="shared" si="12"/>
        <v>0</v>
      </c>
      <c r="C18" s="393"/>
      <c r="D18" s="393"/>
      <c r="E18" s="393">
        <f t="shared" si="13"/>
        <v>0</v>
      </c>
      <c r="F18" s="393">
        <f t="shared" si="14"/>
        <v>0</v>
      </c>
      <c r="G18" s="393"/>
      <c r="H18" s="393"/>
      <c r="I18" s="393"/>
      <c r="J18" s="393">
        <f t="shared" si="15"/>
        <v>0</v>
      </c>
      <c r="K18" s="393"/>
      <c r="L18" s="393"/>
      <c r="M18" s="393"/>
      <c r="N18" s="393"/>
      <c r="O18" s="393"/>
      <c r="P18" s="393"/>
      <c r="Q18" s="393"/>
      <c r="R18" s="393"/>
      <c r="S18" s="393"/>
      <c r="T18" s="393"/>
      <c r="U18" s="393"/>
      <c r="V18" s="393"/>
      <c r="W18" s="393"/>
      <c r="X18" s="393"/>
      <c r="Y18" s="393"/>
      <c r="Z18" s="393"/>
      <c r="AA18" s="393"/>
      <c r="AB18" s="393"/>
      <c r="AC18" s="393"/>
      <c r="AD18" s="393"/>
      <c r="AE18" s="393"/>
      <c r="AF18" s="393"/>
      <c r="AG18" s="393"/>
      <c r="AH18" s="393"/>
      <c r="AI18" s="394"/>
    </row>
    <row r="19" spans="1:35">
      <c r="A19" s="905" t="str">
        <f>报表格式!L18</f>
        <v xml:space="preserve">              保单红利支出</v>
      </c>
      <c r="B19" s="393">
        <f t="shared" si="12"/>
        <v>0</v>
      </c>
      <c r="C19" s="393"/>
      <c r="D19" s="393"/>
      <c r="E19" s="393">
        <f t="shared" si="13"/>
        <v>0</v>
      </c>
      <c r="F19" s="393">
        <f t="shared" si="14"/>
        <v>0</v>
      </c>
      <c r="G19" s="393"/>
      <c r="H19" s="393"/>
      <c r="I19" s="393"/>
      <c r="J19" s="393">
        <f t="shared" si="15"/>
        <v>0</v>
      </c>
      <c r="K19" s="393"/>
      <c r="L19" s="393"/>
      <c r="M19" s="393"/>
      <c r="N19" s="393"/>
      <c r="O19" s="393"/>
      <c r="P19" s="393"/>
      <c r="Q19" s="393"/>
      <c r="R19" s="393"/>
      <c r="S19" s="393"/>
      <c r="T19" s="393"/>
      <c r="U19" s="393"/>
      <c r="V19" s="393"/>
      <c r="W19" s="393"/>
      <c r="X19" s="393"/>
      <c r="Y19" s="393"/>
      <c r="Z19" s="393"/>
      <c r="AA19" s="393"/>
      <c r="AB19" s="393"/>
      <c r="AC19" s="393"/>
      <c r="AD19" s="393"/>
      <c r="AE19" s="393"/>
      <c r="AF19" s="393"/>
      <c r="AG19" s="393"/>
      <c r="AH19" s="393"/>
      <c r="AI19" s="394"/>
    </row>
    <row r="20" spans="1:35">
      <c r="A20" s="905" t="str">
        <f>报表格式!L19</f>
        <v xml:space="preserve">              分保费用</v>
      </c>
      <c r="B20" s="393">
        <f t="shared" si="12"/>
        <v>0</v>
      </c>
      <c r="C20" s="393"/>
      <c r="D20" s="393"/>
      <c r="E20" s="393">
        <f t="shared" si="13"/>
        <v>0</v>
      </c>
      <c r="F20" s="393">
        <f t="shared" si="14"/>
        <v>0</v>
      </c>
      <c r="G20" s="393"/>
      <c r="H20" s="393"/>
      <c r="I20" s="393"/>
      <c r="J20" s="393">
        <f t="shared" si="15"/>
        <v>0</v>
      </c>
      <c r="K20" s="393"/>
      <c r="L20" s="393"/>
      <c r="M20" s="393"/>
      <c r="N20" s="393"/>
      <c r="O20" s="393"/>
      <c r="P20" s="393"/>
      <c r="Q20" s="393"/>
      <c r="R20" s="393"/>
      <c r="S20" s="393"/>
      <c r="T20" s="393"/>
      <c r="U20" s="393"/>
      <c r="V20" s="393"/>
      <c r="W20" s="393"/>
      <c r="X20" s="393"/>
      <c r="Y20" s="393"/>
      <c r="Z20" s="393"/>
      <c r="AA20" s="393"/>
      <c r="AB20" s="393"/>
      <c r="AC20" s="393"/>
      <c r="AD20" s="393"/>
      <c r="AE20" s="393"/>
      <c r="AF20" s="393"/>
      <c r="AG20" s="393"/>
      <c r="AH20" s="393"/>
      <c r="AI20" s="394"/>
    </row>
    <row r="21" spans="1:35">
      <c r="A21" s="905" t="str">
        <f>报表格式!L20</f>
        <v xml:space="preserve">              其他业务成本</v>
      </c>
      <c r="B21" s="393">
        <f t="shared" si="1"/>
        <v>0</v>
      </c>
      <c r="C21" s="393"/>
      <c r="D21" s="393"/>
      <c r="E21" s="393">
        <f t="shared" si="0"/>
        <v>0</v>
      </c>
      <c r="F21" s="393">
        <f t="shared" si="2"/>
        <v>0</v>
      </c>
      <c r="G21" s="393"/>
      <c r="H21" s="393"/>
      <c r="I21" s="393"/>
      <c r="J21" s="393">
        <f t="shared" si="3"/>
        <v>0</v>
      </c>
      <c r="K21" s="393"/>
      <c r="L21" s="393"/>
      <c r="M21" s="393"/>
      <c r="N21" s="393"/>
      <c r="O21" s="393"/>
      <c r="P21" s="393"/>
      <c r="Q21" s="393"/>
      <c r="R21" s="393"/>
      <c r="S21" s="393"/>
      <c r="T21" s="393"/>
      <c r="U21" s="393"/>
      <c r="V21" s="393"/>
      <c r="W21" s="393"/>
      <c r="X21" s="393"/>
      <c r="Y21" s="393"/>
      <c r="Z21" s="393"/>
      <c r="AA21" s="393"/>
      <c r="AB21" s="393"/>
      <c r="AC21" s="393"/>
      <c r="AD21" s="393"/>
      <c r="AE21" s="393"/>
      <c r="AF21" s="393"/>
      <c r="AG21" s="393"/>
      <c r="AH21" s="393"/>
      <c r="AI21" s="394"/>
    </row>
    <row r="22" spans="1:35">
      <c r="A22" s="914" t="str">
        <f>报表格式!L21</f>
        <v xml:space="preserve">        税金及附加</v>
      </c>
      <c r="B22" s="393">
        <f t="shared" si="1"/>
        <v>0</v>
      </c>
      <c r="C22" s="393"/>
      <c r="D22" s="393"/>
      <c r="E22" s="393">
        <f t="shared" si="0"/>
        <v>0</v>
      </c>
      <c r="F22" s="393">
        <f t="shared" si="2"/>
        <v>0</v>
      </c>
      <c r="G22" s="393"/>
      <c r="H22" s="393"/>
      <c r="I22" s="393"/>
      <c r="J22" s="393">
        <f t="shared" si="3"/>
        <v>0</v>
      </c>
      <c r="K22" s="393"/>
      <c r="L22" s="393"/>
      <c r="M22" s="393"/>
      <c r="N22" s="393"/>
      <c r="O22" s="393"/>
      <c r="P22" s="393"/>
      <c r="Q22" s="393"/>
      <c r="R22" s="393"/>
      <c r="S22" s="393"/>
      <c r="T22" s="393"/>
      <c r="U22" s="393"/>
      <c r="V22" s="393"/>
      <c r="W22" s="393"/>
      <c r="X22" s="393"/>
      <c r="Y22" s="393"/>
      <c r="Z22" s="393"/>
      <c r="AA22" s="393"/>
      <c r="AB22" s="393"/>
      <c r="AC22" s="393"/>
      <c r="AD22" s="393"/>
      <c r="AE22" s="393"/>
      <c r="AF22" s="393"/>
      <c r="AG22" s="393"/>
      <c r="AH22" s="393"/>
      <c r="AI22" s="394"/>
    </row>
    <row r="23" spans="1:35">
      <c r="A23" s="914" t="str">
        <f>报表格式!L22</f>
        <v xml:space="preserve">        销售费用</v>
      </c>
      <c r="B23" s="393">
        <f t="shared" si="1"/>
        <v>0</v>
      </c>
      <c r="C23" s="393"/>
      <c r="D23" s="393"/>
      <c r="E23" s="393">
        <f t="shared" si="0"/>
        <v>0</v>
      </c>
      <c r="F23" s="393">
        <f t="shared" si="2"/>
        <v>0</v>
      </c>
      <c r="G23" s="393"/>
      <c r="H23" s="393"/>
      <c r="I23" s="393"/>
      <c r="J23" s="393">
        <f t="shared" si="3"/>
        <v>0</v>
      </c>
      <c r="K23" s="393"/>
      <c r="L23" s="393"/>
      <c r="M23" s="393"/>
      <c r="N23" s="393"/>
      <c r="O23" s="393"/>
      <c r="P23" s="393"/>
      <c r="Q23" s="393"/>
      <c r="R23" s="393"/>
      <c r="S23" s="393"/>
      <c r="T23" s="393"/>
      <c r="U23" s="393"/>
      <c r="V23" s="393"/>
      <c r="W23" s="393"/>
      <c r="X23" s="393"/>
      <c r="Y23" s="393"/>
      <c r="Z23" s="393"/>
      <c r="AA23" s="393"/>
      <c r="AB23" s="393"/>
      <c r="AC23" s="393"/>
      <c r="AD23" s="393"/>
      <c r="AE23" s="393"/>
      <c r="AF23" s="393"/>
      <c r="AG23" s="393"/>
      <c r="AH23" s="393"/>
      <c r="AI23" s="394"/>
    </row>
    <row r="24" spans="1:35">
      <c r="A24" s="914" t="str">
        <f>报表格式!L23</f>
        <v xml:space="preserve">        管理费用</v>
      </c>
      <c r="B24" s="393">
        <f t="shared" si="1"/>
        <v>0</v>
      </c>
      <c r="C24" s="393"/>
      <c r="D24" s="393"/>
      <c r="E24" s="393">
        <f t="shared" si="0"/>
        <v>0</v>
      </c>
      <c r="F24" s="393">
        <f t="shared" si="2"/>
        <v>0</v>
      </c>
      <c r="G24" s="393"/>
      <c r="H24" s="393"/>
      <c r="I24" s="393"/>
      <c r="J24" s="393">
        <f t="shared" si="3"/>
        <v>0</v>
      </c>
      <c r="K24" s="393"/>
      <c r="L24" s="393"/>
      <c r="M24" s="393"/>
      <c r="N24" s="393"/>
      <c r="O24" s="393"/>
      <c r="P24" s="393"/>
      <c r="Q24" s="393"/>
      <c r="R24" s="393"/>
      <c r="S24" s="393"/>
      <c r="T24" s="393"/>
      <c r="U24" s="393"/>
      <c r="V24" s="393"/>
      <c r="W24" s="393"/>
      <c r="X24" s="393"/>
      <c r="Y24" s="393"/>
      <c r="Z24" s="393"/>
      <c r="AA24" s="393"/>
      <c r="AB24" s="393"/>
      <c r="AC24" s="393"/>
      <c r="AD24" s="393"/>
      <c r="AE24" s="393"/>
      <c r="AF24" s="393"/>
      <c r="AG24" s="393"/>
      <c r="AH24" s="393"/>
      <c r="AI24" s="394"/>
    </row>
    <row r="25" spans="1:35">
      <c r="A25" s="914" t="str">
        <f>报表格式!L24</f>
        <v xml:space="preserve">        研发费用</v>
      </c>
      <c r="B25" s="393">
        <f t="shared" si="1"/>
        <v>0</v>
      </c>
      <c r="C25" s="393"/>
      <c r="D25" s="393"/>
      <c r="E25" s="393">
        <f t="shared" si="0"/>
        <v>0</v>
      </c>
      <c r="F25" s="393">
        <f t="shared" si="2"/>
        <v>0</v>
      </c>
      <c r="G25" s="393"/>
      <c r="H25" s="393"/>
      <c r="I25" s="393"/>
      <c r="J25" s="393">
        <f t="shared" si="3"/>
        <v>0</v>
      </c>
      <c r="K25" s="393"/>
      <c r="L25" s="393"/>
      <c r="M25" s="393"/>
      <c r="N25" s="393"/>
      <c r="O25" s="393"/>
      <c r="P25" s="393"/>
      <c r="Q25" s="393"/>
      <c r="R25" s="393"/>
      <c r="S25" s="393"/>
      <c r="T25" s="393"/>
      <c r="U25" s="393"/>
      <c r="V25" s="393"/>
      <c r="W25" s="393"/>
      <c r="X25" s="393"/>
      <c r="Y25" s="393"/>
      <c r="Z25" s="393"/>
      <c r="AA25" s="393"/>
      <c r="AB25" s="393"/>
      <c r="AC25" s="393"/>
      <c r="AD25" s="393"/>
      <c r="AE25" s="393"/>
      <c r="AF25" s="393"/>
      <c r="AG25" s="393"/>
      <c r="AH25" s="393"/>
      <c r="AI25" s="394"/>
    </row>
    <row r="26" spans="1:35">
      <c r="A26" s="914" t="str">
        <f>报表格式!L25</f>
        <v xml:space="preserve">        财务费用</v>
      </c>
      <c r="B26" s="393">
        <f t="shared" si="1"/>
        <v>0</v>
      </c>
      <c r="C26" s="393"/>
      <c r="D26" s="393"/>
      <c r="E26" s="393">
        <f t="shared" si="0"/>
        <v>0</v>
      </c>
      <c r="F26" s="393">
        <f t="shared" si="2"/>
        <v>0</v>
      </c>
      <c r="G26" s="393"/>
      <c r="H26" s="393"/>
      <c r="I26" s="393"/>
      <c r="J26" s="393">
        <f t="shared" si="3"/>
        <v>0</v>
      </c>
      <c r="K26" s="393"/>
      <c r="L26" s="393"/>
      <c r="M26" s="393"/>
      <c r="N26" s="393"/>
      <c r="O26" s="393"/>
      <c r="P26" s="393"/>
      <c r="Q26" s="393"/>
      <c r="R26" s="393"/>
      <c r="S26" s="393"/>
      <c r="T26" s="393"/>
      <c r="U26" s="393"/>
      <c r="V26" s="393"/>
      <c r="W26" s="393"/>
      <c r="X26" s="393"/>
      <c r="Y26" s="393"/>
      <c r="Z26" s="393"/>
      <c r="AA26" s="393"/>
      <c r="AB26" s="393"/>
      <c r="AC26" s="393"/>
      <c r="AD26" s="393"/>
      <c r="AE26" s="393"/>
      <c r="AF26" s="393"/>
      <c r="AG26" s="393"/>
      <c r="AH26" s="393"/>
      <c r="AI26" s="394"/>
    </row>
    <row r="27" spans="1:35">
      <c r="A27" s="914" t="str">
        <f>报表格式!L26</f>
        <v xml:space="preserve">        其中：利息费用</v>
      </c>
      <c r="B27" s="393">
        <f t="shared" si="1"/>
        <v>0</v>
      </c>
      <c r="C27" s="393"/>
      <c r="D27" s="393"/>
      <c r="E27" s="393">
        <f t="shared" si="0"/>
        <v>0</v>
      </c>
      <c r="F27" s="393">
        <f t="shared" si="2"/>
        <v>0</v>
      </c>
      <c r="G27" s="393"/>
      <c r="H27" s="393"/>
      <c r="I27" s="393"/>
      <c r="J27" s="393">
        <f t="shared" si="3"/>
        <v>0</v>
      </c>
      <c r="K27" s="393"/>
      <c r="L27" s="393"/>
      <c r="M27" s="393"/>
      <c r="N27" s="393"/>
      <c r="O27" s="393"/>
      <c r="P27" s="393"/>
      <c r="Q27" s="393"/>
      <c r="R27" s="393"/>
      <c r="S27" s="393"/>
      <c r="T27" s="393"/>
      <c r="U27" s="393"/>
      <c r="V27" s="393"/>
      <c r="W27" s="393"/>
      <c r="X27" s="393"/>
      <c r="Y27" s="393"/>
      <c r="Z27" s="393"/>
      <c r="AA27" s="393"/>
      <c r="AB27" s="393"/>
      <c r="AC27" s="393"/>
      <c r="AD27" s="393"/>
      <c r="AE27" s="393"/>
      <c r="AF27" s="393"/>
      <c r="AG27" s="393"/>
      <c r="AH27" s="393"/>
      <c r="AI27" s="394"/>
    </row>
    <row r="28" spans="1:35">
      <c r="A28" s="905" t="str">
        <f>报表格式!L27</f>
        <v xml:space="preserve">              利息收入</v>
      </c>
      <c r="B28" s="393">
        <f t="shared" si="1"/>
        <v>0</v>
      </c>
      <c r="C28" s="393"/>
      <c r="D28" s="393"/>
      <c r="E28" s="393">
        <f t="shared" si="0"/>
        <v>0</v>
      </c>
      <c r="F28" s="393">
        <f t="shared" si="2"/>
        <v>0</v>
      </c>
      <c r="G28" s="393"/>
      <c r="H28" s="393"/>
      <c r="I28" s="393"/>
      <c r="J28" s="393">
        <f t="shared" si="3"/>
        <v>0</v>
      </c>
      <c r="K28" s="393"/>
      <c r="L28" s="393"/>
      <c r="M28" s="393"/>
      <c r="N28" s="393"/>
      <c r="O28" s="393"/>
      <c r="P28" s="393"/>
      <c r="Q28" s="393"/>
      <c r="R28" s="393"/>
      <c r="S28" s="393"/>
      <c r="T28" s="393"/>
      <c r="U28" s="393"/>
      <c r="V28" s="393"/>
      <c r="W28" s="393"/>
      <c r="X28" s="393"/>
      <c r="Y28" s="393"/>
      <c r="Z28" s="393"/>
      <c r="AA28" s="393"/>
      <c r="AB28" s="393"/>
      <c r="AC28" s="393"/>
      <c r="AD28" s="393"/>
      <c r="AE28" s="393"/>
      <c r="AF28" s="393"/>
      <c r="AG28" s="393"/>
      <c r="AH28" s="393"/>
      <c r="AI28" s="394"/>
    </row>
    <row r="29" spans="1:35">
      <c r="A29" s="914" t="str">
        <f>报表格式!L28</f>
        <v xml:space="preserve">    加：其他收益</v>
      </c>
      <c r="B29" s="393">
        <f t="shared" si="1"/>
        <v>0</v>
      </c>
      <c r="C29" s="393"/>
      <c r="D29" s="393"/>
      <c r="E29" s="393">
        <f t="shared" si="0"/>
        <v>0</v>
      </c>
      <c r="F29" s="393">
        <f t="shared" si="2"/>
        <v>0</v>
      </c>
      <c r="G29" s="393"/>
      <c r="H29" s="393"/>
      <c r="I29" s="393"/>
      <c r="J29" s="393">
        <f t="shared" si="3"/>
        <v>0</v>
      </c>
      <c r="K29" s="393"/>
      <c r="L29" s="393"/>
      <c r="M29" s="393"/>
      <c r="N29" s="393"/>
      <c r="O29" s="393"/>
      <c r="P29" s="393"/>
      <c r="Q29" s="393"/>
      <c r="R29" s="393"/>
      <c r="S29" s="393"/>
      <c r="T29" s="393"/>
      <c r="U29" s="393"/>
      <c r="V29" s="393"/>
      <c r="W29" s="393"/>
      <c r="X29" s="393"/>
      <c r="Y29" s="393"/>
      <c r="Z29" s="393"/>
      <c r="AA29" s="393"/>
      <c r="AB29" s="393"/>
      <c r="AC29" s="393"/>
      <c r="AD29" s="393"/>
      <c r="AE29" s="393"/>
      <c r="AF29" s="393"/>
      <c r="AG29" s="393"/>
      <c r="AH29" s="393"/>
      <c r="AI29" s="394"/>
    </row>
    <row r="30" spans="1:35">
      <c r="A30" s="914" t="str">
        <f>报表格式!L29</f>
        <v xml:space="preserve">        投资收益（损失以“－”号填列）</v>
      </c>
      <c r="B30" s="393">
        <f t="shared" si="1"/>
        <v>0</v>
      </c>
      <c r="C30" s="393"/>
      <c r="D30" s="393"/>
      <c r="E30" s="393">
        <f t="shared" si="0"/>
        <v>0</v>
      </c>
      <c r="F30" s="393">
        <f t="shared" si="2"/>
        <v>0</v>
      </c>
      <c r="G30" s="393"/>
      <c r="H30" s="393"/>
      <c r="I30" s="393"/>
      <c r="J30" s="393">
        <f t="shared" si="3"/>
        <v>0</v>
      </c>
      <c r="K30" s="393"/>
      <c r="L30" s="393"/>
      <c r="M30" s="393"/>
      <c r="N30" s="393"/>
      <c r="O30" s="393"/>
      <c r="P30" s="393"/>
      <c r="Q30" s="393"/>
      <c r="R30" s="393"/>
      <c r="S30" s="393"/>
      <c r="T30" s="393"/>
      <c r="U30" s="393"/>
      <c r="V30" s="393"/>
      <c r="W30" s="393"/>
      <c r="X30" s="393"/>
      <c r="Y30" s="393"/>
      <c r="Z30" s="393"/>
      <c r="AA30" s="393"/>
      <c r="AB30" s="393"/>
      <c r="AC30" s="393"/>
      <c r="AD30" s="393"/>
      <c r="AE30" s="393"/>
      <c r="AF30" s="393"/>
      <c r="AG30" s="393"/>
      <c r="AH30" s="393"/>
      <c r="AI30" s="394"/>
    </row>
    <row r="31" spans="1:35">
      <c r="A31" s="914" t="str">
        <f>报表格式!L30</f>
        <v xml:space="preserve">        其中：对联营企业和合营企业的投资收益</v>
      </c>
      <c r="B31" s="393">
        <f t="shared" si="1"/>
        <v>0</v>
      </c>
      <c r="C31" s="393"/>
      <c r="D31" s="393"/>
      <c r="E31" s="393">
        <f t="shared" si="0"/>
        <v>0</v>
      </c>
      <c r="F31" s="393">
        <f t="shared" si="2"/>
        <v>0</v>
      </c>
      <c r="G31" s="393"/>
      <c r="H31" s="393"/>
      <c r="I31" s="393"/>
      <c r="J31" s="393">
        <f t="shared" si="3"/>
        <v>0</v>
      </c>
      <c r="K31" s="393"/>
      <c r="L31" s="393"/>
      <c r="M31" s="393"/>
      <c r="N31" s="393"/>
      <c r="O31" s="393"/>
      <c r="P31" s="393"/>
      <c r="Q31" s="393"/>
      <c r="R31" s="393"/>
      <c r="S31" s="393"/>
      <c r="T31" s="393"/>
      <c r="U31" s="393"/>
      <c r="V31" s="393"/>
      <c r="W31" s="393"/>
      <c r="X31" s="393"/>
      <c r="Y31" s="393"/>
      <c r="Z31" s="393"/>
      <c r="AA31" s="393"/>
      <c r="AB31" s="393"/>
      <c r="AC31" s="393"/>
      <c r="AD31" s="393"/>
      <c r="AE31" s="393"/>
      <c r="AF31" s="393"/>
      <c r="AG31" s="393"/>
      <c r="AH31" s="393"/>
      <c r="AI31" s="394"/>
    </row>
    <row r="32" spans="1:35">
      <c r="A32" s="914" t="str">
        <f>报表格式!L31</f>
        <v xml:space="preserve">              以摊余成本计量的金融资产终止确认收益（损失以“-”号填列）</v>
      </c>
      <c r="B32" s="393">
        <f t="shared" ref="B32" si="16">SUM(C32:E32)</f>
        <v>0</v>
      </c>
      <c r="C32" s="393"/>
      <c r="D32" s="393"/>
      <c r="E32" s="393">
        <f t="shared" si="0"/>
        <v>0</v>
      </c>
      <c r="F32" s="393">
        <f t="shared" ref="F32" si="17">SUM(G32:J32)</f>
        <v>0</v>
      </c>
      <c r="G32" s="393"/>
      <c r="H32" s="393"/>
      <c r="I32" s="393"/>
      <c r="J32" s="393">
        <f t="shared" ref="J32" si="18">SUM(K32:W32)</f>
        <v>0</v>
      </c>
      <c r="K32" s="393"/>
      <c r="L32" s="393"/>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4"/>
    </row>
    <row r="33" spans="1:35">
      <c r="A33" s="914" t="str">
        <f>报表格式!L32</f>
        <v xml:space="preserve">        净敞口套期收益（损失以“-”号填列）</v>
      </c>
      <c r="B33" s="393">
        <f t="shared" si="1"/>
        <v>0</v>
      </c>
      <c r="C33" s="393"/>
      <c r="D33" s="393"/>
      <c r="E33" s="393">
        <f t="shared" si="0"/>
        <v>0</v>
      </c>
      <c r="F33" s="393">
        <f t="shared" si="2"/>
        <v>0</v>
      </c>
      <c r="G33" s="393"/>
      <c r="H33" s="393"/>
      <c r="I33" s="393"/>
      <c r="J33" s="393">
        <f>SUM(K33:W33)</f>
        <v>0</v>
      </c>
      <c r="K33" s="393"/>
      <c r="L33" s="393"/>
      <c r="M33" s="393"/>
      <c r="N33" s="393"/>
      <c r="O33" s="393"/>
      <c r="P33" s="393"/>
      <c r="Q33" s="393"/>
      <c r="R33" s="393"/>
      <c r="S33" s="393"/>
      <c r="T33" s="393"/>
      <c r="U33" s="393"/>
      <c r="V33" s="393"/>
      <c r="W33" s="393"/>
      <c r="X33" s="393"/>
      <c r="Y33" s="393"/>
      <c r="Z33" s="393"/>
      <c r="AA33" s="393"/>
      <c r="AB33" s="393"/>
      <c r="AC33" s="393"/>
      <c r="AD33" s="393"/>
      <c r="AE33" s="393"/>
      <c r="AF33" s="393"/>
      <c r="AG33" s="393"/>
      <c r="AH33" s="393"/>
      <c r="AI33" s="394"/>
    </row>
    <row r="34" spans="1:35">
      <c r="A34" s="914" t="str">
        <f>报表格式!L33</f>
        <v xml:space="preserve">        公允价值变动收益（损失以“－”号填列）</v>
      </c>
      <c r="B34" s="393">
        <f>SUM(C34:E34)</f>
        <v>0</v>
      </c>
      <c r="C34" s="393"/>
      <c r="D34" s="393"/>
      <c r="E34" s="393">
        <f t="shared" si="0"/>
        <v>0</v>
      </c>
      <c r="F34" s="393">
        <f>SUM(G34:J34)</f>
        <v>0</v>
      </c>
      <c r="G34" s="393"/>
      <c r="H34" s="393"/>
      <c r="I34" s="393"/>
      <c r="J34" s="393">
        <f t="shared" si="3"/>
        <v>0</v>
      </c>
      <c r="K34" s="393"/>
      <c r="L34" s="393"/>
      <c r="M34" s="393"/>
      <c r="N34" s="393"/>
      <c r="O34" s="393"/>
      <c r="P34" s="393"/>
      <c r="Q34" s="393"/>
      <c r="R34" s="393"/>
      <c r="S34" s="393"/>
      <c r="T34" s="393"/>
      <c r="U34" s="393"/>
      <c r="V34" s="393"/>
      <c r="W34" s="393"/>
      <c r="X34" s="393"/>
      <c r="Y34" s="393"/>
      <c r="Z34" s="393"/>
      <c r="AA34" s="393"/>
      <c r="AB34" s="393"/>
      <c r="AC34" s="393"/>
      <c r="AD34" s="393"/>
      <c r="AE34" s="393"/>
      <c r="AF34" s="393"/>
      <c r="AG34" s="393"/>
      <c r="AH34" s="393"/>
      <c r="AI34" s="394"/>
    </row>
    <row r="35" spans="1:35">
      <c r="A35" s="914" t="str">
        <f>报表格式!L34</f>
        <v xml:space="preserve">        信用减值损失(损失以“-”号填列）</v>
      </c>
      <c r="B35" s="393">
        <f>SUM(C35:E35)</f>
        <v>0</v>
      </c>
      <c r="C35" s="393"/>
      <c r="D35" s="393"/>
      <c r="E35" s="393">
        <f t="shared" si="0"/>
        <v>0</v>
      </c>
      <c r="F35" s="393">
        <f>SUM(G35:J35)</f>
        <v>0</v>
      </c>
      <c r="G35" s="393"/>
      <c r="H35" s="393"/>
      <c r="I35" s="393"/>
      <c r="J35" s="393">
        <f>SUM(K35:W35)</f>
        <v>0</v>
      </c>
      <c r="K35" s="393"/>
      <c r="L35" s="393"/>
      <c r="M35" s="393"/>
      <c r="N35" s="393"/>
      <c r="O35" s="393"/>
      <c r="P35" s="393"/>
      <c r="Q35" s="393"/>
      <c r="R35" s="393"/>
      <c r="S35" s="393"/>
      <c r="T35" s="393"/>
      <c r="U35" s="393"/>
      <c r="V35" s="393"/>
      <c r="W35" s="393"/>
      <c r="X35" s="393"/>
      <c r="Y35" s="393"/>
      <c r="Z35" s="393"/>
      <c r="AA35" s="393"/>
      <c r="AB35" s="393"/>
      <c r="AC35" s="393"/>
      <c r="AD35" s="393"/>
      <c r="AE35" s="393"/>
      <c r="AF35" s="393"/>
      <c r="AG35" s="393"/>
      <c r="AH35" s="393"/>
      <c r="AI35" s="394"/>
    </row>
    <row r="36" spans="1:35">
      <c r="A36" s="914" t="str">
        <f>报表格式!L35</f>
        <v xml:space="preserve">        资产减值损失(损失以“-”号填列）</v>
      </c>
      <c r="B36" s="393">
        <f>SUM(C36:E36)</f>
        <v>0</v>
      </c>
      <c r="C36" s="393"/>
      <c r="D36" s="393"/>
      <c r="E36" s="393">
        <f t="shared" si="0"/>
        <v>0</v>
      </c>
      <c r="F36" s="393">
        <f>SUM(G36:J36)</f>
        <v>0</v>
      </c>
      <c r="G36" s="393"/>
      <c r="H36" s="393"/>
      <c r="I36" s="393"/>
      <c r="J36" s="393">
        <f>SUM(K36:W36)</f>
        <v>0</v>
      </c>
      <c r="K36" s="393"/>
      <c r="L36" s="393"/>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4"/>
    </row>
    <row r="37" spans="1:35">
      <c r="A37" s="914" t="str">
        <f>报表格式!L36</f>
        <v xml:space="preserve">        资产处置收益(损失以“-”号填列）</v>
      </c>
      <c r="B37" s="393">
        <f>SUM(C37:E37)</f>
        <v>0</v>
      </c>
      <c r="C37" s="393"/>
      <c r="D37" s="393"/>
      <c r="E37" s="393">
        <f t="shared" si="0"/>
        <v>0</v>
      </c>
      <c r="F37" s="393">
        <f>SUM(G37:J37)</f>
        <v>0</v>
      </c>
      <c r="G37" s="393"/>
      <c r="H37" s="393"/>
      <c r="I37" s="393"/>
      <c r="J37" s="393">
        <f t="shared" si="3"/>
        <v>0</v>
      </c>
      <c r="K37" s="39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4"/>
    </row>
    <row r="38" spans="1:35" s="389" customFormat="1">
      <c r="A38" s="911" t="str">
        <f>报表格式!L37</f>
        <v>二、营业利润（亏损以“－”号填列）</v>
      </c>
      <c r="B38" s="399">
        <f>SUM(C38:E38)</f>
        <v>0</v>
      </c>
      <c r="C38" s="399">
        <f>SUM(C6)-SUM(C12,C22:C26)+SUM(C29,C30)+SUM(C33:C37)</f>
        <v>0</v>
      </c>
      <c r="D38" s="399">
        <f>SUM(D6)-SUM(D12,D22:D26)+SUM(D29,D30)+SUM(D33:D37)</f>
        <v>0</v>
      </c>
      <c r="E38" s="393">
        <f t="shared" si="0"/>
        <v>0</v>
      </c>
      <c r="F38" s="399">
        <f t="shared" ref="F38:AI38" si="19">SUM(F6)-SUM(F12,F22:F26)+SUM(F29,F30)+SUM(F33:F37)</f>
        <v>0</v>
      </c>
      <c r="G38" s="399">
        <f t="shared" si="19"/>
        <v>0</v>
      </c>
      <c r="H38" s="399">
        <f t="shared" si="19"/>
        <v>0</v>
      </c>
      <c r="I38" s="399">
        <f t="shared" si="19"/>
        <v>0</v>
      </c>
      <c r="J38" s="399">
        <f t="shared" si="19"/>
        <v>0</v>
      </c>
      <c r="K38" s="399">
        <f t="shared" si="19"/>
        <v>0</v>
      </c>
      <c r="L38" s="399">
        <f t="shared" si="19"/>
        <v>0</v>
      </c>
      <c r="M38" s="399">
        <f t="shared" si="19"/>
        <v>0</v>
      </c>
      <c r="N38" s="399">
        <f t="shared" si="19"/>
        <v>0</v>
      </c>
      <c r="O38" s="399">
        <f t="shared" si="19"/>
        <v>0</v>
      </c>
      <c r="P38" s="399">
        <f t="shared" si="19"/>
        <v>0</v>
      </c>
      <c r="Q38" s="399">
        <f t="shared" si="19"/>
        <v>0</v>
      </c>
      <c r="R38" s="399">
        <f t="shared" si="19"/>
        <v>0</v>
      </c>
      <c r="S38" s="399">
        <f t="shared" si="19"/>
        <v>0</v>
      </c>
      <c r="T38" s="399">
        <f t="shared" si="19"/>
        <v>0</v>
      </c>
      <c r="U38" s="399">
        <f t="shared" si="19"/>
        <v>0</v>
      </c>
      <c r="V38" s="399">
        <f t="shared" si="19"/>
        <v>0</v>
      </c>
      <c r="W38" s="399">
        <f t="shared" si="19"/>
        <v>0</v>
      </c>
      <c r="X38" s="399">
        <f t="shared" si="19"/>
        <v>0</v>
      </c>
      <c r="Y38" s="399">
        <f t="shared" si="19"/>
        <v>0</v>
      </c>
      <c r="Z38" s="399">
        <f t="shared" si="19"/>
        <v>0</v>
      </c>
      <c r="AA38" s="399">
        <f t="shared" si="19"/>
        <v>0</v>
      </c>
      <c r="AB38" s="399">
        <f t="shared" si="19"/>
        <v>0</v>
      </c>
      <c r="AC38" s="399">
        <f t="shared" si="19"/>
        <v>0</v>
      </c>
      <c r="AD38" s="399">
        <f t="shared" si="19"/>
        <v>0</v>
      </c>
      <c r="AE38" s="399">
        <f t="shared" si="19"/>
        <v>0</v>
      </c>
      <c r="AF38" s="399">
        <f t="shared" si="19"/>
        <v>0</v>
      </c>
      <c r="AG38" s="399">
        <f t="shared" si="19"/>
        <v>0</v>
      </c>
      <c r="AH38" s="399">
        <f t="shared" si="19"/>
        <v>0</v>
      </c>
      <c r="AI38" s="399">
        <f t="shared" si="19"/>
        <v>0</v>
      </c>
    </row>
    <row r="39" spans="1:35">
      <c r="A39" s="901" t="str">
        <f>报表格式!L38</f>
        <v xml:space="preserve">    加：营业外收入</v>
      </c>
      <c r="B39" s="393">
        <f t="shared" si="1"/>
        <v>0</v>
      </c>
      <c r="C39" s="393"/>
      <c r="D39" s="393"/>
      <c r="E39" s="393">
        <f t="shared" si="0"/>
        <v>0</v>
      </c>
      <c r="F39" s="393">
        <f t="shared" si="2"/>
        <v>0</v>
      </c>
      <c r="G39" s="393"/>
      <c r="H39" s="393"/>
      <c r="I39" s="393"/>
      <c r="J39" s="393">
        <f t="shared" si="3"/>
        <v>0</v>
      </c>
      <c r="K39" s="39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4"/>
    </row>
    <row r="40" spans="1:35">
      <c r="A40" s="901" t="str">
        <f>报表格式!L39</f>
        <v xml:space="preserve">    减：营业外支出</v>
      </c>
      <c r="B40" s="393">
        <f t="shared" si="1"/>
        <v>0</v>
      </c>
      <c r="C40" s="393"/>
      <c r="D40" s="393"/>
      <c r="E40" s="393">
        <f t="shared" si="0"/>
        <v>0</v>
      </c>
      <c r="F40" s="393">
        <f t="shared" si="2"/>
        <v>0</v>
      </c>
      <c r="G40" s="393"/>
      <c r="H40" s="393"/>
      <c r="I40" s="393"/>
      <c r="J40" s="393">
        <f t="shared" si="3"/>
        <v>0</v>
      </c>
      <c r="K40" s="393"/>
      <c r="L40" s="393"/>
      <c r="M40" s="393"/>
      <c r="N40" s="393"/>
      <c r="O40" s="393"/>
      <c r="P40" s="393"/>
      <c r="Q40" s="393"/>
      <c r="R40" s="393"/>
      <c r="S40" s="393"/>
      <c r="T40" s="393"/>
      <c r="U40" s="393"/>
      <c r="V40" s="393"/>
      <c r="W40" s="393"/>
      <c r="X40" s="393"/>
      <c r="Y40" s="393"/>
      <c r="Z40" s="393"/>
      <c r="AA40" s="393"/>
      <c r="AB40" s="393"/>
      <c r="AC40" s="393"/>
      <c r="AD40" s="393"/>
      <c r="AE40" s="393"/>
      <c r="AF40" s="393"/>
      <c r="AG40" s="393"/>
      <c r="AH40" s="393"/>
      <c r="AI40" s="394"/>
    </row>
    <row r="41" spans="1:35" s="389" customFormat="1">
      <c r="A41" s="911" t="str">
        <f>报表格式!L40</f>
        <v>三、利润总额（亏损总额以“－”号填列）</v>
      </c>
      <c r="B41" s="399">
        <f t="shared" si="1"/>
        <v>0</v>
      </c>
      <c r="C41" s="399">
        <f t="shared" ref="C41:AI41" si="20">SUM(C38)+SUM(C39)-SUM(C40)</f>
        <v>0</v>
      </c>
      <c r="D41" s="399">
        <f t="shared" si="20"/>
        <v>0</v>
      </c>
      <c r="E41" s="393">
        <f t="shared" si="0"/>
        <v>0</v>
      </c>
      <c r="F41" s="399">
        <f t="shared" si="20"/>
        <v>0</v>
      </c>
      <c r="G41" s="399">
        <f t="shared" si="20"/>
        <v>0</v>
      </c>
      <c r="H41" s="399">
        <f t="shared" si="20"/>
        <v>0</v>
      </c>
      <c r="I41" s="399">
        <f t="shared" si="20"/>
        <v>0</v>
      </c>
      <c r="J41" s="399">
        <f t="shared" si="20"/>
        <v>0</v>
      </c>
      <c r="K41" s="399">
        <f t="shared" si="20"/>
        <v>0</v>
      </c>
      <c r="L41" s="399">
        <f t="shared" si="20"/>
        <v>0</v>
      </c>
      <c r="M41" s="399">
        <f t="shared" si="20"/>
        <v>0</v>
      </c>
      <c r="N41" s="399">
        <f t="shared" si="20"/>
        <v>0</v>
      </c>
      <c r="O41" s="399">
        <f t="shared" si="20"/>
        <v>0</v>
      </c>
      <c r="P41" s="399">
        <f t="shared" si="20"/>
        <v>0</v>
      </c>
      <c r="Q41" s="399">
        <f t="shared" si="20"/>
        <v>0</v>
      </c>
      <c r="R41" s="399">
        <f t="shared" si="20"/>
        <v>0</v>
      </c>
      <c r="S41" s="399">
        <f t="shared" si="20"/>
        <v>0</v>
      </c>
      <c r="T41" s="399">
        <f t="shared" si="20"/>
        <v>0</v>
      </c>
      <c r="U41" s="399">
        <f t="shared" si="20"/>
        <v>0</v>
      </c>
      <c r="V41" s="399">
        <f t="shared" si="20"/>
        <v>0</v>
      </c>
      <c r="W41" s="399">
        <f t="shared" si="20"/>
        <v>0</v>
      </c>
      <c r="X41" s="399">
        <f t="shared" si="20"/>
        <v>0</v>
      </c>
      <c r="Y41" s="399">
        <f t="shared" si="20"/>
        <v>0</v>
      </c>
      <c r="Z41" s="399">
        <f t="shared" si="20"/>
        <v>0</v>
      </c>
      <c r="AA41" s="399">
        <f t="shared" si="20"/>
        <v>0</v>
      </c>
      <c r="AB41" s="399">
        <f t="shared" si="20"/>
        <v>0</v>
      </c>
      <c r="AC41" s="399">
        <f t="shared" si="20"/>
        <v>0</v>
      </c>
      <c r="AD41" s="399">
        <f t="shared" si="20"/>
        <v>0</v>
      </c>
      <c r="AE41" s="399">
        <f t="shared" si="20"/>
        <v>0</v>
      </c>
      <c r="AF41" s="399">
        <f t="shared" si="20"/>
        <v>0</v>
      </c>
      <c r="AG41" s="399">
        <f t="shared" si="20"/>
        <v>0</v>
      </c>
      <c r="AH41" s="399">
        <f t="shared" si="20"/>
        <v>0</v>
      </c>
      <c r="AI41" s="400">
        <f t="shared" si="20"/>
        <v>0</v>
      </c>
    </row>
    <row r="42" spans="1:35">
      <c r="A42" s="901" t="str">
        <f>报表格式!L41</f>
        <v xml:space="preserve">    减：所得税费用</v>
      </c>
      <c r="B42" s="393">
        <f t="shared" si="1"/>
        <v>0</v>
      </c>
      <c r="C42" s="393"/>
      <c r="D42" s="393"/>
      <c r="E42" s="393">
        <f t="shared" si="0"/>
        <v>0</v>
      </c>
      <c r="F42" s="393">
        <f t="shared" si="2"/>
        <v>0</v>
      </c>
      <c r="G42" s="393"/>
      <c r="H42" s="393"/>
      <c r="I42" s="393"/>
      <c r="J42" s="393">
        <f t="shared" si="3"/>
        <v>0</v>
      </c>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4"/>
    </row>
    <row r="43" spans="1:35">
      <c r="A43" s="901">
        <f>报表格式!L42</f>
        <v>0</v>
      </c>
      <c r="B43" s="393">
        <f t="shared" si="1"/>
        <v>0</v>
      </c>
      <c r="C43" s="393"/>
      <c r="D43" s="393"/>
      <c r="E43" s="393">
        <f t="shared" si="0"/>
        <v>0</v>
      </c>
      <c r="F43" s="393">
        <f t="shared" si="2"/>
        <v>0</v>
      </c>
      <c r="G43" s="393"/>
      <c r="H43" s="393"/>
      <c r="I43" s="393"/>
      <c r="J43" s="393">
        <f t="shared" si="3"/>
        <v>0</v>
      </c>
      <c r="K43" s="39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4"/>
    </row>
    <row r="44" spans="1:35" s="389" customFormat="1">
      <c r="A44" s="911" t="str">
        <f>报表格式!L43</f>
        <v>四、净利润（净亏损以“－”号填列）</v>
      </c>
      <c r="B44" s="399">
        <f t="shared" si="1"/>
        <v>0</v>
      </c>
      <c r="C44" s="399">
        <f t="shared" ref="C44:AI44" si="21">C41-C42-C43</f>
        <v>0</v>
      </c>
      <c r="D44" s="399">
        <f t="shared" si="21"/>
        <v>0</v>
      </c>
      <c r="E44" s="393">
        <f t="shared" si="0"/>
        <v>0</v>
      </c>
      <c r="F44" s="399">
        <f t="shared" si="21"/>
        <v>0</v>
      </c>
      <c r="G44" s="399">
        <f t="shared" si="21"/>
        <v>0</v>
      </c>
      <c r="H44" s="399">
        <f t="shared" si="21"/>
        <v>0</v>
      </c>
      <c r="I44" s="399">
        <f t="shared" si="21"/>
        <v>0</v>
      </c>
      <c r="J44" s="399">
        <f t="shared" si="21"/>
        <v>0</v>
      </c>
      <c r="K44" s="399">
        <f t="shared" si="21"/>
        <v>0</v>
      </c>
      <c r="L44" s="399">
        <f t="shared" si="21"/>
        <v>0</v>
      </c>
      <c r="M44" s="399">
        <f t="shared" si="21"/>
        <v>0</v>
      </c>
      <c r="N44" s="399">
        <f t="shared" si="21"/>
        <v>0</v>
      </c>
      <c r="O44" s="399">
        <f t="shared" si="21"/>
        <v>0</v>
      </c>
      <c r="P44" s="399">
        <f t="shared" si="21"/>
        <v>0</v>
      </c>
      <c r="Q44" s="399">
        <f t="shared" si="21"/>
        <v>0</v>
      </c>
      <c r="R44" s="399">
        <f t="shared" si="21"/>
        <v>0</v>
      </c>
      <c r="S44" s="399">
        <f t="shared" si="21"/>
        <v>0</v>
      </c>
      <c r="T44" s="399">
        <f t="shared" si="21"/>
        <v>0</v>
      </c>
      <c r="U44" s="399">
        <f t="shared" si="21"/>
        <v>0</v>
      </c>
      <c r="V44" s="399">
        <f t="shared" si="21"/>
        <v>0</v>
      </c>
      <c r="W44" s="399">
        <f t="shared" si="21"/>
        <v>0</v>
      </c>
      <c r="X44" s="399">
        <f t="shared" si="21"/>
        <v>0</v>
      </c>
      <c r="Y44" s="399">
        <f t="shared" si="21"/>
        <v>0</v>
      </c>
      <c r="Z44" s="399">
        <f t="shared" si="21"/>
        <v>0</v>
      </c>
      <c r="AA44" s="399">
        <f t="shared" si="21"/>
        <v>0</v>
      </c>
      <c r="AB44" s="399">
        <f t="shared" si="21"/>
        <v>0</v>
      </c>
      <c r="AC44" s="399">
        <f t="shared" si="21"/>
        <v>0</v>
      </c>
      <c r="AD44" s="399">
        <f t="shared" si="21"/>
        <v>0</v>
      </c>
      <c r="AE44" s="399">
        <f t="shared" si="21"/>
        <v>0</v>
      </c>
      <c r="AF44" s="399">
        <f t="shared" si="21"/>
        <v>0</v>
      </c>
      <c r="AG44" s="399">
        <f t="shared" si="21"/>
        <v>0</v>
      </c>
      <c r="AH44" s="399">
        <f t="shared" si="21"/>
        <v>0</v>
      </c>
      <c r="AI44" s="400">
        <f t="shared" si="21"/>
        <v>0</v>
      </c>
    </row>
    <row r="45" spans="1:35">
      <c r="A45" s="901" t="str">
        <f>报表格式!L44</f>
        <v xml:space="preserve"> （一）按经营持续性分类</v>
      </c>
      <c r="B45" s="393"/>
      <c r="C45" s="393"/>
      <c r="D45" s="393"/>
      <c r="E45" s="393">
        <f t="shared" si="0"/>
        <v>0</v>
      </c>
      <c r="F45" s="393"/>
      <c r="G45" s="393"/>
      <c r="H45" s="393"/>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4"/>
    </row>
    <row r="46" spans="1:35">
      <c r="A46" s="901" t="str">
        <f>报表格式!L45</f>
        <v xml:space="preserve">     其中：持续经营净利润（净亏损以“-”号填列）</v>
      </c>
      <c r="B46" s="393">
        <f t="shared" si="1"/>
        <v>0</v>
      </c>
      <c r="C46" s="393"/>
      <c r="D46" s="393"/>
      <c r="E46" s="393">
        <f t="shared" si="0"/>
        <v>0</v>
      </c>
      <c r="F46" s="393">
        <f>SUM(G46:J46)</f>
        <v>0</v>
      </c>
      <c r="G46" s="393"/>
      <c r="H46" s="393"/>
      <c r="I46" s="393"/>
      <c r="J46" s="393">
        <f t="shared" si="3"/>
        <v>0</v>
      </c>
      <c r="K46" s="393"/>
      <c r="L46" s="393"/>
      <c r="M46" s="393"/>
      <c r="N46" s="393"/>
      <c r="O46" s="393"/>
      <c r="P46" s="393"/>
      <c r="Q46" s="393"/>
      <c r="R46" s="393"/>
      <c r="S46" s="393"/>
      <c r="T46" s="393"/>
      <c r="U46" s="393"/>
      <c r="V46" s="393"/>
      <c r="W46" s="393"/>
      <c r="X46" s="393"/>
      <c r="Y46" s="393"/>
      <c r="Z46" s="393"/>
      <c r="AA46" s="393"/>
      <c r="AB46" s="393"/>
      <c r="AC46" s="393"/>
      <c r="AD46" s="393"/>
      <c r="AE46" s="393"/>
      <c r="AF46" s="393"/>
      <c r="AG46" s="393"/>
      <c r="AH46" s="393"/>
      <c r="AI46" s="394"/>
    </row>
    <row r="47" spans="1:35">
      <c r="A47" s="901" t="str">
        <f>报表格式!L46</f>
        <v xml:space="preserve">                 终止经营净利润（净亏损以“-”号填列）</v>
      </c>
      <c r="B47" s="393">
        <f t="shared" si="1"/>
        <v>0</v>
      </c>
      <c r="C47" s="393"/>
      <c r="D47" s="393"/>
      <c r="E47" s="393">
        <f t="shared" si="0"/>
        <v>0</v>
      </c>
      <c r="F47" s="393">
        <f>SUM(G47:J47)</f>
        <v>0</v>
      </c>
      <c r="G47" s="393"/>
      <c r="H47" s="393"/>
      <c r="I47" s="393"/>
      <c r="J47" s="393">
        <f t="shared" si="3"/>
        <v>0</v>
      </c>
      <c r="K47" s="393"/>
      <c r="L47" s="393"/>
      <c r="M47" s="393"/>
      <c r="N47" s="393"/>
      <c r="O47" s="393"/>
      <c r="P47" s="393"/>
      <c r="Q47" s="393"/>
      <c r="R47" s="393"/>
      <c r="S47" s="393"/>
      <c r="T47" s="393"/>
      <c r="U47" s="393"/>
      <c r="V47" s="393"/>
      <c r="W47" s="393"/>
      <c r="X47" s="393"/>
      <c r="Y47" s="393"/>
      <c r="Z47" s="393"/>
      <c r="AA47" s="393"/>
      <c r="AB47" s="393"/>
      <c r="AC47" s="393"/>
      <c r="AD47" s="393"/>
      <c r="AE47" s="393"/>
      <c r="AF47" s="393"/>
      <c r="AG47" s="393"/>
      <c r="AH47" s="393"/>
      <c r="AI47" s="394"/>
    </row>
    <row r="48" spans="1:35">
      <c r="A48" s="901" t="str">
        <f>报表格式!L47</f>
        <v xml:space="preserve"> （二）按所有权归属分类</v>
      </c>
      <c r="B48" s="393"/>
      <c r="C48" s="393"/>
      <c r="D48" s="393"/>
      <c r="E48" s="393">
        <f t="shared" si="0"/>
        <v>0</v>
      </c>
      <c r="F48" s="393"/>
      <c r="G48" s="393"/>
      <c r="H48" s="393"/>
      <c r="I48" s="393"/>
      <c r="J48" s="393"/>
      <c r="K48" s="393"/>
      <c r="L48" s="393"/>
      <c r="M48" s="393"/>
      <c r="N48" s="393"/>
      <c r="O48" s="393"/>
      <c r="P48" s="393"/>
      <c r="Q48" s="393"/>
      <c r="R48" s="393"/>
      <c r="S48" s="393"/>
      <c r="T48" s="393"/>
      <c r="U48" s="393"/>
      <c r="V48" s="393"/>
      <c r="W48" s="393"/>
      <c r="X48" s="393"/>
      <c r="Y48" s="393"/>
      <c r="Z48" s="393"/>
      <c r="AA48" s="393"/>
      <c r="AB48" s="393"/>
      <c r="AC48" s="393"/>
      <c r="AD48" s="393"/>
      <c r="AE48" s="393"/>
      <c r="AF48" s="393"/>
      <c r="AG48" s="393"/>
      <c r="AH48" s="393"/>
      <c r="AI48" s="394"/>
    </row>
    <row r="49" spans="1:35">
      <c r="A49" s="901" t="str">
        <f>报表格式!L48</f>
        <v xml:space="preserve">     其中：归属于母公司股东的净利润（净亏损以“-”号填列）</v>
      </c>
      <c r="B49" s="393">
        <f t="shared" si="1"/>
        <v>0</v>
      </c>
      <c r="C49" s="393">
        <f>C44-C50</f>
        <v>0</v>
      </c>
      <c r="D49" s="393">
        <f>D44-D50</f>
        <v>0</v>
      </c>
      <c r="E49" s="393">
        <f t="shared" si="0"/>
        <v>0</v>
      </c>
      <c r="F49" s="393">
        <f t="shared" si="2"/>
        <v>0</v>
      </c>
      <c r="G49" s="393">
        <f>G44-G50</f>
        <v>0</v>
      </c>
      <c r="H49" s="393">
        <f>H44-H50</f>
        <v>0</v>
      </c>
      <c r="I49" s="393">
        <f>I44-I50</f>
        <v>0</v>
      </c>
      <c r="J49" s="393">
        <f t="shared" si="3"/>
        <v>0</v>
      </c>
      <c r="K49" s="393">
        <f>K44-K50</f>
        <v>0</v>
      </c>
      <c r="L49" s="393">
        <f t="shared" ref="L49:AI49" si="22">L44-L50</f>
        <v>0</v>
      </c>
      <c r="M49" s="393">
        <f t="shared" si="22"/>
        <v>0</v>
      </c>
      <c r="N49" s="393">
        <f t="shared" si="22"/>
        <v>0</v>
      </c>
      <c r="O49" s="393">
        <f t="shared" si="22"/>
        <v>0</v>
      </c>
      <c r="P49" s="393">
        <f t="shared" si="22"/>
        <v>0</v>
      </c>
      <c r="Q49" s="393">
        <f t="shared" si="22"/>
        <v>0</v>
      </c>
      <c r="R49" s="393">
        <f t="shared" si="22"/>
        <v>0</v>
      </c>
      <c r="S49" s="393">
        <f t="shared" si="22"/>
        <v>0</v>
      </c>
      <c r="T49" s="393">
        <f t="shared" si="22"/>
        <v>0</v>
      </c>
      <c r="U49" s="393">
        <f t="shared" si="22"/>
        <v>0</v>
      </c>
      <c r="V49" s="393">
        <f t="shared" si="22"/>
        <v>0</v>
      </c>
      <c r="W49" s="393">
        <f t="shared" si="22"/>
        <v>0</v>
      </c>
      <c r="X49" s="393">
        <f t="shared" si="22"/>
        <v>0</v>
      </c>
      <c r="Y49" s="393">
        <f t="shared" si="22"/>
        <v>0</v>
      </c>
      <c r="Z49" s="393">
        <f t="shared" si="22"/>
        <v>0</v>
      </c>
      <c r="AA49" s="393">
        <f t="shared" si="22"/>
        <v>0</v>
      </c>
      <c r="AB49" s="393">
        <f t="shared" si="22"/>
        <v>0</v>
      </c>
      <c r="AC49" s="393">
        <f t="shared" si="22"/>
        <v>0</v>
      </c>
      <c r="AD49" s="393">
        <f t="shared" si="22"/>
        <v>0</v>
      </c>
      <c r="AE49" s="393">
        <f t="shared" si="22"/>
        <v>0</v>
      </c>
      <c r="AF49" s="393">
        <f t="shared" si="22"/>
        <v>0</v>
      </c>
      <c r="AG49" s="393">
        <f t="shared" si="22"/>
        <v>0</v>
      </c>
      <c r="AH49" s="393">
        <f t="shared" si="22"/>
        <v>0</v>
      </c>
      <c r="AI49" s="394">
        <f t="shared" si="22"/>
        <v>0</v>
      </c>
    </row>
    <row r="50" spans="1:35">
      <c r="A50" s="901" t="str">
        <f>报表格式!L49</f>
        <v xml:space="preserve">                少数股东损益（净亏损以“-”号填列）</v>
      </c>
      <c r="B50" s="393">
        <f t="shared" si="1"/>
        <v>0</v>
      </c>
      <c r="C50" s="393"/>
      <c r="D50" s="393"/>
      <c r="E50" s="393">
        <f t="shared" si="0"/>
        <v>0</v>
      </c>
      <c r="F50" s="393">
        <f t="shared" si="2"/>
        <v>0</v>
      </c>
      <c r="G50" s="393"/>
      <c r="H50" s="393"/>
      <c r="I50" s="393"/>
      <c r="J50" s="393">
        <f t="shared" si="3"/>
        <v>0</v>
      </c>
      <c r="K50" s="393"/>
      <c r="L50" s="393"/>
      <c r="M50" s="393"/>
      <c r="N50" s="393"/>
      <c r="O50" s="393"/>
      <c r="P50" s="393"/>
      <c r="Q50" s="393"/>
      <c r="R50" s="393"/>
      <c r="S50" s="393"/>
      <c r="T50" s="393"/>
      <c r="U50" s="393"/>
      <c r="V50" s="393"/>
      <c r="W50" s="393"/>
      <c r="X50" s="393"/>
      <c r="Y50" s="393"/>
      <c r="Z50" s="393"/>
      <c r="AA50" s="393"/>
      <c r="AB50" s="393"/>
      <c r="AC50" s="393"/>
      <c r="AD50" s="393"/>
      <c r="AE50" s="393"/>
      <c r="AF50" s="393"/>
      <c r="AG50" s="393"/>
      <c r="AH50" s="393"/>
      <c r="AI50" s="394"/>
    </row>
    <row r="51" spans="1:35" s="389" customFormat="1">
      <c r="A51" s="911" t="str">
        <f>报表格式!L50</f>
        <v>五、其他综合收益的税后净额</v>
      </c>
      <c r="B51" s="399">
        <f t="shared" si="1"/>
        <v>0</v>
      </c>
      <c r="C51" s="399">
        <f>C52+C59</f>
        <v>0</v>
      </c>
      <c r="D51" s="399">
        <f>D52+D59</f>
        <v>0</v>
      </c>
      <c r="E51" s="399">
        <f t="shared" si="0"/>
        <v>0</v>
      </c>
      <c r="F51" s="399">
        <f>SUM(G51:J51)</f>
        <v>0</v>
      </c>
      <c r="G51" s="399">
        <f>G52+G71</f>
        <v>0</v>
      </c>
      <c r="H51" s="399">
        <f>H52+H71</f>
        <v>0</v>
      </c>
      <c r="I51" s="399">
        <f>I52+I71</f>
        <v>0</v>
      </c>
      <c r="J51" s="399">
        <f t="shared" si="3"/>
        <v>0</v>
      </c>
      <c r="K51" s="399">
        <f t="shared" ref="K51:AI51" si="23">K52+K71</f>
        <v>0</v>
      </c>
      <c r="L51" s="399">
        <f t="shared" si="23"/>
        <v>0</v>
      </c>
      <c r="M51" s="399">
        <f t="shared" si="23"/>
        <v>0</v>
      </c>
      <c r="N51" s="399">
        <f t="shared" si="23"/>
        <v>0</v>
      </c>
      <c r="O51" s="399">
        <f t="shared" si="23"/>
        <v>0</v>
      </c>
      <c r="P51" s="399">
        <f t="shared" si="23"/>
        <v>0</v>
      </c>
      <c r="Q51" s="399">
        <f t="shared" si="23"/>
        <v>0</v>
      </c>
      <c r="R51" s="399">
        <f t="shared" si="23"/>
        <v>0</v>
      </c>
      <c r="S51" s="399">
        <f t="shared" si="23"/>
        <v>0</v>
      </c>
      <c r="T51" s="399">
        <f t="shared" si="23"/>
        <v>0</v>
      </c>
      <c r="U51" s="399">
        <f t="shared" si="23"/>
        <v>0</v>
      </c>
      <c r="V51" s="399">
        <f t="shared" si="23"/>
        <v>0</v>
      </c>
      <c r="W51" s="399">
        <f t="shared" si="23"/>
        <v>0</v>
      </c>
      <c r="X51" s="399">
        <f t="shared" si="23"/>
        <v>0</v>
      </c>
      <c r="Y51" s="399">
        <f t="shared" si="23"/>
        <v>0</v>
      </c>
      <c r="Z51" s="399">
        <f t="shared" si="23"/>
        <v>0</v>
      </c>
      <c r="AA51" s="399">
        <f t="shared" si="23"/>
        <v>0</v>
      </c>
      <c r="AB51" s="399">
        <f t="shared" si="23"/>
        <v>0</v>
      </c>
      <c r="AC51" s="399">
        <f t="shared" si="23"/>
        <v>0</v>
      </c>
      <c r="AD51" s="399">
        <f t="shared" si="23"/>
        <v>0</v>
      </c>
      <c r="AE51" s="399">
        <f t="shared" si="23"/>
        <v>0</v>
      </c>
      <c r="AF51" s="399">
        <f t="shared" si="23"/>
        <v>0</v>
      </c>
      <c r="AG51" s="399">
        <f t="shared" si="23"/>
        <v>0</v>
      </c>
      <c r="AH51" s="399">
        <f t="shared" si="23"/>
        <v>0</v>
      </c>
      <c r="AI51" s="400">
        <f t="shared" si="23"/>
        <v>0</v>
      </c>
    </row>
    <row r="52" spans="1:35">
      <c r="A52" s="901" t="str">
        <f>报表格式!L51</f>
        <v>归属于母公司股东的其他综合收益的税后净额</v>
      </c>
      <c r="B52" s="399">
        <f t="shared" si="1"/>
        <v>0</v>
      </c>
      <c r="C52" s="399">
        <f>C53+C59</f>
        <v>0</v>
      </c>
      <c r="D52" s="399">
        <f>D53+D59</f>
        <v>0</v>
      </c>
      <c r="E52" s="393">
        <f t="shared" si="0"/>
        <v>0</v>
      </c>
      <c r="F52" s="393">
        <f t="shared" ref="F52:F89" si="24">SUM(G52:J52)</f>
        <v>0</v>
      </c>
      <c r="G52" s="399">
        <f>G53+G59</f>
        <v>0</v>
      </c>
      <c r="H52" s="399">
        <f>H53+H59</f>
        <v>0</v>
      </c>
      <c r="I52" s="399">
        <f>I53+I59</f>
        <v>0</v>
      </c>
      <c r="J52" s="393">
        <f t="shared" si="3"/>
        <v>0</v>
      </c>
      <c r="K52" s="399">
        <f>K53+K59</f>
        <v>0</v>
      </c>
      <c r="L52" s="399">
        <f t="shared" ref="L52:AI52" si="25">L53+L59</f>
        <v>0</v>
      </c>
      <c r="M52" s="399">
        <f t="shared" si="25"/>
        <v>0</v>
      </c>
      <c r="N52" s="399">
        <f t="shared" si="25"/>
        <v>0</v>
      </c>
      <c r="O52" s="399">
        <f t="shared" si="25"/>
        <v>0</v>
      </c>
      <c r="P52" s="399">
        <f t="shared" si="25"/>
        <v>0</v>
      </c>
      <c r="Q52" s="399">
        <f t="shared" si="25"/>
        <v>0</v>
      </c>
      <c r="R52" s="399">
        <f t="shared" si="25"/>
        <v>0</v>
      </c>
      <c r="S52" s="399">
        <f t="shared" si="25"/>
        <v>0</v>
      </c>
      <c r="T52" s="399">
        <f t="shared" si="25"/>
        <v>0</v>
      </c>
      <c r="U52" s="399">
        <f t="shared" si="25"/>
        <v>0</v>
      </c>
      <c r="V52" s="399">
        <f t="shared" si="25"/>
        <v>0</v>
      </c>
      <c r="W52" s="399">
        <f t="shared" si="25"/>
        <v>0</v>
      </c>
      <c r="X52" s="399">
        <f t="shared" si="25"/>
        <v>0</v>
      </c>
      <c r="Y52" s="399">
        <f t="shared" si="25"/>
        <v>0</v>
      </c>
      <c r="Z52" s="399">
        <f t="shared" si="25"/>
        <v>0</v>
      </c>
      <c r="AA52" s="399">
        <f t="shared" si="25"/>
        <v>0</v>
      </c>
      <c r="AB52" s="399">
        <f t="shared" si="25"/>
        <v>0</v>
      </c>
      <c r="AC52" s="399">
        <f t="shared" si="25"/>
        <v>0</v>
      </c>
      <c r="AD52" s="399">
        <f t="shared" si="25"/>
        <v>0</v>
      </c>
      <c r="AE52" s="399">
        <f t="shared" si="25"/>
        <v>0</v>
      </c>
      <c r="AF52" s="399">
        <f t="shared" si="25"/>
        <v>0</v>
      </c>
      <c r="AG52" s="399">
        <f t="shared" si="25"/>
        <v>0</v>
      </c>
      <c r="AH52" s="399">
        <f t="shared" si="25"/>
        <v>0</v>
      </c>
      <c r="AI52" s="400">
        <f t="shared" si="25"/>
        <v>0</v>
      </c>
    </row>
    <row r="53" spans="1:35" s="389" customFormat="1">
      <c r="A53" s="901" t="str">
        <f>报表格式!L52</f>
        <v xml:space="preserve">  （一）不能重分类进损益的其他综合收益</v>
      </c>
      <c r="B53" s="399">
        <f t="shared" si="1"/>
        <v>0</v>
      </c>
      <c r="C53" s="399">
        <f>SUM(C54:C58)</f>
        <v>0</v>
      </c>
      <c r="D53" s="399">
        <f>SUM(D54:D58)</f>
        <v>0</v>
      </c>
      <c r="E53" s="393">
        <f t="shared" si="0"/>
        <v>0</v>
      </c>
      <c r="F53" s="399">
        <f t="shared" si="24"/>
        <v>0</v>
      </c>
      <c r="G53" s="399">
        <f>SUM(G54:G58)</f>
        <v>0</v>
      </c>
      <c r="H53" s="399">
        <f>SUM(H54:H58)</f>
        <v>0</v>
      </c>
      <c r="I53" s="399">
        <f>SUM(I54:I58)</f>
        <v>0</v>
      </c>
      <c r="J53" s="393">
        <f t="shared" si="3"/>
        <v>0</v>
      </c>
      <c r="K53" s="399">
        <f>SUM(K54:K58)</f>
        <v>0</v>
      </c>
      <c r="L53" s="399">
        <f t="shared" ref="L53:AI53" si="26">SUM(L54:L58)</f>
        <v>0</v>
      </c>
      <c r="M53" s="399">
        <f t="shared" si="26"/>
        <v>0</v>
      </c>
      <c r="N53" s="399">
        <f t="shared" si="26"/>
        <v>0</v>
      </c>
      <c r="O53" s="399">
        <f t="shared" si="26"/>
        <v>0</v>
      </c>
      <c r="P53" s="399">
        <f t="shared" si="26"/>
        <v>0</v>
      </c>
      <c r="Q53" s="399">
        <f t="shared" si="26"/>
        <v>0</v>
      </c>
      <c r="R53" s="399">
        <f t="shared" si="26"/>
        <v>0</v>
      </c>
      <c r="S53" s="399">
        <f t="shared" si="26"/>
        <v>0</v>
      </c>
      <c r="T53" s="399">
        <f t="shared" si="26"/>
        <v>0</v>
      </c>
      <c r="U53" s="399">
        <f t="shared" si="26"/>
        <v>0</v>
      </c>
      <c r="V53" s="399">
        <f t="shared" si="26"/>
        <v>0</v>
      </c>
      <c r="W53" s="399">
        <f t="shared" si="26"/>
        <v>0</v>
      </c>
      <c r="X53" s="399">
        <f t="shared" si="26"/>
        <v>0</v>
      </c>
      <c r="Y53" s="399">
        <f t="shared" si="26"/>
        <v>0</v>
      </c>
      <c r="Z53" s="399">
        <f t="shared" si="26"/>
        <v>0</v>
      </c>
      <c r="AA53" s="399">
        <f t="shared" si="26"/>
        <v>0</v>
      </c>
      <c r="AB53" s="399">
        <f t="shared" si="26"/>
        <v>0</v>
      </c>
      <c r="AC53" s="399">
        <f t="shared" si="26"/>
        <v>0</v>
      </c>
      <c r="AD53" s="399">
        <f t="shared" si="26"/>
        <v>0</v>
      </c>
      <c r="AE53" s="399">
        <f t="shared" si="26"/>
        <v>0</v>
      </c>
      <c r="AF53" s="399">
        <f t="shared" si="26"/>
        <v>0</v>
      </c>
      <c r="AG53" s="399">
        <f t="shared" si="26"/>
        <v>0</v>
      </c>
      <c r="AH53" s="399">
        <f t="shared" si="26"/>
        <v>0</v>
      </c>
      <c r="AI53" s="400">
        <f t="shared" si="26"/>
        <v>0</v>
      </c>
    </row>
    <row r="54" spans="1:35">
      <c r="A54" s="901" t="str">
        <f>报表格式!L53</f>
        <v>1.重新计量设定受益计划变动额</v>
      </c>
      <c r="B54" s="399">
        <f t="shared" si="1"/>
        <v>0</v>
      </c>
      <c r="C54" s="393"/>
      <c r="D54" s="393"/>
      <c r="E54" s="393">
        <f t="shared" si="0"/>
        <v>0</v>
      </c>
      <c r="F54" s="393">
        <f t="shared" si="24"/>
        <v>0</v>
      </c>
      <c r="G54" s="393"/>
      <c r="H54" s="393"/>
      <c r="I54" s="393"/>
      <c r="J54" s="393">
        <f t="shared" si="3"/>
        <v>0</v>
      </c>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4"/>
    </row>
    <row r="55" spans="1:35">
      <c r="A55" s="901" t="str">
        <f>报表格式!L54</f>
        <v>2.权益法下不能转损益的其他综合收益</v>
      </c>
      <c r="B55" s="399">
        <f t="shared" si="1"/>
        <v>0</v>
      </c>
      <c r="C55" s="393"/>
      <c r="D55" s="393"/>
      <c r="E55" s="393">
        <f t="shared" si="0"/>
        <v>0</v>
      </c>
      <c r="F55" s="393">
        <f t="shared" si="24"/>
        <v>0</v>
      </c>
      <c r="G55" s="393"/>
      <c r="H55" s="393"/>
      <c r="I55" s="393"/>
      <c r="J55" s="393">
        <f t="shared" si="3"/>
        <v>0</v>
      </c>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4"/>
    </row>
    <row r="56" spans="1:35">
      <c r="A56" s="901" t="str">
        <f>报表格式!L55</f>
        <v xml:space="preserve">3.其他权益工具投资公允价值变动 </v>
      </c>
      <c r="B56" s="399">
        <f>SUM(C56:E56)</f>
        <v>0</v>
      </c>
      <c r="C56" s="393"/>
      <c r="D56" s="393"/>
      <c r="E56" s="393">
        <f t="shared" si="0"/>
        <v>0</v>
      </c>
      <c r="F56" s="393">
        <f>SUM(G56:J56)</f>
        <v>0</v>
      </c>
      <c r="G56" s="393"/>
      <c r="H56" s="393"/>
      <c r="I56" s="393"/>
      <c r="J56" s="393">
        <f>SUM(K56:W56)</f>
        <v>0</v>
      </c>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4"/>
    </row>
    <row r="57" spans="1:35">
      <c r="A57" s="901" t="str">
        <f>报表格式!L56</f>
        <v xml:space="preserve">4.企业自身信用风险公允价值变动 </v>
      </c>
      <c r="B57" s="399">
        <f>SUM(C57:E57)</f>
        <v>0</v>
      </c>
      <c r="C57" s="393"/>
      <c r="D57" s="393"/>
      <c r="E57" s="393">
        <f t="shared" si="0"/>
        <v>0</v>
      </c>
      <c r="F57" s="393">
        <f>SUM(G57:J57)</f>
        <v>0</v>
      </c>
      <c r="G57" s="393"/>
      <c r="H57" s="393"/>
      <c r="I57" s="393"/>
      <c r="J57" s="393">
        <f>SUM(K57:W57)</f>
        <v>0</v>
      </c>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4"/>
    </row>
    <row r="58" spans="1:35">
      <c r="A58" s="901" t="str">
        <f>报表格式!L57</f>
        <v>5.其他</v>
      </c>
      <c r="B58" s="399">
        <f>SUM(C58:E58)</f>
        <v>0</v>
      </c>
      <c r="C58" s="393"/>
      <c r="D58" s="393"/>
      <c r="E58" s="393">
        <f t="shared" si="0"/>
        <v>0</v>
      </c>
      <c r="F58" s="393">
        <f>SUM(G58:J58)</f>
        <v>0</v>
      </c>
      <c r="G58" s="393"/>
      <c r="H58" s="393"/>
      <c r="I58" s="393"/>
      <c r="J58" s="393">
        <f>SUM(K58:W58)</f>
        <v>0</v>
      </c>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c r="AH58" s="393"/>
      <c r="AI58" s="394"/>
    </row>
    <row r="59" spans="1:35">
      <c r="A59" s="901" t="str">
        <f>报表格式!L58</f>
        <v xml:space="preserve">  （二）将重分类进损益的其他综合收益</v>
      </c>
      <c r="B59" s="399">
        <f t="shared" si="1"/>
        <v>0</v>
      </c>
      <c r="C59" s="393">
        <f>SUM(C60:C70)</f>
        <v>0</v>
      </c>
      <c r="D59" s="393">
        <f>SUM(D60:D70)</f>
        <v>0</v>
      </c>
      <c r="E59" s="393">
        <f t="shared" si="0"/>
        <v>0</v>
      </c>
      <c r="F59" s="393">
        <f t="shared" si="24"/>
        <v>0</v>
      </c>
      <c r="G59" s="393">
        <f>SUM(G60:G70)</f>
        <v>0</v>
      </c>
      <c r="H59" s="393">
        <f>SUM(H60:H70)</f>
        <v>0</v>
      </c>
      <c r="I59" s="393">
        <f>SUM(I60:I70)</f>
        <v>0</v>
      </c>
      <c r="J59" s="393">
        <f t="shared" si="3"/>
        <v>0</v>
      </c>
      <c r="K59" s="393">
        <f t="shared" ref="K59:AI59" si="27">SUM(K60:K70)</f>
        <v>0</v>
      </c>
      <c r="L59" s="393">
        <f t="shared" si="27"/>
        <v>0</v>
      </c>
      <c r="M59" s="393">
        <f t="shared" si="27"/>
        <v>0</v>
      </c>
      <c r="N59" s="393">
        <f t="shared" si="27"/>
        <v>0</v>
      </c>
      <c r="O59" s="393">
        <f t="shared" si="27"/>
        <v>0</v>
      </c>
      <c r="P59" s="393">
        <f t="shared" si="27"/>
        <v>0</v>
      </c>
      <c r="Q59" s="393">
        <f t="shared" si="27"/>
        <v>0</v>
      </c>
      <c r="R59" s="393">
        <f t="shared" si="27"/>
        <v>0</v>
      </c>
      <c r="S59" s="393">
        <f t="shared" si="27"/>
        <v>0</v>
      </c>
      <c r="T59" s="393">
        <f t="shared" si="27"/>
        <v>0</v>
      </c>
      <c r="U59" s="393">
        <f t="shared" si="27"/>
        <v>0</v>
      </c>
      <c r="V59" s="393">
        <f t="shared" si="27"/>
        <v>0</v>
      </c>
      <c r="W59" s="393">
        <f t="shared" si="27"/>
        <v>0</v>
      </c>
      <c r="X59" s="393">
        <f t="shared" si="27"/>
        <v>0</v>
      </c>
      <c r="Y59" s="393">
        <f t="shared" si="27"/>
        <v>0</v>
      </c>
      <c r="Z59" s="393">
        <f t="shared" si="27"/>
        <v>0</v>
      </c>
      <c r="AA59" s="393">
        <f t="shared" si="27"/>
        <v>0</v>
      </c>
      <c r="AB59" s="393">
        <f t="shared" si="27"/>
        <v>0</v>
      </c>
      <c r="AC59" s="393">
        <f t="shared" si="27"/>
        <v>0</v>
      </c>
      <c r="AD59" s="393">
        <f t="shared" si="27"/>
        <v>0</v>
      </c>
      <c r="AE59" s="393">
        <f t="shared" si="27"/>
        <v>0</v>
      </c>
      <c r="AF59" s="393">
        <f t="shared" si="27"/>
        <v>0</v>
      </c>
      <c r="AG59" s="393">
        <f t="shared" si="27"/>
        <v>0</v>
      </c>
      <c r="AH59" s="393">
        <f t="shared" si="27"/>
        <v>0</v>
      </c>
      <c r="AI59" s="394">
        <f t="shared" si="27"/>
        <v>0</v>
      </c>
    </row>
    <row r="60" spans="1:35">
      <c r="A60" s="901" t="str">
        <f>报表格式!L59</f>
        <v>1.权益法下可转损益的其他综合收益</v>
      </c>
      <c r="B60" s="399">
        <f t="shared" si="1"/>
        <v>0</v>
      </c>
      <c r="C60" s="393"/>
      <c r="D60" s="393"/>
      <c r="E60" s="393">
        <f t="shared" si="0"/>
        <v>0</v>
      </c>
      <c r="F60" s="393">
        <f t="shared" si="24"/>
        <v>0</v>
      </c>
      <c r="G60" s="393"/>
      <c r="H60" s="393"/>
      <c r="I60" s="393"/>
      <c r="J60" s="393">
        <f t="shared" si="3"/>
        <v>0</v>
      </c>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c r="AH60" s="393"/>
      <c r="AI60" s="394"/>
    </row>
    <row r="61" spans="1:35">
      <c r="A61" s="901" t="str">
        <f>报表格式!L60</f>
        <v xml:space="preserve">2.其他债权投资公允价值变动 </v>
      </c>
      <c r="B61" s="399">
        <f t="shared" ref="B61" si="28">SUM(C61:E61)</f>
        <v>0</v>
      </c>
      <c r="C61" s="393"/>
      <c r="D61" s="393"/>
      <c r="E61" s="393">
        <f t="shared" ref="E61" si="29">SUM(F61,X61:AI61)</f>
        <v>0</v>
      </c>
      <c r="F61" s="393">
        <f t="shared" ref="F61" si="30">SUM(G61:J61)</f>
        <v>0</v>
      </c>
      <c r="G61" s="393"/>
      <c r="H61" s="393"/>
      <c r="I61" s="393"/>
      <c r="J61" s="393">
        <f t="shared" ref="J61" si="31">SUM(K61:W61)</f>
        <v>0</v>
      </c>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4"/>
    </row>
    <row r="62" spans="1:35">
      <c r="A62" s="901" t="str">
        <f>报表格式!L61</f>
        <v>3.可供出售金融资产公允价值变动损益</v>
      </c>
      <c r="B62" s="399">
        <f t="shared" si="1"/>
        <v>0</v>
      </c>
      <c r="C62" s="393"/>
      <c r="D62" s="393"/>
      <c r="E62" s="393">
        <f t="shared" si="0"/>
        <v>0</v>
      </c>
      <c r="F62" s="393">
        <f t="shared" si="24"/>
        <v>0</v>
      </c>
      <c r="G62" s="393"/>
      <c r="H62" s="393"/>
      <c r="I62" s="393"/>
      <c r="J62" s="393">
        <f t="shared" si="3"/>
        <v>0</v>
      </c>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4"/>
    </row>
    <row r="63" spans="1:35">
      <c r="A63" s="901" t="str">
        <f>报表格式!L62</f>
        <v xml:space="preserve">4.金融资产重分类计入其他综合收益的金额 </v>
      </c>
      <c r="B63" s="399">
        <f t="shared" si="1"/>
        <v>0</v>
      </c>
      <c r="C63" s="393"/>
      <c r="D63" s="393"/>
      <c r="E63" s="393">
        <f t="shared" si="0"/>
        <v>0</v>
      </c>
      <c r="F63" s="393">
        <f t="shared" si="24"/>
        <v>0</v>
      </c>
      <c r="G63" s="393"/>
      <c r="H63" s="393"/>
      <c r="I63" s="393"/>
      <c r="J63" s="393">
        <f t="shared" si="3"/>
        <v>0</v>
      </c>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4"/>
    </row>
    <row r="64" spans="1:35">
      <c r="A64" s="901" t="str">
        <f>报表格式!L63</f>
        <v>5.持有至到期投资重分类为可供出售金融资产损益</v>
      </c>
      <c r="B64" s="399">
        <f t="shared" ref="B64" si="32">SUM(C64:E64)</f>
        <v>0</v>
      </c>
      <c r="C64" s="393"/>
      <c r="D64" s="393"/>
      <c r="E64" s="393">
        <f t="shared" ref="E64" si="33">SUM(F64,X64:AI64)</f>
        <v>0</v>
      </c>
      <c r="F64" s="393">
        <f t="shared" ref="F64" si="34">SUM(G64:J64)</f>
        <v>0</v>
      </c>
      <c r="G64" s="393"/>
      <c r="H64" s="393"/>
      <c r="I64" s="393"/>
      <c r="J64" s="393">
        <f t="shared" ref="J64" si="35">SUM(K64:W64)</f>
        <v>0</v>
      </c>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4"/>
    </row>
    <row r="65" spans="1:35">
      <c r="A65" s="901" t="str">
        <f>报表格式!L64</f>
        <v>6.其他债权投资信用减值准备</v>
      </c>
      <c r="B65" s="399">
        <f>SUM(C65:E65)</f>
        <v>0</v>
      </c>
      <c r="C65" s="393"/>
      <c r="D65" s="393"/>
      <c r="E65" s="393">
        <f>SUM(F65,X65:AI65)</f>
        <v>0</v>
      </c>
      <c r="F65" s="393">
        <f>SUM(G65:J65)</f>
        <v>0</v>
      </c>
      <c r="G65" s="393"/>
      <c r="H65" s="393"/>
      <c r="I65" s="393"/>
      <c r="J65" s="393">
        <f>SUM(K65:W65)</f>
        <v>0</v>
      </c>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4"/>
    </row>
    <row r="66" spans="1:35">
      <c r="A66" s="901" t="str">
        <f>报表格式!L65</f>
        <v>7.现金流量套期储备</v>
      </c>
      <c r="B66" s="399">
        <f t="shared" si="1"/>
        <v>0</v>
      </c>
      <c r="C66" s="393"/>
      <c r="D66" s="393"/>
      <c r="E66" s="393">
        <f t="shared" si="0"/>
        <v>0</v>
      </c>
      <c r="F66" s="393">
        <f t="shared" si="24"/>
        <v>0</v>
      </c>
      <c r="G66" s="393"/>
      <c r="H66" s="393"/>
      <c r="I66" s="393"/>
      <c r="J66" s="393">
        <f t="shared" si="3"/>
        <v>0</v>
      </c>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4"/>
    </row>
    <row r="67" spans="1:35">
      <c r="A67" s="901" t="str">
        <f>报表格式!L66</f>
        <v>8.外币财务报表折算差额</v>
      </c>
      <c r="B67" s="399">
        <f t="shared" si="1"/>
        <v>0</v>
      </c>
      <c r="C67" s="393"/>
      <c r="D67" s="393"/>
      <c r="E67" s="393">
        <f t="shared" si="0"/>
        <v>0</v>
      </c>
      <c r="F67" s="393">
        <f t="shared" si="24"/>
        <v>0</v>
      </c>
      <c r="G67" s="393"/>
      <c r="H67" s="393"/>
      <c r="I67" s="393"/>
      <c r="J67" s="393">
        <f t="shared" si="3"/>
        <v>0</v>
      </c>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4"/>
    </row>
    <row r="68" spans="1:35">
      <c r="A68" s="901" t="str">
        <f>报表格式!L67</f>
        <v>9.自用房地产或作为存货的房地产转换为以公允价值计量的投资性房地产在转换日公允价值大于账面价值部分</v>
      </c>
      <c r="B68" s="399">
        <f t="shared" si="1"/>
        <v>0</v>
      </c>
      <c r="C68" s="393"/>
      <c r="D68" s="393"/>
      <c r="E68" s="393">
        <f t="shared" si="0"/>
        <v>0</v>
      </c>
      <c r="F68" s="393">
        <f t="shared" si="24"/>
        <v>0</v>
      </c>
      <c r="G68" s="393"/>
      <c r="H68" s="393"/>
      <c r="I68" s="393"/>
      <c r="J68" s="393">
        <f t="shared" si="3"/>
        <v>0</v>
      </c>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4"/>
    </row>
    <row r="69" spans="1:35" s="389" customFormat="1">
      <c r="A69" s="901" t="str">
        <f>报表格式!L68</f>
        <v>10.多次交易分步处置子公司股权构成一揽子交易的，丧失控制权之前各次交易处置价款与对应净资产账面价值份额的差额</v>
      </c>
      <c r="B69" s="399">
        <f t="shared" si="1"/>
        <v>0</v>
      </c>
      <c r="C69" s="393"/>
      <c r="D69" s="393"/>
      <c r="E69" s="393">
        <f t="shared" si="0"/>
        <v>0</v>
      </c>
      <c r="F69" s="393">
        <f t="shared" si="24"/>
        <v>0</v>
      </c>
      <c r="G69" s="393"/>
      <c r="H69" s="393"/>
      <c r="I69" s="393"/>
      <c r="J69" s="393">
        <f t="shared" si="3"/>
        <v>0</v>
      </c>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4"/>
    </row>
    <row r="70" spans="1:35">
      <c r="A70" s="901" t="str">
        <f>报表格式!L69</f>
        <v>11.其他</v>
      </c>
      <c r="B70" s="399">
        <f t="shared" si="1"/>
        <v>0</v>
      </c>
      <c r="C70" s="393"/>
      <c r="D70" s="393"/>
      <c r="E70" s="393">
        <f t="shared" si="0"/>
        <v>0</v>
      </c>
      <c r="F70" s="393">
        <f t="shared" si="24"/>
        <v>0</v>
      </c>
      <c r="G70" s="393"/>
      <c r="H70" s="393"/>
      <c r="I70" s="393"/>
      <c r="J70" s="393">
        <f t="shared" si="3"/>
        <v>0</v>
      </c>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4"/>
    </row>
    <row r="71" spans="1:35">
      <c r="A71" s="921" t="str">
        <f>报表格式!L70</f>
        <v>归属于少数股东的其他综合收益的税后净额</v>
      </c>
      <c r="B71" s="771">
        <f t="shared" si="1"/>
        <v>0</v>
      </c>
      <c r="C71" s="771"/>
      <c r="D71" s="771"/>
      <c r="E71" s="771">
        <f t="shared" si="0"/>
        <v>0</v>
      </c>
      <c r="F71" s="771">
        <f t="shared" si="24"/>
        <v>0</v>
      </c>
      <c r="G71" s="771"/>
      <c r="H71" s="771"/>
      <c r="I71" s="771"/>
      <c r="J71" s="771">
        <f>SUM(K71:W71)</f>
        <v>0</v>
      </c>
      <c r="K71" s="771"/>
      <c r="L71" s="771"/>
      <c r="M71" s="771"/>
      <c r="N71" s="771"/>
      <c r="O71" s="771"/>
      <c r="P71" s="771"/>
      <c r="Q71" s="771"/>
      <c r="R71" s="771"/>
      <c r="S71" s="771"/>
      <c r="T71" s="771"/>
      <c r="U71" s="771"/>
      <c r="V71" s="771"/>
      <c r="W71" s="771"/>
      <c r="X71" s="771"/>
      <c r="Y71" s="771"/>
      <c r="Z71" s="771"/>
      <c r="AA71" s="771"/>
      <c r="AB71" s="771"/>
      <c r="AC71" s="771"/>
      <c r="AD71" s="771"/>
      <c r="AE71" s="771"/>
      <c r="AF71" s="771"/>
      <c r="AG71" s="771"/>
      <c r="AH71" s="771"/>
      <c r="AI71" s="772"/>
    </row>
    <row r="72" spans="1:35">
      <c r="A72" s="922" t="str">
        <f>报表格式!L71</f>
        <v>六、综合收益总额</v>
      </c>
      <c r="B72" s="419">
        <f t="shared" si="1"/>
        <v>0</v>
      </c>
      <c r="C72" s="419">
        <f>C44+C51</f>
        <v>0</v>
      </c>
      <c r="D72" s="419">
        <f>D44+D51</f>
        <v>0</v>
      </c>
      <c r="E72" s="419">
        <f t="shared" si="0"/>
        <v>0</v>
      </c>
      <c r="F72" s="419">
        <f t="shared" si="24"/>
        <v>0</v>
      </c>
      <c r="G72" s="419">
        <f>G44+G51</f>
        <v>0</v>
      </c>
      <c r="H72" s="419">
        <f>H44+H51</f>
        <v>0</v>
      </c>
      <c r="I72" s="419">
        <f>I44+I51</f>
        <v>0</v>
      </c>
      <c r="J72" s="419">
        <f>SUM(K72:W72)</f>
        <v>0</v>
      </c>
      <c r="K72" s="419">
        <f t="shared" ref="K72:AI72" si="36">K44+K51</f>
        <v>0</v>
      </c>
      <c r="L72" s="419">
        <f t="shared" si="36"/>
        <v>0</v>
      </c>
      <c r="M72" s="419">
        <f t="shared" si="36"/>
        <v>0</v>
      </c>
      <c r="N72" s="419">
        <f t="shared" si="36"/>
        <v>0</v>
      </c>
      <c r="O72" s="419">
        <f t="shared" si="36"/>
        <v>0</v>
      </c>
      <c r="P72" s="419">
        <f t="shared" si="36"/>
        <v>0</v>
      </c>
      <c r="Q72" s="419">
        <f t="shared" si="36"/>
        <v>0</v>
      </c>
      <c r="R72" s="419">
        <f t="shared" si="36"/>
        <v>0</v>
      </c>
      <c r="S72" s="419">
        <f t="shared" si="36"/>
        <v>0</v>
      </c>
      <c r="T72" s="419">
        <f t="shared" si="36"/>
        <v>0</v>
      </c>
      <c r="U72" s="419">
        <f t="shared" si="36"/>
        <v>0</v>
      </c>
      <c r="V72" s="419">
        <f t="shared" si="36"/>
        <v>0</v>
      </c>
      <c r="W72" s="419">
        <f t="shared" si="36"/>
        <v>0</v>
      </c>
      <c r="X72" s="419">
        <f t="shared" si="36"/>
        <v>0</v>
      </c>
      <c r="Y72" s="419">
        <f t="shared" si="36"/>
        <v>0</v>
      </c>
      <c r="Z72" s="419">
        <f t="shared" si="36"/>
        <v>0</v>
      </c>
      <c r="AA72" s="419">
        <f t="shared" si="36"/>
        <v>0</v>
      </c>
      <c r="AB72" s="419">
        <f t="shared" si="36"/>
        <v>0</v>
      </c>
      <c r="AC72" s="419">
        <f t="shared" si="36"/>
        <v>0</v>
      </c>
      <c r="AD72" s="419">
        <f t="shared" si="36"/>
        <v>0</v>
      </c>
      <c r="AE72" s="419">
        <f t="shared" si="36"/>
        <v>0</v>
      </c>
      <c r="AF72" s="419">
        <f t="shared" si="36"/>
        <v>0</v>
      </c>
      <c r="AG72" s="419">
        <f t="shared" si="36"/>
        <v>0</v>
      </c>
      <c r="AH72" s="419">
        <f t="shared" si="36"/>
        <v>0</v>
      </c>
      <c r="AI72" s="420">
        <f t="shared" si="36"/>
        <v>0</v>
      </c>
    </row>
    <row r="73" spans="1:35">
      <c r="A73" s="923" t="str">
        <f>报表格式!L72</f>
        <v xml:space="preserve">     归属于母公司股东的综合收益总额</v>
      </c>
      <c r="B73" s="414">
        <f t="shared" si="1"/>
        <v>0</v>
      </c>
      <c r="C73" s="414">
        <f>C49+C52</f>
        <v>0</v>
      </c>
      <c r="D73" s="414">
        <f>D49+D52</f>
        <v>0</v>
      </c>
      <c r="E73" s="414">
        <f>E72-E74</f>
        <v>0</v>
      </c>
      <c r="F73" s="414">
        <f>F72-F74</f>
        <v>0</v>
      </c>
      <c r="G73" s="414">
        <f>G49+G52</f>
        <v>0</v>
      </c>
      <c r="H73" s="414">
        <f>H49+H52</f>
        <v>0</v>
      </c>
      <c r="I73" s="414">
        <f>I49+I52</f>
        <v>0</v>
      </c>
      <c r="J73" s="414">
        <f>J72-J74</f>
        <v>0</v>
      </c>
      <c r="K73" s="414">
        <f t="shared" ref="K73:AI73" si="37">K49+K52</f>
        <v>0</v>
      </c>
      <c r="L73" s="414">
        <f t="shared" si="37"/>
        <v>0</v>
      </c>
      <c r="M73" s="414">
        <f t="shared" si="37"/>
        <v>0</v>
      </c>
      <c r="N73" s="414">
        <f t="shared" si="37"/>
        <v>0</v>
      </c>
      <c r="O73" s="414">
        <f t="shared" si="37"/>
        <v>0</v>
      </c>
      <c r="P73" s="414">
        <f t="shared" si="37"/>
        <v>0</v>
      </c>
      <c r="Q73" s="414">
        <f t="shared" si="37"/>
        <v>0</v>
      </c>
      <c r="R73" s="414">
        <f t="shared" si="37"/>
        <v>0</v>
      </c>
      <c r="S73" s="414">
        <f t="shared" si="37"/>
        <v>0</v>
      </c>
      <c r="T73" s="414">
        <f t="shared" si="37"/>
        <v>0</v>
      </c>
      <c r="U73" s="414">
        <f t="shared" si="37"/>
        <v>0</v>
      </c>
      <c r="V73" s="414">
        <f t="shared" si="37"/>
        <v>0</v>
      </c>
      <c r="W73" s="414">
        <f t="shared" si="37"/>
        <v>0</v>
      </c>
      <c r="X73" s="414">
        <f t="shared" si="37"/>
        <v>0</v>
      </c>
      <c r="Y73" s="414">
        <f t="shared" si="37"/>
        <v>0</v>
      </c>
      <c r="Z73" s="414">
        <f t="shared" si="37"/>
        <v>0</v>
      </c>
      <c r="AA73" s="414">
        <f t="shared" si="37"/>
        <v>0</v>
      </c>
      <c r="AB73" s="414">
        <f t="shared" si="37"/>
        <v>0</v>
      </c>
      <c r="AC73" s="414">
        <f t="shared" si="37"/>
        <v>0</v>
      </c>
      <c r="AD73" s="414">
        <f t="shared" si="37"/>
        <v>0</v>
      </c>
      <c r="AE73" s="414">
        <f t="shared" si="37"/>
        <v>0</v>
      </c>
      <c r="AF73" s="414">
        <f t="shared" si="37"/>
        <v>0</v>
      </c>
      <c r="AG73" s="414">
        <f t="shared" si="37"/>
        <v>0</v>
      </c>
      <c r="AH73" s="414">
        <f t="shared" si="37"/>
        <v>0</v>
      </c>
      <c r="AI73" s="415">
        <f t="shared" si="37"/>
        <v>0</v>
      </c>
    </row>
    <row r="74" spans="1:35">
      <c r="A74" s="901" t="str">
        <f>报表格式!L73</f>
        <v xml:space="preserve">     归属于少数股东的综合收益总额</v>
      </c>
      <c r="B74" s="393">
        <f>SUM(C74:E74)</f>
        <v>0</v>
      </c>
      <c r="C74" s="393">
        <f>C50+C71</f>
        <v>0</v>
      </c>
      <c r="D74" s="393">
        <f>D50+D71</f>
        <v>0</v>
      </c>
      <c r="E74" s="393">
        <f t="shared" si="0"/>
        <v>0</v>
      </c>
      <c r="F74" s="393">
        <f t="shared" si="24"/>
        <v>0</v>
      </c>
      <c r="G74" s="393">
        <f>G50+G71</f>
        <v>0</v>
      </c>
      <c r="H74" s="393">
        <f>H50+H71</f>
        <v>0</v>
      </c>
      <c r="I74" s="393">
        <f>I50+I71</f>
        <v>0</v>
      </c>
      <c r="J74" s="393">
        <f>SUM(K74:W74)</f>
        <v>0</v>
      </c>
      <c r="K74" s="393">
        <f t="shared" ref="K74:AI74" si="38">K50+K71</f>
        <v>0</v>
      </c>
      <c r="L74" s="393">
        <f t="shared" si="38"/>
        <v>0</v>
      </c>
      <c r="M74" s="393">
        <f t="shared" si="38"/>
        <v>0</v>
      </c>
      <c r="N74" s="393">
        <f t="shared" si="38"/>
        <v>0</v>
      </c>
      <c r="O74" s="393">
        <f t="shared" si="38"/>
        <v>0</v>
      </c>
      <c r="P74" s="393">
        <f t="shared" si="38"/>
        <v>0</v>
      </c>
      <c r="Q74" s="393">
        <f t="shared" si="38"/>
        <v>0</v>
      </c>
      <c r="R74" s="393">
        <f t="shared" si="38"/>
        <v>0</v>
      </c>
      <c r="S74" s="393">
        <f t="shared" si="38"/>
        <v>0</v>
      </c>
      <c r="T74" s="393">
        <f t="shared" si="38"/>
        <v>0</v>
      </c>
      <c r="U74" s="393">
        <f t="shared" si="38"/>
        <v>0</v>
      </c>
      <c r="V74" s="393">
        <f t="shared" si="38"/>
        <v>0</v>
      </c>
      <c r="W74" s="393">
        <f t="shared" si="38"/>
        <v>0</v>
      </c>
      <c r="X74" s="393">
        <f t="shared" si="38"/>
        <v>0</v>
      </c>
      <c r="Y74" s="393">
        <f t="shared" si="38"/>
        <v>0</v>
      </c>
      <c r="Z74" s="393">
        <f t="shared" si="38"/>
        <v>0</v>
      </c>
      <c r="AA74" s="393">
        <f t="shared" si="38"/>
        <v>0</v>
      </c>
      <c r="AB74" s="393">
        <f t="shared" si="38"/>
        <v>0</v>
      </c>
      <c r="AC74" s="393">
        <f t="shared" si="38"/>
        <v>0</v>
      </c>
      <c r="AD74" s="393">
        <f t="shared" si="38"/>
        <v>0</v>
      </c>
      <c r="AE74" s="393">
        <f t="shared" si="38"/>
        <v>0</v>
      </c>
      <c r="AF74" s="393">
        <f t="shared" si="38"/>
        <v>0</v>
      </c>
      <c r="AG74" s="393">
        <f t="shared" si="38"/>
        <v>0</v>
      </c>
      <c r="AH74" s="393">
        <f t="shared" si="38"/>
        <v>0</v>
      </c>
      <c r="AI74" s="394">
        <f t="shared" si="38"/>
        <v>0</v>
      </c>
    </row>
    <row r="75" spans="1:35">
      <c r="A75" s="911" t="str">
        <f>报表格式!L74</f>
        <v>七、每股收益</v>
      </c>
      <c r="B75" s="393">
        <f t="shared" si="1"/>
        <v>0</v>
      </c>
      <c r="C75" s="393"/>
      <c r="D75" s="393"/>
      <c r="E75" s="393">
        <f t="shared" si="0"/>
        <v>0</v>
      </c>
      <c r="F75" s="393">
        <f t="shared" si="24"/>
        <v>0</v>
      </c>
      <c r="G75" s="393"/>
      <c r="H75" s="393"/>
      <c r="I75" s="393"/>
      <c r="J75" s="393">
        <f t="shared" ref="J75:J89" si="39">SUM(K75:W75)</f>
        <v>0</v>
      </c>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4"/>
    </row>
    <row r="76" spans="1:35">
      <c r="A76" s="901" t="str">
        <f>报表格式!L75</f>
        <v xml:space="preserve">   （一）基本每股收益</v>
      </c>
      <c r="B76" s="393">
        <f t="shared" si="1"/>
        <v>0</v>
      </c>
      <c r="C76" s="393"/>
      <c r="D76" s="393"/>
      <c r="E76" s="393">
        <f t="shared" si="0"/>
        <v>0</v>
      </c>
      <c r="F76" s="393">
        <f t="shared" si="24"/>
        <v>0</v>
      </c>
      <c r="G76" s="393"/>
      <c r="H76" s="393"/>
      <c r="I76" s="393"/>
      <c r="J76" s="393">
        <f t="shared" si="39"/>
        <v>0</v>
      </c>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4"/>
    </row>
    <row r="77" spans="1:35">
      <c r="A77" s="901" t="str">
        <f>报表格式!L76</f>
        <v xml:space="preserve">   （二）稀释每股收益</v>
      </c>
      <c r="B77" s="393">
        <f t="shared" si="1"/>
        <v>0</v>
      </c>
      <c r="C77" s="393"/>
      <c r="D77" s="393"/>
      <c r="E77" s="393">
        <f t="shared" si="0"/>
        <v>0</v>
      </c>
      <c r="F77" s="393">
        <f t="shared" si="24"/>
        <v>0</v>
      </c>
      <c r="G77" s="393"/>
      <c r="H77" s="393"/>
      <c r="I77" s="393"/>
      <c r="J77" s="393">
        <f t="shared" si="39"/>
        <v>0</v>
      </c>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4"/>
    </row>
    <row r="78" spans="1:35">
      <c r="A78" s="911" t="str">
        <f>报表格式!L77</f>
        <v>八、利润分配</v>
      </c>
      <c r="B78" s="393">
        <f t="shared" ref="B78:B89" si="40">SUM(C78:E78)</f>
        <v>0</v>
      </c>
      <c r="C78" s="393"/>
      <c r="D78" s="393"/>
      <c r="E78" s="393">
        <f t="shared" si="0"/>
        <v>0</v>
      </c>
      <c r="F78" s="393">
        <f t="shared" si="24"/>
        <v>0</v>
      </c>
      <c r="G78" s="393"/>
      <c r="H78" s="393"/>
      <c r="I78" s="393"/>
      <c r="J78" s="393">
        <f t="shared" si="39"/>
        <v>0</v>
      </c>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4"/>
    </row>
    <row r="79" spans="1:35">
      <c r="A79" s="901" t="str">
        <f>报表格式!L78</f>
        <v xml:space="preserve">   （一）年初未分配利润</v>
      </c>
      <c r="B79" s="393">
        <f t="shared" si="40"/>
        <v>0</v>
      </c>
      <c r="C79" s="393"/>
      <c r="D79" s="393"/>
      <c r="E79" s="393">
        <f t="shared" si="0"/>
        <v>0</v>
      </c>
      <c r="F79" s="393">
        <f t="shared" si="24"/>
        <v>0</v>
      </c>
      <c r="G79" s="393"/>
      <c r="H79" s="393"/>
      <c r="I79" s="393"/>
      <c r="J79" s="393">
        <f t="shared" si="39"/>
        <v>0</v>
      </c>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4"/>
    </row>
    <row r="80" spans="1:35">
      <c r="A80" s="901" t="str">
        <f>报表格式!L79</f>
        <v xml:space="preserve">   （二）可供分配的利润</v>
      </c>
      <c r="B80" s="393">
        <f t="shared" si="40"/>
        <v>0</v>
      </c>
      <c r="C80" s="393">
        <f>C49+C79</f>
        <v>0</v>
      </c>
      <c r="D80" s="393">
        <f>D49+D79</f>
        <v>0</v>
      </c>
      <c r="E80" s="393">
        <f t="shared" si="0"/>
        <v>0</v>
      </c>
      <c r="F80" s="393">
        <f t="shared" si="24"/>
        <v>0</v>
      </c>
      <c r="G80" s="393">
        <f>G49+G79</f>
        <v>0</v>
      </c>
      <c r="H80" s="393">
        <f>H49+H79</f>
        <v>0</v>
      </c>
      <c r="I80" s="393">
        <f>I49+I79</f>
        <v>0</v>
      </c>
      <c r="J80" s="393">
        <f t="shared" si="39"/>
        <v>0</v>
      </c>
      <c r="K80" s="393">
        <f t="shared" ref="K80:AI80" si="41">K49+K79</f>
        <v>0</v>
      </c>
      <c r="L80" s="393">
        <f t="shared" si="41"/>
        <v>0</v>
      </c>
      <c r="M80" s="393">
        <f t="shared" si="41"/>
        <v>0</v>
      </c>
      <c r="N80" s="393">
        <f t="shared" si="41"/>
        <v>0</v>
      </c>
      <c r="O80" s="393">
        <f t="shared" si="41"/>
        <v>0</v>
      </c>
      <c r="P80" s="393">
        <f t="shared" si="41"/>
        <v>0</v>
      </c>
      <c r="Q80" s="393">
        <f t="shared" si="41"/>
        <v>0</v>
      </c>
      <c r="R80" s="393">
        <f t="shared" si="41"/>
        <v>0</v>
      </c>
      <c r="S80" s="393">
        <f t="shared" si="41"/>
        <v>0</v>
      </c>
      <c r="T80" s="393">
        <f t="shared" si="41"/>
        <v>0</v>
      </c>
      <c r="U80" s="393">
        <f t="shared" si="41"/>
        <v>0</v>
      </c>
      <c r="V80" s="393">
        <f t="shared" si="41"/>
        <v>0</v>
      </c>
      <c r="W80" s="393">
        <f t="shared" si="41"/>
        <v>0</v>
      </c>
      <c r="X80" s="393">
        <f t="shared" si="41"/>
        <v>0</v>
      </c>
      <c r="Y80" s="393">
        <f t="shared" si="41"/>
        <v>0</v>
      </c>
      <c r="Z80" s="393">
        <f t="shared" si="41"/>
        <v>0</v>
      </c>
      <c r="AA80" s="393">
        <f t="shared" si="41"/>
        <v>0</v>
      </c>
      <c r="AB80" s="393">
        <f t="shared" si="41"/>
        <v>0</v>
      </c>
      <c r="AC80" s="393">
        <f t="shared" si="41"/>
        <v>0</v>
      </c>
      <c r="AD80" s="393">
        <f t="shared" si="41"/>
        <v>0</v>
      </c>
      <c r="AE80" s="393">
        <f t="shared" si="41"/>
        <v>0</v>
      </c>
      <c r="AF80" s="393">
        <f t="shared" si="41"/>
        <v>0</v>
      </c>
      <c r="AG80" s="393">
        <f t="shared" si="41"/>
        <v>0</v>
      </c>
      <c r="AH80" s="393">
        <f t="shared" si="41"/>
        <v>0</v>
      </c>
      <c r="AI80" s="394">
        <f t="shared" si="41"/>
        <v>0</v>
      </c>
    </row>
    <row r="81" spans="1:35">
      <c r="A81" s="901" t="str">
        <f>报表格式!L80</f>
        <v xml:space="preserve">    1、提取法定盈余公积</v>
      </c>
      <c r="B81" s="393">
        <f t="shared" si="40"/>
        <v>0</v>
      </c>
      <c r="C81" s="393"/>
      <c r="D81" s="393"/>
      <c r="E81" s="393">
        <f t="shared" si="0"/>
        <v>0</v>
      </c>
      <c r="F81" s="393">
        <f t="shared" si="24"/>
        <v>0</v>
      </c>
      <c r="G81" s="393"/>
      <c r="H81" s="393"/>
      <c r="I81" s="393"/>
      <c r="J81" s="393">
        <f t="shared" si="39"/>
        <v>0</v>
      </c>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4"/>
    </row>
    <row r="82" spans="1:35">
      <c r="A82" s="901" t="str">
        <f>报表格式!L81</f>
        <v xml:space="preserve">    2、其他</v>
      </c>
      <c r="B82" s="393">
        <f t="shared" si="40"/>
        <v>0</v>
      </c>
      <c r="C82" s="393"/>
      <c r="D82" s="393"/>
      <c r="E82" s="393">
        <f t="shared" si="0"/>
        <v>0</v>
      </c>
      <c r="F82" s="393">
        <f t="shared" si="24"/>
        <v>0</v>
      </c>
      <c r="G82" s="393"/>
      <c r="H82" s="393"/>
      <c r="I82" s="393"/>
      <c r="J82" s="393">
        <f t="shared" si="39"/>
        <v>0</v>
      </c>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4"/>
    </row>
    <row r="83" spans="1:35">
      <c r="A83" s="901" t="str">
        <f>报表格式!L82</f>
        <v xml:space="preserve">   （三）可供投资者分配的利润</v>
      </c>
      <c r="B83" s="393">
        <f t="shared" si="40"/>
        <v>0</v>
      </c>
      <c r="C83" s="393">
        <f>C80-C81-C82</f>
        <v>0</v>
      </c>
      <c r="D83" s="393">
        <f>D80-D81-D82</f>
        <v>0</v>
      </c>
      <c r="E83" s="393">
        <f t="shared" si="0"/>
        <v>0</v>
      </c>
      <c r="F83" s="393">
        <f t="shared" si="24"/>
        <v>0</v>
      </c>
      <c r="G83" s="393">
        <f>G80-G81-G82</f>
        <v>0</v>
      </c>
      <c r="H83" s="393">
        <f>H80-H81-H82</f>
        <v>0</v>
      </c>
      <c r="I83" s="393">
        <f>I80-I81-I82</f>
        <v>0</v>
      </c>
      <c r="J83" s="393">
        <f t="shared" si="39"/>
        <v>0</v>
      </c>
      <c r="K83" s="393">
        <f t="shared" ref="K83:AI83" si="42">K80-K81-K82</f>
        <v>0</v>
      </c>
      <c r="L83" s="393">
        <f t="shared" si="42"/>
        <v>0</v>
      </c>
      <c r="M83" s="393">
        <f t="shared" si="42"/>
        <v>0</v>
      </c>
      <c r="N83" s="393">
        <f t="shared" si="42"/>
        <v>0</v>
      </c>
      <c r="O83" s="393">
        <f t="shared" si="42"/>
        <v>0</v>
      </c>
      <c r="P83" s="393">
        <f t="shared" si="42"/>
        <v>0</v>
      </c>
      <c r="Q83" s="393">
        <f t="shared" si="42"/>
        <v>0</v>
      </c>
      <c r="R83" s="393">
        <f t="shared" si="42"/>
        <v>0</v>
      </c>
      <c r="S83" s="393">
        <f t="shared" si="42"/>
        <v>0</v>
      </c>
      <c r="T83" s="393">
        <f t="shared" si="42"/>
        <v>0</v>
      </c>
      <c r="U83" s="393">
        <f t="shared" si="42"/>
        <v>0</v>
      </c>
      <c r="V83" s="393">
        <f t="shared" si="42"/>
        <v>0</v>
      </c>
      <c r="W83" s="393">
        <f t="shared" si="42"/>
        <v>0</v>
      </c>
      <c r="X83" s="393">
        <f t="shared" si="42"/>
        <v>0</v>
      </c>
      <c r="Y83" s="393">
        <f t="shared" si="42"/>
        <v>0</v>
      </c>
      <c r="Z83" s="393">
        <f t="shared" si="42"/>
        <v>0</v>
      </c>
      <c r="AA83" s="393">
        <f t="shared" si="42"/>
        <v>0</v>
      </c>
      <c r="AB83" s="393">
        <f t="shared" si="42"/>
        <v>0</v>
      </c>
      <c r="AC83" s="393">
        <f t="shared" si="42"/>
        <v>0</v>
      </c>
      <c r="AD83" s="393">
        <f t="shared" si="42"/>
        <v>0</v>
      </c>
      <c r="AE83" s="393">
        <f t="shared" si="42"/>
        <v>0</v>
      </c>
      <c r="AF83" s="393">
        <f t="shared" si="42"/>
        <v>0</v>
      </c>
      <c r="AG83" s="393">
        <f t="shared" si="42"/>
        <v>0</v>
      </c>
      <c r="AH83" s="393">
        <f t="shared" si="42"/>
        <v>0</v>
      </c>
      <c r="AI83" s="394">
        <f t="shared" si="42"/>
        <v>0</v>
      </c>
    </row>
    <row r="84" spans="1:35">
      <c r="A84" s="901" t="str">
        <f>报表格式!L83</f>
        <v xml:space="preserve">    1、应付优先股股利</v>
      </c>
      <c r="B84" s="393">
        <f t="shared" si="40"/>
        <v>0</v>
      </c>
      <c r="C84" s="393"/>
      <c r="D84" s="393"/>
      <c r="E84" s="393">
        <f t="shared" ref="E84:E89" si="43">SUM(F84,X84:AI84)</f>
        <v>0</v>
      </c>
      <c r="F84" s="393">
        <f t="shared" si="24"/>
        <v>0</v>
      </c>
      <c r="G84" s="393"/>
      <c r="H84" s="393"/>
      <c r="I84" s="393"/>
      <c r="J84" s="393">
        <f t="shared" si="39"/>
        <v>0</v>
      </c>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4"/>
    </row>
    <row r="85" spans="1:35">
      <c r="A85" s="901" t="str">
        <f>报表格式!L84</f>
        <v xml:space="preserve">    2、提取任意盈余公积</v>
      </c>
      <c r="B85" s="393">
        <f t="shared" si="40"/>
        <v>0</v>
      </c>
      <c r="C85" s="393"/>
      <c r="D85" s="393"/>
      <c r="E85" s="393">
        <f t="shared" si="43"/>
        <v>0</v>
      </c>
      <c r="F85" s="393">
        <f t="shared" si="24"/>
        <v>0</v>
      </c>
      <c r="G85" s="393"/>
      <c r="H85" s="393"/>
      <c r="I85" s="393"/>
      <c r="J85" s="393">
        <f t="shared" si="39"/>
        <v>0</v>
      </c>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4"/>
    </row>
    <row r="86" spans="1:35">
      <c r="A86" s="901" t="str">
        <f>报表格式!L85</f>
        <v xml:space="preserve">    3、应付普通股股利（应付利润）</v>
      </c>
      <c r="B86" s="393">
        <f t="shared" si="40"/>
        <v>0</v>
      </c>
      <c r="C86" s="393"/>
      <c r="D86" s="393"/>
      <c r="E86" s="393">
        <f t="shared" si="43"/>
        <v>0</v>
      </c>
      <c r="F86" s="393">
        <f t="shared" si="24"/>
        <v>0</v>
      </c>
      <c r="G86" s="393"/>
      <c r="H86" s="393"/>
      <c r="I86" s="393"/>
      <c r="J86" s="393">
        <f t="shared" si="39"/>
        <v>0</v>
      </c>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4"/>
    </row>
    <row r="87" spans="1:35">
      <c r="A87" s="901" t="str">
        <f>报表格式!L86</f>
        <v xml:space="preserve">    4、转作资本（或股本）的普通股股利</v>
      </c>
      <c r="B87" s="393">
        <f t="shared" si="40"/>
        <v>0</v>
      </c>
      <c r="C87" s="393"/>
      <c r="D87" s="393"/>
      <c r="E87" s="393">
        <f t="shared" si="43"/>
        <v>0</v>
      </c>
      <c r="F87" s="393">
        <f t="shared" si="24"/>
        <v>0</v>
      </c>
      <c r="G87" s="393"/>
      <c r="H87" s="393"/>
      <c r="I87" s="393"/>
      <c r="J87" s="393">
        <f t="shared" si="39"/>
        <v>0</v>
      </c>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4"/>
    </row>
    <row r="88" spans="1:35">
      <c r="A88" s="901" t="str">
        <f>报表格式!L87</f>
        <v xml:space="preserve">    5、其他</v>
      </c>
      <c r="B88" s="393">
        <f t="shared" si="40"/>
        <v>0</v>
      </c>
      <c r="C88" s="393"/>
      <c r="D88" s="393"/>
      <c r="E88" s="393">
        <f t="shared" si="43"/>
        <v>0</v>
      </c>
      <c r="F88" s="393">
        <f t="shared" si="24"/>
        <v>0</v>
      </c>
      <c r="G88" s="393"/>
      <c r="H88" s="393"/>
      <c r="I88" s="393"/>
      <c r="J88" s="393">
        <f t="shared" si="39"/>
        <v>0</v>
      </c>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4"/>
    </row>
    <row r="89" spans="1:35">
      <c r="A89" s="912" t="str">
        <f>报表格式!L88</f>
        <v>九、未分配利润</v>
      </c>
      <c r="B89" s="416">
        <f t="shared" si="40"/>
        <v>0</v>
      </c>
      <c r="C89" s="416">
        <f>C83-SUM(C84:C88)</f>
        <v>0</v>
      </c>
      <c r="D89" s="416">
        <f>D83-SUM(D84:D88)</f>
        <v>0</v>
      </c>
      <c r="E89" s="416">
        <f t="shared" si="43"/>
        <v>0</v>
      </c>
      <c r="F89" s="416">
        <f t="shared" si="24"/>
        <v>0</v>
      </c>
      <c r="G89" s="416">
        <f>G83-SUM(G84:G88)</f>
        <v>0</v>
      </c>
      <c r="H89" s="416">
        <f>H83-SUM(H84:H88)</f>
        <v>0</v>
      </c>
      <c r="I89" s="416">
        <f>I83-SUM(I84:I88)</f>
        <v>0</v>
      </c>
      <c r="J89" s="416">
        <f t="shared" si="39"/>
        <v>0</v>
      </c>
      <c r="K89" s="416">
        <f t="shared" ref="K89:AI89" si="44">K83-SUM(K84:K88)</f>
        <v>0</v>
      </c>
      <c r="L89" s="416">
        <f t="shared" si="44"/>
        <v>0</v>
      </c>
      <c r="M89" s="416">
        <f t="shared" si="44"/>
        <v>0</v>
      </c>
      <c r="N89" s="416">
        <f t="shared" si="44"/>
        <v>0</v>
      </c>
      <c r="O89" s="416">
        <f t="shared" si="44"/>
        <v>0</v>
      </c>
      <c r="P89" s="416">
        <f t="shared" si="44"/>
        <v>0</v>
      </c>
      <c r="Q89" s="416">
        <f t="shared" si="44"/>
        <v>0</v>
      </c>
      <c r="R89" s="416">
        <f t="shared" si="44"/>
        <v>0</v>
      </c>
      <c r="S89" s="416">
        <f t="shared" si="44"/>
        <v>0</v>
      </c>
      <c r="T89" s="416">
        <f t="shared" si="44"/>
        <v>0</v>
      </c>
      <c r="U89" s="416">
        <f t="shared" si="44"/>
        <v>0</v>
      </c>
      <c r="V89" s="416">
        <f t="shared" si="44"/>
        <v>0</v>
      </c>
      <c r="W89" s="416">
        <f t="shared" si="44"/>
        <v>0</v>
      </c>
      <c r="X89" s="416">
        <f t="shared" si="44"/>
        <v>0</v>
      </c>
      <c r="Y89" s="416">
        <f t="shared" si="44"/>
        <v>0</v>
      </c>
      <c r="Z89" s="416">
        <f t="shared" si="44"/>
        <v>0</v>
      </c>
      <c r="AA89" s="416">
        <f t="shared" si="44"/>
        <v>0</v>
      </c>
      <c r="AB89" s="416">
        <f t="shared" si="44"/>
        <v>0</v>
      </c>
      <c r="AC89" s="416">
        <f t="shared" si="44"/>
        <v>0</v>
      </c>
      <c r="AD89" s="416">
        <f t="shared" si="44"/>
        <v>0</v>
      </c>
      <c r="AE89" s="416">
        <f t="shared" si="44"/>
        <v>0</v>
      </c>
      <c r="AF89" s="416">
        <f t="shared" si="44"/>
        <v>0</v>
      </c>
      <c r="AG89" s="416">
        <f t="shared" si="44"/>
        <v>0</v>
      </c>
      <c r="AH89" s="416">
        <f t="shared" si="44"/>
        <v>0</v>
      </c>
      <c r="AI89" s="417">
        <f t="shared" si="44"/>
        <v>0</v>
      </c>
    </row>
    <row r="92" spans="1:35">
      <c r="A92" s="907" t="s">
        <v>101</v>
      </c>
    </row>
    <row r="93" spans="1:35" s="587" customFormat="1">
      <c r="A93" s="909" t="s">
        <v>547</v>
      </c>
      <c r="B93" s="632">
        <f>SUM(B6)-SUM(B12,B22:B26)+SUM(B29:B37,-B31-B32)-B38</f>
        <v>0</v>
      </c>
      <c r="C93" s="632">
        <f t="shared" ref="C93:E93" si="45">SUM(C6)-SUM(C12,C22:C26)+SUM(C29:C37,-C31-C32)-C38</f>
        <v>0</v>
      </c>
      <c r="D93" s="632">
        <f t="shared" si="45"/>
        <v>0</v>
      </c>
      <c r="E93" s="632">
        <f t="shared" si="45"/>
        <v>0</v>
      </c>
      <c r="F93" s="632">
        <f>SUM(F6)-SUM(F12,F22:F26)+SUM(F29:F37,-F31-F32)-F38</f>
        <v>0</v>
      </c>
      <c r="G93" s="632">
        <f t="shared" ref="G93:AI93" si="46">SUM(G6)-SUM(G12,G22:G26)+SUM(G29:G37,-G31-G32)-G38</f>
        <v>0</v>
      </c>
      <c r="H93" s="632">
        <f t="shared" si="46"/>
        <v>0</v>
      </c>
      <c r="I93" s="632">
        <f t="shared" si="46"/>
        <v>0</v>
      </c>
      <c r="J93" s="632">
        <f t="shared" si="46"/>
        <v>0</v>
      </c>
      <c r="K93" s="632">
        <f t="shared" si="46"/>
        <v>0</v>
      </c>
      <c r="L93" s="632">
        <f t="shared" si="46"/>
        <v>0</v>
      </c>
      <c r="M93" s="632">
        <f t="shared" si="46"/>
        <v>0</v>
      </c>
      <c r="N93" s="632">
        <f t="shared" si="46"/>
        <v>0</v>
      </c>
      <c r="O93" s="632">
        <f t="shared" si="46"/>
        <v>0</v>
      </c>
      <c r="P93" s="632">
        <f t="shared" si="46"/>
        <v>0</v>
      </c>
      <c r="Q93" s="632">
        <f t="shared" si="46"/>
        <v>0</v>
      </c>
      <c r="R93" s="632">
        <f t="shared" si="46"/>
        <v>0</v>
      </c>
      <c r="S93" s="632">
        <f t="shared" si="46"/>
        <v>0</v>
      </c>
      <c r="T93" s="632">
        <f t="shared" si="46"/>
        <v>0</v>
      </c>
      <c r="U93" s="632">
        <f t="shared" si="46"/>
        <v>0</v>
      </c>
      <c r="V93" s="632">
        <f t="shared" si="46"/>
        <v>0</v>
      </c>
      <c r="W93" s="632">
        <f t="shared" si="46"/>
        <v>0</v>
      </c>
      <c r="X93" s="632">
        <f t="shared" si="46"/>
        <v>0</v>
      </c>
      <c r="Y93" s="632">
        <f t="shared" si="46"/>
        <v>0</v>
      </c>
      <c r="Z93" s="632">
        <f t="shared" si="46"/>
        <v>0</v>
      </c>
      <c r="AA93" s="632">
        <f t="shared" si="46"/>
        <v>0</v>
      </c>
      <c r="AB93" s="632">
        <f t="shared" si="46"/>
        <v>0</v>
      </c>
      <c r="AC93" s="632">
        <f t="shared" si="46"/>
        <v>0</v>
      </c>
      <c r="AD93" s="632">
        <f t="shared" si="46"/>
        <v>0</v>
      </c>
      <c r="AE93" s="632">
        <f t="shared" si="46"/>
        <v>0</v>
      </c>
      <c r="AF93" s="632">
        <f t="shared" si="46"/>
        <v>0</v>
      </c>
      <c r="AG93" s="632">
        <f t="shared" si="46"/>
        <v>0</v>
      </c>
      <c r="AH93" s="632">
        <f t="shared" si="46"/>
        <v>0</v>
      </c>
      <c r="AI93" s="632">
        <f t="shared" si="46"/>
        <v>0</v>
      </c>
    </row>
    <row r="94" spans="1:35" s="587" customFormat="1">
      <c r="A94" s="909" t="s">
        <v>548</v>
      </c>
      <c r="B94" s="632">
        <f t="shared" ref="B94:AI94" si="47">SUM(B38,B39,-B40)-B41</f>
        <v>0</v>
      </c>
      <c r="C94" s="433">
        <f t="shared" si="47"/>
        <v>0</v>
      </c>
      <c r="D94" s="433">
        <f t="shared" si="47"/>
        <v>0</v>
      </c>
      <c r="E94" s="433">
        <f t="shared" si="47"/>
        <v>0</v>
      </c>
      <c r="F94" s="433">
        <f t="shared" si="47"/>
        <v>0</v>
      </c>
      <c r="G94" s="433">
        <f t="shared" si="47"/>
        <v>0</v>
      </c>
      <c r="H94" s="433">
        <f t="shared" si="47"/>
        <v>0</v>
      </c>
      <c r="I94" s="433">
        <f t="shared" si="47"/>
        <v>0</v>
      </c>
      <c r="J94" s="433">
        <f t="shared" si="47"/>
        <v>0</v>
      </c>
      <c r="K94" s="433">
        <f t="shared" si="47"/>
        <v>0</v>
      </c>
      <c r="L94" s="433">
        <f t="shared" si="47"/>
        <v>0</v>
      </c>
      <c r="M94" s="433">
        <f t="shared" si="47"/>
        <v>0</v>
      </c>
      <c r="N94" s="433">
        <f t="shared" si="47"/>
        <v>0</v>
      </c>
      <c r="O94" s="433">
        <f t="shared" si="47"/>
        <v>0</v>
      </c>
      <c r="P94" s="433">
        <f t="shared" si="47"/>
        <v>0</v>
      </c>
      <c r="Q94" s="433">
        <f t="shared" si="47"/>
        <v>0</v>
      </c>
      <c r="R94" s="433">
        <f t="shared" si="47"/>
        <v>0</v>
      </c>
      <c r="S94" s="433">
        <f t="shared" si="47"/>
        <v>0</v>
      </c>
      <c r="T94" s="433">
        <f t="shared" si="47"/>
        <v>0</v>
      </c>
      <c r="U94" s="433">
        <f t="shared" si="47"/>
        <v>0</v>
      </c>
      <c r="V94" s="433">
        <f t="shared" si="47"/>
        <v>0</v>
      </c>
      <c r="W94" s="433">
        <f t="shared" si="47"/>
        <v>0</v>
      </c>
      <c r="X94" s="433">
        <f t="shared" si="47"/>
        <v>0</v>
      </c>
      <c r="Y94" s="433">
        <f t="shared" si="47"/>
        <v>0</v>
      </c>
      <c r="Z94" s="433">
        <f t="shared" si="47"/>
        <v>0</v>
      </c>
      <c r="AA94" s="433">
        <f t="shared" si="47"/>
        <v>0</v>
      </c>
      <c r="AB94" s="433">
        <f t="shared" si="47"/>
        <v>0</v>
      </c>
      <c r="AC94" s="433">
        <f t="shared" si="47"/>
        <v>0</v>
      </c>
      <c r="AD94" s="433">
        <f t="shared" si="47"/>
        <v>0</v>
      </c>
      <c r="AE94" s="433">
        <f t="shared" si="47"/>
        <v>0</v>
      </c>
      <c r="AF94" s="433">
        <f t="shared" si="47"/>
        <v>0</v>
      </c>
      <c r="AG94" s="433">
        <f t="shared" si="47"/>
        <v>0</v>
      </c>
      <c r="AH94" s="433">
        <f t="shared" si="47"/>
        <v>0</v>
      </c>
      <c r="AI94" s="433">
        <f t="shared" si="47"/>
        <v>0</v>
      </c>
    </row>
    <row r="95" spans="1:35" s="587" customFormat="1">
      <c r="A95" s="908" t="s">
        <v>113</v>
      </c>
      <c r="B95" s="632">
        <f t="shared" ref="B95:AI95" si="48">SUM(B41,-B42,-B43)-B44</f>
        <v>0</v>
      </c>
      <c r="C95" s="433">
        <f t="shared" si="48"/>
        <v>0</v>
      </c>
      <c r="D95" s="433">
        <f t="shared" si="48"/>
        <v>0</v>
      </c>
      <c r="E95" s="433">
        <f t="shared" si="48"/>
        <v>0</v>
      </c>
      <c r="F95" s="433">
        <f t="shared" si="48"/>
        <v>0</v>
      </c>
      <c r="G95" s="433">
        <f t="shared" si="48"/>
        <v>0</v>
      </c>
      <c r="H95" s="433">
        <f t="shared" si="48"/>
        <v>0</v>
      </c>
      <c r="I95" s="433">
        <f t="shared" si="48"/>
        <v>0</v>
      </c>
      <c r="J95" s="433">
        <f t="shared" si="48"/>
        <v>0</v>
      </c>
      <c r="K95" s="433">
        <f t="shared" si="48"/>
        <v>0</v>
      </c>
      <c r="L95" s="433">
        <f t="shared" si="48"/>
        <v>0</v>
      </c>
      <c r="M95" s="433">
        <f t="shared" si="48"/>
        <v>0</v>
      </c>
      <c r="N95" s="433">
        <f t="shared" si="48"/>
        <v>0</v>
      </c>
      <c r="O95" s="433">
        <f t="shared" si="48"/>
        <v>0</v>
      </c>
      <c r="P95" s="433">
        <f t="shared" si="48"/>
        <v>0</v>
      </c>
      <c r="Q95" s="433">
        <f t="shared" si="48"/>
        <v>0</v>
      </c>
      <c r="R95" s="433">
        <f t="shared" si="48"/>
        <v>0</v>
      </c>
      <c r="S95" s="433">
        <f t="shared" si="48"/>
        <v>0</v>
      </c>
      <c r="T95" s="433">
        <f t="shared" si="48"/>
        <v>0</v>
      </c>
      <c r="U95" s="433">
        <f t="shared" si="48"/>
        <v>0</v>
      </c>
      <c r="V95" s="433">
        <f t="shared" si="48"/>
        <v>0</v>
      </c>
      <c r="W95" s="433">
        <f t="shared" si="48"/>
        <v>0</v>
      </c>
      <c r="X95" s="433">
        <f t="shared" si="48"/>
        <v>0</v>
      </c>
      <c r="Y95" s="433">
        <f t="shared" si="48"/>
        <v>0</v>
      </c>
      <c r="Z95" s="433">
        <f t="shared" si="48"/>
        <v>0</v>
      </c>
      <c r="AA95" s="433">
        <f t="shared" si="48"/>
        <v>0</v>
      </c>
      <c r="AB95" s="433">
        <f t="shared" si="48"/>
        <v>0</v>
      </c>
      <c r="AC95" s="433">
        <f t="shared" si="48"/>
        <v>0</v>
      </c>
      <c r="AD95" s="433">
        <f t="shared" si="48"/>
        <v>0</v>
      </c>
      <c r="AE95" s="433">
        <f t="shared" si="48"/>
        <v>0</v>
      </c>
      <c r="AF95" s="433">
        <f t="shared" si="48"/>
        <v>0</v>
      </c>
      <c r="AG95" s="433">
        <f t="shared" si="48"/>
        <v>0</v>
      </c>
      <c r="AH95" s="433">
        <f t="shared" si="48"/>
        <v>0</v>
      </c>
      <c r="AI95" s="433">
        <f t="shared" si="48"/>
        <v>0</v>
      </c>
    </row>
    <row r="96" spans="1:35" s="587" customFormat="1">
      <c r="A96" s="908" t="s">
        <v>114</v>
      </c>
      <c r="B96" s="632">
        <f t="shared" ref="B96:AI96" si="49">SUM(B44,-B50)-B49</f>
        <v>0</v>
      </c>
      <c r="C96" s="433">
        <f t="shared" si="49"/>
        <v>0</v>
      </c>
      <c r="D96" s="433">
        <f t="shared" si="49"/>
        <v>0</v>
      </c>
      <c r="E96" s="433">
        <f t="shared" si="49"/>
        <v>0</v>
      </c>
      <c r="F96" s="433">
        <f t="shared" si="49"/>
        <v>0</v>
      </c>
      <c r="G96" s="433">
        <f t="shared" si="49"/>
        <v>0</v>
      </c>
      <c r="H96" s="433">
        <f t="shared" si="49"/>
        <v>0</v>
      </c>
      <c r="I96" s="433">
        <f t="shared" si="49"/>
        <v>0</v>
      </c>
      <c r="J96" s="433">
        <f t="shared" si="49"/>
        <v>0</v>
      </c>
      <c r="K96" s="433">
        <f t="shared" si="49"/>
        <v>0</v>
      </c>
      <c r="L96" s="433">
        <f t="shared" si="49"/>
        <v>0</v>
      </c>
      <c r="M96" s="433">
        <f t="shared" si="49"/>
        <v>0</v>
      </c>
      <c r="N96" s="433">
        <f t="shared" si="49"/>
        <v>0</v>
      </c>
      <c r="O96" s="433">
        <f t="shared" si="49"/>
        <v>0</v>
      </c>
      <c r="P96" s="433">
        <f t="shared" si="49"/>
        <v>0</v>
      </c>
      <c r="Q96" s="433">
        <f t="shared" si="49"/>
        <v>0</v>
      </c>
      <c r="R96" s="433">
        <f t="shared" si="49"/>
        <v>0</v>
      </c>
      <c r="S96" s="433">
        <f t="shared" si="49"/>
        <v>0</v>
      </c>
      <c r="T96" s="433">
        <f t="shared" si="49"/>
        <v>0</v>
      </c>
      <c r="U96" s="433">
        <f t="shared" si="49"/>
        <v>0</v>
      </c>
      <c r="V96" s="433">
        <f t="shared" si="49"/>
        <v>0</v>
      </c>
      <c r="W96" s="433">
        <f t="shared" si="49"/>
        <v>0</v>
      </c>
      <c r="X96" s="433">
        <f t="shared" si="49"/>
        <v>0</v>
      </c>
      <c r="Y96" s="433">
        <f t="shared" si="49"/>
        <v>0</v>
      </c>
      <c r="Z96" s="433">
        <f t="shared" si="49"/>
        <v>0</v>
      </c>
      <c r="AA96" s="433">
        <f t="shared" si="49"/>
        <v>0</v>
      </c>
      <c r="AB96" s="433">
        <f t="shared" si="49"/>
        <v>0</v>
      </c>
      <c r="AC96" s="433">
        <f t="shared" si="49"/>
        <v>0</v>
      </c>
      <c r="AD96" s="433">
        <f t="shared" si="49"/>
        <v>0</v>
      </c>
      <c r="AE96" s="433">
        <f t="shared" si="49"/>
        <v>0</v>
      </c>
      <c r="AF96" s="433">
        <f t="shared" si="49"/>
        <v>0</v>
      </c>
      <c r="AG96" s="433">
        <f t="shared" si="49"/>
        <v>0</v>
      </c>
      <c r="AH96" s="433">
        <f t="shared" si="49"/>
        <v>0</v>
      </c>
      <c r="AI96" s="433">
        <f t="shared" si="49"/>
        <v>0</v>
      </c>
    </row>
    <row r="97" spans="1:35">
      <c r="A97" s="908" t="s">
        <v>934</v>
      </c>
      <c r="B97" s="632">
        <f t="shared" ref="B97:AI97" si="50">SUM(B54:B58,B60:B70)-B52</f>
        <v>0</v>
      </c>
      <c r="C97" s="632">
        <f t="shared" si="50"/>
        <v>0</v>
      </c>
      <c r="D97" s="632">
        <f t="shared" si="50"/>
        <v>0</v>
      </c>
      <c r="E97" s="632">
        <f t="shared" si="50"/>
        <v>0</v>
      </c>
      <c r="F97" s="632">
        <f t="shared" si="50"/>
        <v>0</v>
      </c>
      <c r="G97" s="632">
        <f t="shared" si="50"/>
        <v>0</v>
      </c>
      <c r="H97" s="632">
        <f t="shared" si="50"/>
        <v>0</v>
      </c>
      <c r="I97" s="632">
        <f t="shared" si="50"/>
        <v>0</v>
      </c>
      <c r="J97" s="632">
        <f t="shared" si="50"/>
        <v>0</v>
      </c>
      <c r="K97" s="632">
        <f t="shared" si="50"/>
        <v>0</v>
      </c>
      <c r="L97" s="632">
        <f t="shared" si="50"/>
        <v>0</v>
      </c>
      <c r="M97" s="632">
        <f t="shared" si="50"/>
        <v>0</v>
      </c>
      <c r="N97" s="632">
        <f t="shared" si="50"/>
        <v>0</v>
      </c>
      <c r="O97" s="632">
        <f t="shared" si="50"/>
        <v>0</v>
      </c>
      <c r="P97" s="632">
        <f t="shared" si="50"/>
        <v>0</v>
      </c>
      <c r="Q97" s="632">
        <f t="shared" si="50"/>
        <v>0</v>
      </c>
      <c r="R97" s="632">
        <f t="shared" si="50"/>
        <v>0</v>
      </c>
      <c r="S97" s="632">
        <f t="shared" si="50"/>
        <v>0</v>
      </c>
      <c r="T97" s="632">
        <f t="shared" si="50"/>
        <v>0</v>
      </c>
      <c r="U97" s="632">
        <f t="shared" si="50"/>
        <v>0</v>
      </c>
      <c r="V97" s="632">
        <f t="shared" si="50"/>
        <v>0</v>
      </c>
      <c r="W97" s="632">
        <f t="shared" si="50"/>
        <v>0</v>
      </c>
      <c r="X97" s="632">
        <f t="shared" si="50"/>
        <v>0</v>
      </c>
      <c r="Y97" s="632">
        <f t="shared" si="50"/>
        <v>0</v>
      </c>
      <c r="Z97" s="632">
        <f t="shared" si="50"/>
        <v>0</v>
      </c>
      <c r="AA97" s="632">
        <f t="shared" si="50"/>
        <v>0</v>
      </c>
      <c r="AB97" s="632">
        <f t="shared" si="50"/>
        <v>0</v>
      </c>
      <c r="AC97" s="632">
        <f t="shared" si="50"/>
        <v>0</v>
      </c>
      <c r="AD97" s="632">
        <f t="shared" si="50"/>
        <v>0</v>
      </c>
      <c r="AE97" s="632">
        <f t="shared" si="50"/>
        <v>0</v>
      </c>
      <c r="AF97" s="632">
        <f t="shared" si="50"/>
        <v>0</v>
      </c>
      <c r="AG97" s="632">
        <f t="shared" si="50"/>
        <v>0</v>
      </c>
      <c r="AH97" s="632">
        <f t="shared" si="50"/>
        <v>0</v>
      </c>
      <c r="AI97" s="632">
        <f t="shared" si="50"/>
        <v>0</v>
      </c>
    </row>
    <row r="98" spans="1:35">
      <c r="A98" s="908" t="s">
        <v>933</v>
      </c>
      <c r="B98" s="632">
        <f t="shared" ref="B98:AI98" si="51">SUM(B44,B51)-B72</f>
        <v>0</v>
      </c>
      <c r="C98" s="632">
        <f t="shared" si="51"/>
        <v>0</v>
      </c>
      <c r="D98" s="632">
        <f t="shared" si="51"/>
        <v>0</v>
      </c>
      <c r="E98" s="632">
        <f t="shared" si="51"/>
        <v>0</v>
      </c>
      <c r="F98" s="632">
        <f t="shared" si="51"/>
        <v>0</v>
      </c>
      <c r="G98" s="632">
        <f t="shared" si="51"/>
        <v>0</v>
      </c>
      <c r="H98" s="632">
        <f t="shared" si="51"/>
        <v>0</v>
      </c>
      <c r="I98" s="632">
        <f t="shared" si="51"/>
        <v>0</v>
      </c>
      <c r="J98" s="632">
        <f t="shared" si="51"/>
        <v>0</v>
      </c>
      <c r="K98" s="632">
        <f t="shared" si="51"/>
        <v>0</v>
      </c>
      <c r="L98" s="632">
        <f t="shared" si="51"/>
        <v>0</v>
      </c>
      <c r="M98" s="632">
        <f t="shared" si="51"/>
        <v>0</v>
      </c>
      <c r="N98" s="632">
        <f t="shared" si="51"/>
        <v>0</v>
      </c>
      <c r="O98" s="632">
        <f t="shared" si="51"/>
        <v>0</v>
      </c>
      <c r="P98" s="632">
        <f t="shared" si="51"/>
        <v>0</v>
      </c>
      <c r="Q98" s="632">
        <f t="shared" si="51"/>
        <v>0</v>
      </c>
      <c r="R98" s="632">
        <f t="shared" si="51"/>
        <v>0</v>
      </c>
      <c r="S98" s="632">
        <f t="shared" si="51"/>
        <v>0</v>
      </c>
      <c r="T98" s="632">
        <f t="shared" si="51"/>
        <v>0</v>
      </c>
      <c r="U98" s="632">
        <f t="shared" si="51"/>
        <v>0</v>
      </c>
      <c r="V98" s="632">
        <f t="shared" si="51"/>
        <v>0</v>
      </c>
      <c r="W98" s="632">
        <f t="shared" si="51"/>
        <v>0</v>
      </c>
      <c r="X98" s="632">
        <f t="shared" si="51"/>
        <v>0</v>
      </c>
      <c r="Y98" s="632">
        <f t="shared" si="51"/>
        <v>0</v>
      </c>
      <c r="Z98" s="632">
        <f t="shared" si="51"/>
        <v>0</v>
      </c>
      <c r="AA98" s="632">
        <f t="shared" si="51"/>
        <v>0</v>
      </c>
      <c r="AB98" s="632">
        <f t="shared" si="51"/>
        <v>0</v>
      </c>
      <c r="AC98" s="632">
        <f t="shared" si="51"/>
        <v>0</v>
      </c>
      <c r="AD98" s="632">
        <f t="shared" si="51"/>
        <v>0</v>
      </c>
      <c r="AE98" s="632">
        <f t="shared" si="51"/>
        <v>0</v>
      </c>
      <c r="AF98" s="632">
        <f t="shared" si="51"/>
        <v>0</v>
      </c>
      <c r="AG98" s="632">
        <f t="shared" si="51"/>
        <v>0</v>
      </c>
      <c r="AH98" s="632">
        <f t="shared" si="51"/>
        <v>0</v>
      </c>
      <c r="AI98" s="632">
        <f t="shared" si="51"/>
        <v>0</v>
      </c>
    </row>
    <row r="100" spans="1:35" s="587" customFormat="1">
      <c r="A100" s="908" t="s">
        <v>111</v>
      </c>
      <c r="B100" s="632">
        <f t="shared" ref="B100:AI100" si="52">SUM(B7:B11)-B6</f>
        <v>0</v>
      </c>
      <c r="C100" s="433">
        <f t="shared" si="52"/>
        <v>0</v>
      </c>
      <c r="D100" s="433">
        <f t="shared" si="52"/>
        <v>0</v>
      </c>
      <c r="E100" s="433">
        <f t="shared" si="52"/>
        <v>0</v>
      </c>
      <c r="F100" s="433">
        <f t="shared" si="52"/>
        <v>0</v>
      </c>
      <c r="G100" s="433">
        <f t="shared" si="52"/>
        <v>0</v>
      </c>
      <c r="H100" s="433">
        <f t="shared" si="52"/>
        <v>0</v>
      </c>
      <c r="I100" s="433">
        <f t="shared" si="52"/>
        <v>0</v>
      </c>
      <c r="J100" s="433">
        <f t="shared" si="52"/>
        <v>0</v>
      </c>
      <c r="K100" s="433">
        <f t="shared" si="52"/>
        <v>0</v>
      </c>
      <c r="L100" s="433">
        <f t="shared" si="52"/>
        <v>0</v>
      </c>
      <c r="M100" s="433">
        <f t="shared" si="52"/>
        <v>0</v>
      </c>
      <c r="N100" s="433">
        <f t="shared" si="52"/>
        <v>0</v>
      </c>
      <c r="O100" s="433">
        <f t="shared" si="52"/>
        <v>0</v>
      </c>
      <c r="P100" s="433">
        <f t="shared" si="52"/>
        <v>0</v>
      </c>
      <c r="Q100" s="433">
        <f t="shared" si="52"/>
        <v>0</v>
      </c>
      <c r="R100" s="433">
        <f t="shared" si="52"/>
        <v>0</v>
      </c>
      <c r="S100" s="433">
        <f t="shared" si="52"/>
        <v>0</v>
      </c>
      <c r="T100" s="433">
        <f t="shared" si="52"/>
        <v>0</v>
      </c>
      <c r="U100" s="433">
        <f t="shared" si="52"/>
        <v>0</v>
      </c>
      <c r="V100" s="433">
        <f t="shared" si="52"/>
        <v>0</v>
      </c>
      <c r="W100" s="433">
        <f t="shared" si="52"/>
        <v>0</v>
      </c>
      <c r="X100" s="433">
        <f t="shared" si="52"/>
        <v>0</v>
      </c>
      <c r="Y100" s="433">
        <f t="shared" si="52"/>
        <v>0</v>
      </c>
      <c r="Z100" s="433">
        <f t="shared" si="52"/>
        <v>0</v>
      </c>
      <c r="AA100" s="433">
        <f t="shared" si="52"/>
        <v>0</v>
      </c>
      <c r="AB100" s="433">
        <f t="shared" si="52"/>
        <v>0</v>
      </c>
      <c r="AC100" s="433">
        <f t="shared" si="52"/>
        <v>0</v>
      </c>
      <c r="AD100" s="433">
        <f t="shared" si="52"/>
        <v>0</v>
      </c>
      <c r="AE100" s="433">
        <f t="shared" si="52"/>
        <v>0</v>
      </c>
      <c r="AF100" s="433">
        <f t="shared" si="52"/>
        <v>0</v>
      </c>
      <c r="AG100" s="433">
        <f t="shared" si="52"/>
        <v>0</v>
      </c>
      <c r="AH100" s="433">
        <f t="shared" si="52"/>
        <v>0</v>
      </c>
      <c r="AI100" s="433">
        <f t="shared" si="52"/>
        <v>0</v>
      </c>
    </row>
    <row r="101" spans="1:35" s="587" customFormat="1">
      <c r="A101" s="908" t="s">
        <v>112</v>
      </c>
      <c r="B101" s="632">
        <f t="shared" ref="B101:AI101" si="53">SUM(B13:B21)-B12</f>
        <v>0</v>
      </c>
      <c r="C101" s="433">
        <f t="shared" si="53"/>
        <v>0</v>
      </c>
      <c r="D101" s="433">
        <f t="shared" si="53"/>
        <v>0</v>
      </c>
      <c r="E101" s="433">
        <f t="shared" si="53"/>
        <v>0</v>
      </c>
      <c r="F101" s="433">
        <f t="shared" si="53"/>
        <v>0</v>
      </c>
      <c r="G101" s="433">
        <f t="shared" si="53"/>
        <v>0</v>
      </c>
      <c r="H101" s="433">
        <f t="shared" si="53"/>
        <v>0</v>
      </c>
      <c r="I101" s="433">
        <f t="shared" si="53"/>
        <v>0</v>
      </c>
      <c r="J101" s="433">
        <f t="shared" si="53"/>
        <v>0</v>
      </c>
      <c r="K101" s="433">
        <f t="shared" si="53"/>
        <v>0</v>
      </c>
      <c r="L101" s="433">
        <f t="shared" si="53"/>
        <v>0</v>
      </c>
      <c r="M101" s="433">
        <f t="shared" si="53"/>
        <v>0</v>
      </c>
      <c r="N101" s="433">
        <f t="shared" si="53"/>
        <v>0</v>
      </c>
      <c r="O101" s="433">
        <f t="shared" si="53"/>
        <v>0</v>
      </c>
      <c r="P101" s="433">
        <f t="shared" si="53"/>
        <v>0</v>
      </c>
      <c r="Q101" s="433">
        <f t="shared" si="53"/>
        <v>0</v>
      </c>
      <c r="R101" s="433">
        <f t="shared" si="53"/>
        <v>0</v>
      </c>
      <c r="S101" s="433">
        <f t="shared" si="53"/>
        <v>0</v>
      </c>
      <c r="T101" s="433">
        <f t="shared" si="53"/>
        <v>0</v>
      </c>
      <c r="U101" s="433">
        <f t="shared" si="53"/>
        <v>0</v>
      </c>
      <c r="V101" s="433">
        <f t="shared" si="53"/>
        <v>0</v>
      </c>
      <c r="W101" s="433">
        <f t="shared" si="53"/>
        <v>0</v>
      </c>
      <c r="X101" s="433">
        <f t="shared" si="53"/>
        <v>0</v>
      </c>
      <c r="Y101" s="433">
        <f t="shared" si="53"/>
        <v>0</v>
      </c>
      <c r="Z101" s="433">
        <f t="shared" si="53"/>
        <v>0</v>
      </c>
      <c r="AA101" s="433">
        <f t="shared" si="53"/>
        <v>0</v>
      </c>
      <c r="AB101" s="433">
        <f t="shared" si="53"/>
        <v>0</v>
      </c>
      <c r="AC101" s="433">
        <f t="shared" si="53"/>
        <v>0</v>
      </c>
      <c r="AD101" s="433">
        <f t="shared" si="53"/>
        <v>0</v>
      </c>
      <c r="AE101" s="433">
        <f t="shared" si="53"/>
        <v>0</v>
      </c>
      <c r="AF101" s="433">
        <f t="shared" si="53"/>
        <v>0</v>
      </c>
      <c r="AG101" s="433">
        <f t="shared" si="53"/>
        <v>0</v>
      </c>
      <c r="AH101" s="433">
        <f t="shared" si="53"/>
        <v>0</v>
      </c>
      <c r="AI101" s="433">
        <f t="shared" si="53"/>
        <v>0</v>
      </c>
    </row>
  </sheetData>
  <phoneticPr fontId="13" type="noConversion"/>
  <printOptions horizontalCentered="1"/>
  <pageMargins left="0.74803149606299202" right="0.74803149606299202" top="0.98425196850393704" bottom="0.98425196850393704" header="0.511811023622047" footer="0.511811023622047"/>
  <pageSetup paperSize="9" scale="20" orientation="portrait" cellComments="asDisplayed" r:id="rId1"/>
  <headerFooter alignWithMargins="0">
    <oddHeader>&amp;C&amp;F/&amp;A&amp;R
&amp;T  &amp;D</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M125"/>
  <sheetViews>
    <sheetView showZeros="0" workbookViewId="0">
      <selection activeCell="M12" sqref="M12"/>
    </sheetView>
  </sheetViews>
  <sheetFormatPr defaultColWidth="9" defaultRowHeight="14.25"/>
  <cols>
    <col min="1" max="1" width="21.625" style="984" customWidth="1"/>
    <col min="2" max="2" width="2.625" style="77" customWidth="1"/>
    <col min="3" max="3" width="11.125" style="78" customWidth="1"/>
    <col min="4" max="4" width="10.5" style="78" customWidth="1"/>
    <col min="5" max="5" width="6.375" style="78" hidden="1" customWidth="1"/>
    <col min="6" max="6" width="8.5" style="78" customWidth="1"/>
    <col min="7" max="7" width="11.625" style="77" customWidth="1"/>
    <col min="8" max="8" width="10.625" style="77" customWidth="1"/>
    <col min="9" max="9" width="6.375" style="78" hidden="1" customWidth="1"/>
    <col min="10" max="10" width="8" style="78" customWidth="1"/>
    <col min="11" max="11" width="3.875" style="78" customWidth="1"/>
    <col min="12" max="12" width="6.75" style="78" customWidth="1"/>
    <col min="13" max="13" width="6.875" style="78" customWidth="1"/>
    <col min="14" max="16384" width="9" style="78"/>
  </cols>
  <sheetData>
    <row r="1" spans="1:10" ht="12" customHeight="1">
      <c r="A1" s="976" t="str">
        <f>IF(AND(ABS(F60)&lt;0.005,ABS(F119)&lt;0.005),"期初合并金额核对一致","期初合并金额核对不符！")</f>
        <v>期初合并金额核对一致</v>
      </c>
      <c r="B1" s="138"/>
      <c r="C1" s="138"/>
      <c r="D1" s="282"/>
      <c r="E1" s="282"/>
      <c r="F1" s="282"/>
      <c r="G1" s="281" t="str">
        <f>IF(AND(ABS(J60)&lt;0.005,ABS(J119)&lt;0.005),"期初母公司金额核对一致","期初母公司金额核对不符！")</f>
        <v>期初母公司金额核对一致</v>
      </c>
      <c r="H1" s="381"/>
      <c r="I1" s="381"/>
      <c r="J1" s="139"/>
    </row>
    <row r="2" spans="1:10" ht="18.75">
      <c r="A2" s="1145" t="s">
        <v>357</v>
      </c>
      <c r="B2" s="1145"/>
      <c r="C2" s="1145"/>
      <c r="D2" s="1145"/>
      <c r="E2" s="1145"/>
      <c r="F2" s="1145"/>
      <c r="G2" s="1145"/>
      <c r="H2" s="1145"/>
      <c r="I2" s="1145"/>
      <c r="J2" s="1145"/>
    </row>
    <row r="3" spans="1:10">
      <c r="A3" s="976"/>
      <c r="B3" s="283"/>
      <c r="C3" s="1156">
        <f>说明!$E$32</f>
        <v>43830</v>
      </c>
      <c r="D3" s="1156"/>
      <c r="E3" s="1156"/>
      <c r="F3" s="1156"/>
      <c r="G3" s="437"/>
      <c r="H3" s="283"/>
      <c r="I3" s="284"/>
      <c r="J3" s="285"/>
    </row>
    <row r="4" spans="1:10" s="77" customFormat="1" ht="15.75" customHeight="1" thickBot="1">
      <c r="A4" s="1154" t="str">
        <f>IF(报表格式!G58="","            对不起，请到参数表中确定报表类型！",CONCATENATE(" 客户名称：",说明!E23))</f>
        <v xml:space="preserve"> 客户名称：</v>
      </c>
      <c r="B4" s="1154"/>
      <c r="C4" s="1154"/>
      <c r="D4" s="437"/>
      <c r="E4" s="437"/>
      <c r="F4" s="437"/>
      <c r="G4" s="437"/>
      <c r="H4" s="1155" t="str">
        <f>CONCATENATE("金额单位：",说明!$E$33)</f>
        <v>金额单位：人民币元</v>
      </c>
      <c r="I4" s="1155"/>
      <c r="J4" s="1155"/>
    </row>
    <row r="5" spans="1:10">
      <c r="A5" s="1150" t="str">
        <f>IF(E60&lt;=0.005,"资     产","资产明细核对不符！")</f>
        <v>资     产</v>
      </c>
      <c r="B5" s="1152" t="s">
        <v>356</v>
      </c>
      <c r="C5" s="1148" t="s">
        <v>552</v>
      </c>
      <c r="D5" s="1148"/>
      <c r="E5" s="1148"/>
      <c r="F5" s="1148"/>
      <c r="G5" s="1148" t="s">
        <v>551</v>
      </c>
      <c r="H5" s="1148"/>
      <c r="I5" s="1148"/>
      <c r="J5" s="1149"/>
    </row>
    <row r="6" spans="1:10" ht="24">
      <c r="A6" s="1151"/>
      <c r="B6" s="1153"/>
      <c r="C6" s="438" t="s">
        <v>676</v>
      </c>
      <c r="D6" s="438" t="s">
        <v>675</v>
      </c>
      <c r="E6" s="438" t="s">
        <v>447</v>
      </c>
      <c r="F6" s="438" t="s">
        <v>358</v>
      </c>
      <c r="G6" s="438" t="s">
        <v>676</v>
      </c>
      <c r="H6" s="438" t="s">
        <v>675</v>
      </c>
      <c r="I6" s="438" t="s">
        <v>447</v>
      </c>
      <c r="J6" s="439" t="s">
        <v>358</v>
      </c>
    </row>
    <row r="7" spans="1:10" ht="13.9" customHeight="1">
      <c r="A7" s="977" t="str">
        <f>报表格式!B5</f>
        <v>流动资产：</v>
      </c>
      <c r="B7" s="634">
        <v>1</v>
      </c>
      <c r="C7" s="635"/>
      <c r="D7" s="441"/>
      <c r="E7" s="442"/>
      <c r="F7" s="443"/>
      <c r="G7" s="441"/>
      <c r="H7" s="441"/>
      <c r="I7" s="442"/>
      <c r="J7" s="444"/>
    </row>
    <row r="8" spans="1:10" ht="13.9" customHeight="1">
      <c r="A8" s="978" t="str">
        <f>报表格式!B6</f>
        <v>货币资金</v>
      </c>
      <c r="B8" s="288">
        <f>B7+1</f>
        <v>2</v>
      </c>
      <c r="C8" s="597"/>
      <c r="D8" s="290">
        <f>年初BS审定!B7</f>
        <v>0</v>
      </c>
      <c r="E8" s="291">
        <f>ABS(F8)</f>
        <v>0</v>
      </c>
      <c r="F8" s="290">
        <f>C8-D8</f>
        <v>0</v>
      </c>
      <c r="G8" s="598"/>
      <c r="H8" s="290">
        <f>年初BS审定!F7</f>
        <v>0</v>
      </c>
      <c r="I8" s="291">
        <f>ABS(J8)</f>
        <v>0</v>
      </c>
      <c r="J8" s="295">
        <f>G8-H8</f>
        <v>0</v>
      </c>
    </row>
    <row r="9" spans="1:10" ht="13.9" customHeight="1">
      <c r="A9" s="978" t="str">
        <f>报表格式!B7</f>
        <v>结算备付金</v>
      </c>
      <c r="B9" s="288">
        <f t="shared" ref="B9:B11" si="0">B8+1</f>
        <v>3</v>
      </c>
      <c r="C9" s="597"/>
      <c r="D9" s="290">
        <f>年初BS审定!B8</f>
        <v>0</v>
      </c>
      <c r="E9" s="291">
        <f t="shared" ref="E9:E11" si="1">ABS(F9)</f>
        <v>0</v>
      </c>
      <c r="F9" s="290">
        <f t="shared" ref="F9:F11" si="2">C9-D9</f>
        <v>0</v>
      </c>
      <c r="G9" s="598"/>
      <c r="H9" s="290">
        <f>年初BS审定!F8</f>
        <v>0</v>
      </c>
      <c r="I9" s="291">
        <f t="shared" ref="I9:I11" si="3">ABS(J9)</f>
        <v>0</v>
      </c>
      <c r="J9" s="295">
        <f t="shared" ref="J9:J11" si="4">G9-H9</f>
        <v>0</v>
      </c>
    </row>
    <row r="10" spans="1:10" ht="13.9" customHeight="1">
      <c r="A10" s="978" t="str">
        <f>报表格式!B8</f>
        <v>拆出资金</v>
      </c>
      <c r="B10" s="288">
        <f t="shared" si="0"/>
        <v>4</v>
      </c>
      <c r="C10" s="597"/>
      <c r="D10" s="290">
        <f>年初BS审定!B9</f>
        <v>0</v>
      </c>
      <c r="E10" s="291">
        <f t="shared" si="1"/>
        <v>0</v>
      </c>
      <c r="F10" s="290">
        <f t="shared" si="2"/>
        <v>0</v>
      </c>
      <c r="G10" s="598"/>
      <c r="H10" s="290">
        <f>年初BS审定!F9</f>
        <v>0</v>
      </c>
      <c r="I10" s="291">
        <f t="shared" si="3"/>
        <v>0</v>
      </c>
      <c r="J10" s="295">
        <f t="shared" si="4"/>
        <v>0</v>
      </c>
    </row>
    <row r="11" spans="1:10" ht="13.9" customHeight="1">
      <c r="A11" s="978" t="str">
        <f>报表格式!B9</f>
        <v>交易性金融资产</v>
      </c>
      <c r="B11" s="288">
        <f t="shared" si="0"/>
        <v>5</v>
      </c>
      <c r="C11" s="597"/>
      <c r="D11" s="290">
        <f>年初BS审定!B10</f>
        <v>0</v>
      </c>
      <c r="E11" s="291">
        <f t="shared" si="1"/>
        <v>0</v>
      </c>
      <c r="F11" s="290">
        <f t="shared" si="2"/>
        <v>0</v>
      </c>
      <c r="G11" s="598"/>
      <c r="H11" s="290">
        <f>年初BS审定!F10</f>
        <v>0</v>
      </c>
      <c r="I11" s="291">
        <f t="shared" si="3"/>
        <v>0</v>
      </c>
      <c r="J11" s="295">
        <f t="shared" si="4"/>
        <v>0</v>
      </c>
    </row>
    <row r="12" spans="1:10" ht="13.9" customHeight="1">
      <c r="A12" s="978" t="str">
        <f>报表格式!B10</f>
        <v>以公允价值计量且其变动计入当期损益的金融资产</v>
      </c>
      <c r="B12" s="288">
        <f t="shared" ref="B12:B58" si="5">B11+1</f>
        <v>6</v>
      </c>
      <c r="C12" s="597"/>
      <c r="D12" s="290">
        <f>年初BS审定!B11</f>
        <v>0</v>
      </c>
      <c r="E12" s="291">
        <f t="shared" ref="E12" si="6">ABS(F12)</f>
        <v>0</v>
      </c>
      <c r="F12" s="290">
        <f t="shared" ref="F12" si="7">C12-D12</f>
        <v>0</v>
      </c>
      <c r="G12" s="598"/>
      <c r="H12" s="290">
        <f>年初BS审定!F11</f>
        <v>0</v>
      </c>
      <c r="I12" s="291">
        <f t="shared" ref="I12" si="8">ABS(J12)</f>
        <v>0</v>
      </c>
      <c r="J12" s="295">
        <f t="shared" ref="J12" si="9">G12-H12</f>
        <v>0</v>
      </c>
    </row>
    <row r="13" spans="1:10" ht="13.9" customHeight="1">
      <c r="A13" s="978" t="str">
        <f>报表格式!B11</f>
        <v>衍生金融资产</v>
      </c>
      <c r="B13" s="288">
        <f t="shared" si="5"/>
        <v>7</v>
      </c>
      <c r="C13" s="597"/>
      <c r="D13" s="290">
        <f>年初BS审定!B12</f>
        <v>0</v>
      </c>
      <c r="E13" s="291">
        <f t="shared" ref="E13:E29" si="10">ABS(F13)</f>
        <v>0</v>
      </c>
      <c r="F13" s="290">
        <f>C13-D13</f>
        <v>0</v>
      </c>
      <c r="G13" s="598"/>
      <c r="H13" s="290">
        <f>年初BS审定!F12</f>
        <v>0</v>
      </c>
      <c r="I13" s="291">
        <f t="shared" ref="I13:I29" si="11">ABS(J13)</f>
        <v>0</v>
      </c>
      <c r="J13" s="295">
        <f>G13-H13</f>
        <v>0</v>
      </c>
    </row>
    <row r="14" spans="1:10" ht="13.9" customHeight="1">
      <c r="A14" s="978" t="str">
        <f>报表格式!B12</f>
        <v>应收票据</v>
      </c>
      <c r="B14" s="288">
        <f t="shared" si="5"/>
        <v>8</v>
      </c>
      <c r="C14" s="597"/>
      <c r="D14" s="290">
        <f>年初BS审定!B13</f>
        <v>0</v>
      </c>
      <c r="E14" s="291">
        <f t="shared" si="10"/>
        <v>0</v>
      </c>
      <c r="F14" s="290">
        <f t="shared" ref="F14:F28" si="12">C14-D14</f>
        <v>0</v>
      </c>
      <c r="G14" s="598"/>
      <c r="H14" s="290">
        <f>年初BS审定!F13</f>
        <v>0</v>
      </c>
      <c r="I14" s="291">
        <f t="shared" si="11"/>
        <v>0</v>
      </c>
      <c r="J14" s="295">
        <f t="shared" ref="J14:J28" si="13">G14-H14</f>
        <v>0</v>
      </c>
    </row>
    <row r="15" spans="1:10" ht="13.9" customHeight="1">
      <c r="A15" s="978" t="str">
        <f>报表格式!B13</f>
        <v>应收账款</v>
      </c>
      <c r="B15" s="288">
        <f t="shared" si="5"/>
        <v>9</v>
      </c>
      <c r="C15" s="597"/>
      <c r="D15" s="290">
        <f>年初BS审定!B14</f>
        <v>0</v>
      </c>
      <c r="E15" s="291">
        <f t="shared" ref="E15:E16" si="14">ABS(F15)</f>
        <v>0</v>
      </c>
      <c r="F15" s="290">
        <f t="shared" ref="F15:F16" si="15">C15-D15</f>
        <v>0</v>
      </c>
      <c r="G15" s="598"/>
      <c r="H15" s="290">
        <f>年初BS审定!F14</f>
        <v>0</v>
      </c>
      <c r="I15" s="291">
        <f t="shared" ref="I15:I16" si="16">ABS(J15)</f>
        <v>0</v>
      </c>
      <c r="J15" s="295">
        <f t="shared" ref="J15:J16" si="17">G15-H15</f>
        <v>0</v>
      </c>
    </row>
    <row r="16" spans="1:10" ht="13.9" customHeight="1">
      <c r="A16" s="978" t="str">
        <f>报表格式!B14</f>
        <v>应收款项融资</v>
      </c>
      <c r="B16" s="288">
        <f t="shared" si="5"/>
        <v>10</v>
      </c>
      <c r="C16" s="597"/>
      <c r="D16" s="290">
        <f>年初BS审定!B15</f>
        <v>0</v>
      </c>
      <c r="E16" s="291">
        <f t="shared" si="14"/>
        <v>0</v>
      </c>
      <c r="F16" s="290">
        <f t="shared" si="15"/>
        <v>0</v>
      </c>
      <c r="G16" s="598"/>
      <c r="H16" s="290">
        <f>年初BS审定!F15</f>
        <v>0</v>
      </c>
      <c r="I16" s="291">
        <f t="shared" si="16"/>
        <v>0</v>
      </c>
      <c r="J16" s="295">
        <f t="shared" si="17"/>
        <v>0</v>
      </c>
    </row>
    <row r="17" spans="1:13" ht="13.9" customHeight="1">
      <c r="A17" s="978" t="str">
        <f>报表格式!B15</f>
        <v>预付款项</v>
      </c>
      <c r="B17" s="288">
        <f t="shared" si="5"/>
        <v>11</v>
      </c>
      <c r="C17" s="597"/>
      <c r="D17" s="290">
        <f>年初BS审定!B16</f>
        <v>0</v>
      </c>
      <c r="E17" s="291">
        <f t="shared" si="10"/>
        <v>0</v>
      </c>
      <c r="F17" s="290">
        <f t="shared" si="12"/>
        <v>0</v>
      </c>
      <c r="G17" s="598"/>
      <c r="H17" s="290">
        <f>年初BS审定!F16</f>
        <v>0</v>
      </c>
      <c r="I17" s="291">
        <f t="shared" si="11"/>
        <v>0</v>
      </c>
      <c r="J17" s="295">
        <f t="shared" si="13"/>
        <v>0</v>
      </c>
    </row>
    <row r="18" spans="1:13" ht="13.9" customHeight="1">
      <c r="A18" s="978" t="str">
        <f>报表格式!B16</f>
        <v>应收保费</v>
      </c>
      <c r="B18" s="288">
        <f t="shared" si="5"/>
        <v>12</v>
      </c>
      <c r="C18" s="597"/>
      <c r="D18" s="290">
        <f>年初BS审定!B17</f>
        <v>0</v>
      </c>
      <c r="E18" s="291">
        <f t="shared" ref="E18:E21" si="18">ABS(F18)</f>
        <v>0</v>
      </c>
      <c r="F18" s="290">
        <f t="shared" ref="F18:F21" si="19">C18-D18</f>
        <v>0</v>
      </c>
      <c r="G18" s="598"/>
      <c r="H18" s="290">
        <f>年初BS审定!F17</f>
        <v>0</v>
      </c>
      <c r="I18" s="291">
        <f t="shared" ref="I18:I21" si="20">ABS(J18)</f>
        <v>0</v>
      </c>
      <c r="J18" s="295">
        <f t="shared" ref="J18:J21" si="21">G18-H18</f>
        <v>0</v>
      </c>
    </row>
    <row r="19" spans="1:13" ht="13.9" customHeight="1">
      <c r="A19" s="978" t="str">
        <f>报表格式!B17</f>
        <v>应收分保账款</v>
      </c>
      <c r="B19" s="288">
        <f t="shared" si="5"/>
        <v>13</v>
      </c>
      <c r="C19" s="597"/>
      <c r="D19" s="290">
        <f>年初BS审定!B18</f>
        <v>0</v>
      </c>
      <c r="E19" s="291">
        <f t="shared" si="18"/>
        <v>0</v>
      </c>
      <c r="F19" s="290">
        <f t="shared" si="19"/>
        <v>0</v>
      </c>
      <c r="G19" s="598"/>
      <c r="H19" s="290">
        <f>年初BS审定!F18</f>
        <v>0</v>
      </c>
      <c r="I19" s="291">
        <f t="shared" si="20"/>
        <v>0</v>
      </c>
      <c r="J19" s="295">
        <f t="shared" si="21"/>
        <v>0</v>
      </c>
    </row>
    <row r="20" spans="1:13" ht="13.9" customHeight="1">
      <c r="A20" s="978" t="str">
        <f>报表格式!B18</f>
        <v>应收分保准备金</v>
      </c>
      <c r="B20" s="288">
        <f t="shared" si="5"/>
        <v>14</v>
      </c>
      <c r="C20" s="597"/>
      <c r="D20" s="290">
        <f>年初BS审定!B19</f>
        <v>0</v>
      </c>
      <c r="E20" s="291">
        <f t="shared" si="18"/>
        <v>0</v>
      </c>
      <c r="F20" s="290">
        <f t="shared" si="19"/>
        <v>0</v>
      </c>
      <c r="G20" s="598"/>
      <c r="H20" s="290">
        <f>年初BS审定!F19</f>
        <v>0</v>
      </c>
      <c r="I20" s="291">
        <f t="shared" si="20"/>
        <v>0</v>
      </c>
      <c r="J20" s="295">
        <f t="shared" si="21"/>
        <v>0</v>
      </c>
    </row>
    <row r="21" spans="1:13" ht="13.9" customHeight="1">
      <c r="A21" s="978" t="str">
        <f>报表格式!B19</f>
        <v>其他应收款</v>
      </c>
      <c r="B21" s="288">
        <f t="shared" si="5"/>
        <v>15</v>
      </c>
      <c r="C21" s="597"/>
      <c r="D21" s="290">
        <f>年初BS审定!B20</f>
        <v>0</v>
      </c>
      <c r="E21" s="291">
        <f t="shared" si="18"/>
        <v>0</v>
      </c>
      <c r="F21" s="290">
        <f t="shared" si="19"/>
        <v>0</v>
      </c>
      <c r="G21" s="598"/>
      <c r="H21" s="290">
        <f>年初BS审定!F20</f>
        <v>0</v>
      </c>
      <c r="I21" s="291">
        <f t="shared" si="20"/>
        <v>0</v>
      </c>
      <c r="J21" s="295">
        <f t="shared" si="21"/>
        <v>0</v>
      </c>
    </row>
    <row r="22" spans="1:13" ht="13.9" customHeight="1">
      <c r="A22" s="978" t="str">
        <f>报表格式!B20</f>
        <v xml:space="preserve">  其中：应收利息</v>
      </c>
      <c r="B22" s="288">
        <f t="shared" si="5"/>
        <v>16</v>
      </c>
      <c r="C22" s="597"/>
      <c r="D22" s="290">
        <f>年初BS审定!B21</f>
        <v>0</v>
      </c>
      <c r="E22" s="291">
        <f t="shared" ref="E22:E23" si="22">ABS(F22)</f>
        <v>0</v>
      </c>
      <c r="F22" s="290">
        <f t="shared" ref="F22:F23" si="23">C22-D22</f>
        <v>0</v>
      </c>
      <c r="G22" s="598"/>
      <c r="H22" s="290">
        <f>年初BS审定!F21</f>
        <v>0</v>
      </c>
      <c r="I22" s="291">
        <f t="shared" ref="I22:I23" si="24">ABS(J22)</f>
        <v>0</v>
      </c>
      <c r="J22" s="295">
        <f t="shared" ref="J22:J23" si="25">G22-H22</f>
        <v>0</v>
      </c>
    </row>
    <row r="23" spans="1:13" ht="13.9" customHeight="1">
      <c r="A23" s="978" t="str">
        <f>报表格式!B21</f>
        <v xml:space="preserve">        应收股利</v>
      </c>
      <c r="B23" s="288">
        <f t="shared" si="5"/>
        <v>17</v>
      </c>
      <c r="C23" s="597"/>
      <c r="D23" s="290">
        <f>年初BS审定!B22</f>
        <v>0</v>
      </c>
      <c r="E23" s="291">
        <f t="shared" si="22"/>
        <v>0</v>
      </c>
      <c r="F23" s="290">
        <f t="shared" si="23"/>
        <v>0</v>
      </c>
      <c r="G23" s="598"/>
      <c r="H23" s="290">
        <f>年初BS审定!F22</f>
        <v>0</v>
      </c>
      <c r="I23" s="291">
        <f t="shared" si="24"/>
        <v>0</v>
      </c>
      <c r="J23" s="295">
        <f t="shared" si="25"/>
        <v>0</v>
      </c>
    </row>
    <row r="24" spans="1:13" ht="13.9" customHeight="1">
      <c r="A24" s="978" t="str">
        <f>报表格式!B22</f>
        <v>买入返售金融资产</v>
      </c>
      <c r="B24" s="288">
        <f t="shared" si="5"/>
        <v>18</v>
      </c>
      <c r="C24" s="597"/>
      <c r="D24" s="290">
        <f>年初BS审定!B23</f>
        <v>0</v>
      </c>
      <c r="E24" s="291">
        <f t="shared" ref="E24" si="26">ABS(F24)</f>
        <v>0</v>
      </c>
      <c r="F24" s="290">
        <f t="shared" ref="F24" si="27">C24-D24</f>
        <v>0</v>
      </c>
      <c r="G24" s="598"/>
      <c r="H24" s="290">
        <f>年初BS审定!F23</f>
        <v>0</v>
      </c>
      <c r="I24" s="291">
        <f t="shared" ref="I24" si="28">ABS(J24)</f>
        <v>0</v>
      </c>
      <c r="J24" s="295">
        <f t="shared" ref="J24" si="29">G24-H24</f>
        <v>0</v>
      </c>
    </row>
    <row r="25" spans="1:13" ht="13.9" customHeight="1">
      <c r="A25" s="978" t="str">
        <f>报表格式!B23</f>
        <v>存货</v>
      </c>
      <c r="B25" s="288">
        <f t="shared" si="5"/>
        <v>19</v>
      </c>
      <c r="C25" s="597"/>
      <c r="D25" s="290">
        <f>年初BS审定!B24</f>
        <v>0</v>
      </c>
      <c r="E25" s="291">
        <f t="shared" si="10"/>
        <v>0</v>
      </c>
      <c r="F25" s="290">
        <f t="shared" si="12"/>
        <v>0</v>
      </c>
      <c r="G25" s="598"/>
      <c r="H25" s="290">
        <f>年初BS审定!F24</f>
        <v>0</v>
      </c>
      <c r="I25" s="291">
        <f t="shared" si="11"/>
        <v>0</v>
      </c>
      <c r="J25" s="295">
        <f t="shared" si="13"/>
        <v>0</v>
      </c>
    </row>
    <row r="26" spans="1:13" ht="13.9" customHeight="1">
      <c r="A26" s="978" t="str">
        <f>报表格式!B24</f>
        <v>合同资产</v>
      </c>
      <c r="B26" s="288">
        <f t="shared" si="5"/>
        <v>20</v>
      </c>
      <c r="C26" s="597"/>
      <c r="D26" s="290">
        <f>年初BS审定!B25</f>
        <v>0</v>
      </c>
      <c r="E26" s="291">
        <f t="shared" si="10"/>
        <v>0</v>
      </c>
      <c r="F26" s="290">
        <f t="shared" si="12"/>
        <v>0</v>
      </c>
      <c r="G26" s="598"/>
      <c r="H26" s="290">
        <f>年初BS审定!F25</f>
        <v>0</v>
      </c>
      <c r="I26" s="291">
        <f t="shared" si="11"/>
        <v>0</v>
      </c>
      <c r="J26" s="295">
        <f t="shared" si="13"/>
        <v>0</v>
      </c>
    </row>
    <row r="27" spans="1:13" ht="13.9" customHeight="1">
      <c r="A27" s="978" t="str">
        <f>报表格式!B25</f>
        <v>持有待售资产</v>
      </c>
      <c r="B27" s="288">
        <f t="shared" si="5"/>
        <v>21</v>
      </c>
      <c r="C27" s="597"/>
      <c r="D27" s="290">
        <f>年初BS审定!B26</f>
        <v>0</v>
      </c>
      <c r="E27" s="291">
        <f t="shared" si="10"/>
        <v>0</v>
      </c>
      <c r="F27" s="290">
        <f t="shared" si="12"/>
        <v>0</v>
      </c>
      <c r="G27" s="598"/>
      <c r="H27" s="290">
        <f>年初BS审定!F26</f>
        <v>0</v>
      </c>
      <c r="I27" s="291">
        <f t="shared" si="11"/>
        <v>0</v>
      </c>
      <c r="J27" s="295">
        <f t="shared" si="13"/>
        <v>0</v>
      </c>
      <c r="M27" s="79"/>
    </row>
    <row r="28" spans="1:13" ht="13.9" customHeight="1">
      <c r="A28" s="978" t="str">
        <f>报表格式!B26</f>
        <v>一年内到期的非流动资产</v>
      </c>
      <c r="B28" s="288">
        <f t="shared" si="5"/>
        <v>22</v>
      </c>
      <c r="C28" s="597"/>
      <c r="D28" s="290">
        <f>年初BS审定!B27</f>
        <v>0</v>
      </c>
      <c r="E28" s="291">
        <f t="shared" si="10"/>
        <v>0</v>
      </c>
      <c r="F28" s="290">
        <f t="shared" si="12"/>
        <v>0</v>
      </c>
      <c r="G28" s="598"/>
      <c r="H28" s="290">
        <f>年初BS审定!F27</f>
        <v>0</v>
      </c>
      <c r="I28" s="291">
        <f t="shared" si="11"/>
        <v>0</v>
      </c>
      <c r="J28" s="295">
        <f t="shared" si="13"/>
        <v>0</v>
      </c>
      <c r="M28" s="79"/>
    </row>
    <row r="29" spans="1:13" ht="13.9" customHeight="1">
      <c r="A29" s="978" t="str">
        <f>报表格式!B27</f>
        <v>其他流动资产</v>
      </c>
      <c r="B29" s="288">
        <f t="shared" si="5"/>
        <v>23</v>
      </c>
      <c r="C29" s="597"/>
      <c r="D29" s="290">
        <f>年初BS审定!B28</f>
        <v>0</v>
      </c>
      <c r="E29" s="291">
        <f t="shared" si="10"/>
        <v>0</v>
      </c>
      <c r="F29" s="290">
        <f>C29-D29</f>
        <v>0</v>
      </c>
      <c r="G29" s="598"/>
      <c r="H29" s="290">
        <f>年初BS审定!F28</f>
        <v>0</v>
      </c>
      <c r="I29" s="291">
        <f t="shared" si="11"/>
        <v>0</v>
      </c>
      <c r="J29" s="295">
        <f>G29-H29</f>
        <v>0</v>
      </c>
      <c r="M29" s="79"/>
    </row>
    <row r="30" spans="1:13" ht="13.9" customHeight="1">
      <c r="A30" s="978">
        <f>报表格式!B28</f>
        <v>0</v>
      </c>
      <c r="B30" s="288">
        <f t="shared" si="5"/>
        <v>24</v>
      </c>
      <c r="C30" s="597"/>
      <c r="D30" s="290">
        <f>年初BS审定!B29</f>
        <v>0</v>
      </c>
      <c r="E30" s="291">
        <f t="shared" ref="E30:E31" si="30">ABS(F30)</f>
        <v>0</v>
      </c>
      <c r="F30" s="290">
        <f t="shared" ref="F30:F31" si="31">C30-D30</f>
        <v>0</v>
      </c>
      <c r="G30" s="598"/>
      <c r="H30" s="290">
        <f>年初BS审定!F29</f>
        <v>0</v>
      </c>
      <c r="I30" s="291">
        <f t="shared" ref="I30:I31" si="32">ABS(J30)</f>
        <v>0</v>
      </c>
      <c r="J30" s="295">
        <f t="shared" ref="J30:J31" si="33">G30-H30</f>
        <v>0</v>
      </c>
    </row>
    <row r="31" spans="1:13" ht="13.9" customHeight="1">
      <c r="A31" s="978">
        <f>报表格式!B29</f>
        <v>0</v>
      </c>
      <c r="B31" s="288">
        <f t="shared" si="5"/>
        <v>25</v>
      </c>
      <c r="C31" s="597"/>
      <c r="D31" s="290">
        <f>年初BS审定!B30</f>
        <v>0</v>
      </c>
      <c r="E31" s="291">
        <f t="shared" si="30"/>
        <v>0</v>
      </c>
      <c r="F31" s="290">
        <f t="shared" si="31"/>
        <v>0</v>
      </c>
      <c r="G31" s="598"/>
      <c r="H31" s="290">
        <f>年初BS审定!F30</f>
        <v>0</v>
      </c>
      <c r="I31" s="291">
        <f t="shared" si="32"/>
        <v>0</v>
      </c>
      <c r="J31" s="295">
        <f t="shared" si="33"/>
        <v>0</v>
      </c>
    </row>
    <row r="32" spans="1:13" s="636" customFormat="1" ht="13.9" customHeight="1">
      <c r="A32" s="979" t="str">
        <f>报表格式!B30</f>
        <v>流动资产合计</v>
      </c>
      <c r="B32" s="288">
        <f t="shared" si="5"/>
        <v>26</v>
      </c>
      <c r="C32" s="293">
        <f>SUM(C8:C31)-C22-C23</f>
        <v>0</v>
      </c>
      <c r="D32" s="293">
        <f>SUM(D8:D31)-D22-D23</f>
        <v>0</v>
      </c>
      <c r="E32" s="637">
        <f>ABS(F32)</f>
        <v>0</v>
      </c>
      <c r="F32" s="293">
        <f>C32-D32</f>
        <v>0</v>
      </c>
      <c r="G32" s="293">
        <f>SUM(G8:G31)-G22-G23</f>
        <v>0</v>
      </c>
      <c r="H32" s="293">
        <f>SUM(H8:H31)-H22-H23</f>
        <v>0</v>
      </c>
      <c r="I32" s="637">
        <f t="shared" ref="I32:I60" si="34">ABS(J32)</f>
        <v>0</v>
      </c>
      <c r="J32" s="743">
        <f>G32-H32</f>
        <v>0</v>
      </c>
    </row>
    <row r="33" spans="1:10" ht="13.9" customHeight="1">
      <c r="A33" s="980" t="str">
        <f>报表格式!B31</f>
        <v>非流动资产:</v>
      </c>
      <c r="B33" s="288">
        <f t="shared" si="5"/>
        <v>27</v>
      </c>
      <c r="C33" s="293"/>
      <c r="D33" s="290"/>
      <c r="E33" s="291"/>
      <c r="F33" s="290"/>
      <c r="G33" s="293"/>
      <c r="H33" s="290"/>
      <c r="I33" s="291"/>
      <c r="J33" s="295"/>
    </row>
    <row r="34" spans="1:10" ht="13.9" customHeight="1">
      <c r="A34" s="978" t="str">
        <f>报表格式!B32</f>
        <v>发放贷款及垫款</v>
      </c>
      <c r="B34" s="288">
        <f t="shared" si="5"/>
        <v>28</v>
      </c>
      <c r="C34" s="597"/>
      <c r="D34" s="290">
        <f>年初BS审定!B33</f>
        <v>0</v>
      </c>
      <c r="E34" s="291">
        <f t="shared" ref="E34" si="35">ABS(F34)</f>
        <v>0</v>
      </c>
      <c r="F34" s="290">
        <f>C34-D34</f>
        <v>0</v>
      </c>
      <c r="G34" s="598"/>
      <c r="H34" s="290">
        <f>年初BS审定!F33</f>
        <v>0</v>
      </c>
      <c r="I34" s="291">
        <f t="shared" ref="I34" si="36">ABS(J34)</f>
        <v>0</v>
      </c>
      <c r="J34" s="295">
        <f>G34-H34</f>
        <v>0</v>
      </c>
    </row>
    <row r="35" spans="1:10" ht="13.9" customHeight="1">
      <c r="A35" s="978" t="str">
        <f>报表格式!B33</f>
        <v>债权投资</v>
      </c>
      <c r="B35" s="288">
        <f t="shared" si="5"/>
        <v>29</v>
      </c>
      <c r="C35" s="597"/>
      <c r="D35" s="290">
        <f>年初BS审定!B34</f>
        <v>0</v>
      </c>
      <c r="E35" s="291">
        <f t="shared" ref="E35:E60" si="37">ABS(F35)</f>
        <v>0</v>
      </c>
      <c r="F35" s="290">
        <f>C35-D35</f>
        <v>0</v>
      </c>
      <c r="G35" s="598"/>
      <c r="H35" s="290">
        <f>年初BS审定!F34</f>
        <v>0</v>
      </c>
      <c r="I35" s="291">
        <f t="shared" si="34"/>
        <v>0</v>
      </c>
      <c r="J35" s="295">
        <f>G35-H35</f>
        <v>0</v>
      </c>
    </row>
    <row r="36" spans="1:10" ht="13.9" customHeight="1">
      <c r="A36" s="978" t="str">
        <f>报表格式!B34</f>
        <v>可供出售金融资产</v>
      </c>
      <c r="B36" s="288">
        <f t="shared" si="5"/>
        <v>30</v>
      </c>
      <c r="C36" s="597"/>
      <c r="D36" s="290">
        <f>年初BS审定!B35</f>
        <v>0</v>
      </c>
      <c r="E36" s="291">
        <f t="shared" ref="E36" si="38">ABS(F36)</f>
        <v>0</v>
      </c>
      <c r="F36" s="290">
        <f>C36-D36</f>
        <v>0</v>
      </c>
      <c r="G36" s="598"/>
      <c r="H36" s="290">
        <f>年初BS审定!F35</f>
        <v>0</v>
      </c>
      <c r="I36" s="291">
        <f t="shared" ref="I36" si="39">ABS(J36)</f>
        <v>0</v>
      </c>
      <c r="J36" s="295">
        <f>G36-H36</f>
        <v>0</v>
      </c>
    </row>
    <row r="37" spans="1:10" ht="13.9" customHeight="1">
      <c r="A37" s="978" t="str">
        <f>报表格式!B35</f>
        <v>其他债权投资</v>
      </c>
      <c r="B37" s="288">
        <f t="shared" si="5"/>
        <v>31</v>
      </c>
      <c r="C37" s="597"/>
      <c r="D37" s="290">
        <f>年初BS审定!B36</f>
        <v>0</v>
      </c>
      <c r="E37" s="291">
        <f t="shared" si="37"/>
        <v>0</v>
      </c>
      <c r="F37" s="290">
        <f t="shared" ref="F37:F52" si="40">C37-D37</f>
        <v>0</v>
      </c>
      <c r="G37" s="598"/>
      <c r="H37" s="290">
        <f>年初BS审定!F36</f>
        <v>0</v>
      </c>
      <c r="I37" s="291">
        <f t="shared" si="34"/>
        <v>0</v>
      </c>
      <c r="J37" s="295">
        <f t="shared" ref="J37:J52" si="41">G37-H37</f>
        <v>0</v>
      </c>
    </row>
    <row r="38" spans="1:10" ht="13.9" customHeight="1">
      <c r="A38" s="978" t="str">
        <f>报表格式!B36</f>
        <v>持有至到期投资</v>
      </c>
      <c r="B38" s="288">
        <f t="shared" si="5"/>
        <v>32</v>
      </c>
      <c r="C38" s="597"/>
      <c r="D38" s="290">
        <f>年初BS审定!B37</f>
        <v>0</v>
      </c>
      <c r="E38" s="291">
        <f t="shared" ref="E38" si="42">ABS(F38)</f>
        <v>0</v>
      </c>
      <c r="F38" s="290">
        <f t="shared" ref="F38" si="43">C38-D38</f>
        <v>0</v>
      </c>
      <c r="G38" s="598"/>
      <c r="H38" s="290">
        <f>年初BS审定!F37</f>
        <v>0</v>
      </c>
      <c r="I38" s="291">
        <f t="shared" ref="I38" si="44">ABS(J38)</f>
        <v>0</v>
      </c>
      <c r="J38" s="295">
        <f t="shared" ref="J38" si="45">G38-H38</f>
        <v>0</v>
      </c>
    </row>
    <row r="39" spans="1:10" ht="13.9" customHeight="1">
      <c r="A39" s="978" t="str">
        <f>报表格式!B37</f>
        <v>长期应收款</v>
      </c>
      <c r="B39" s="288">
        <f t="shared" si="5"/>
        <v>33</v>
      </c>
      <c r="C39" s="597"/>
      <c r="D39" s="290">
        <f>年初BS审定!B38</f>
        <v>0</v>
      </c>
      <c r="E39" s="291">
        <f t="shared" si="37"/>
        <v>0</v>
      </c>
      <c r="F39" s="290">
        <f t="shared" si="40"/>
        <v>0</v>
      </c>
      <c r="G39" s="598"/>
      <c r="H39" s="290">
        <f>年初BS审定!F38</f>
        <v>0</v>
      </c>
      <c r="I39" s="291">
        <f t="shared" si="34"/>
        <v>0</v>
      </c>
      <c r="J39" s="295">
        <f t="shared" si="41"/>
        <v>0</v>
      </c>
    </row>
    <row r="40" spans="1:10" ht="13.9" customHeight="1">
      <c r="A40" s="978" t="str">
        <f>报表格式!B38</f>
        <v>设定受益计划净资产</v>
      </c>
      <c r="B40" s="288">
        <f t="shared" si="5"/>
        <v>34</v>
      </c>
      <c r="C40" s="597"/>
      <c r="D40" s="290">
        <f>年初BS审定!B39</f>
        <v>0</v>
      </c>
      <c r="E40" s="291">
        <f>ABS(F40)</f>
        <v>0</v>
      </c>
      <c r="F40" s="290">
        <f>C40-D40</f>
        <v>0</v>
      </c>
      <c r="G40" s="598"/>
      <c r="H40" s="290">
        <f>年初BS审定!F39</f>
        <v>0</v>
      </c>
      <c r="I40" s="291">
        <f>ABS(J40)</f>
        <v>0</v>
      </c>
      <c r="J40" s="295">
        <f>G40-H40</f>
        <v>0</v>
      </c>
    </row>
    <row r="41" spans="1:10" ht="13.9" customHeight="1">
      <c r="A41" s="978" t="str">
        <f>报表格式!B39</f>
        <v>长期股权投资</v>
      </c>
      <c r="B41" s="288">
        <f t="shared" si="5"/>
        <v>35</v>
      </c>
      <c r="C41" s="597"/>
      <c r="D41" s="290">
        <f>年初BS审定!B40</f>
        <v>0</v>
      </c>
      <c r="E41" s="291">
        <f t="shared" si="37"/>
        <v>0</v>
      </c>
      <c r="F41" s="290">
        <f t="shared" si="40"/>
        <v>0</v>
      </c>
      <c r="G41" s="598"/>
      <c r="H41" s="290">
        <f>年初BS审定!F40</f>
        <v>0</v>
      </c>
      <c r="I41" s="291">
        <f t="shared" si="34"/>
        <v>0</v>
      </c>
      <c r="J41" s="295">
        <f t="shared" si="41"/>
        <v>0</v>
      </c>
    </row>
    <row r="42" spans="1:10" ht="13.9" customHeight="1">
      <c r="A42" s="978" t="str">
        <f>报表格式!B40</f>
        <v>其他权益工具投资</v>
      </c>
      <c r="B42" s="288">
        <f t="shared" si="5"/>
        <v>36</v>
      </c>
      <c r="C42" s="597"/>
      <c r="D42" s="290">
        <f>年初BS审定!B41</f>
        <v>0</v>
      </c>
      <c r="E42" s="291">
        <f t="shared" si="37"/>
        <v>0</v>
      </c>
      <c r="F42" s="290">
        <f t="shared" si="40"/>
        <v>0</v>
      </c>
      <c r="G42" s="598"/>
      <c r="H42" s="290">
        <f>年初BS审定!F41</f>
        <v>0</v>
      </c>
      <c r="I42" s="291">
        <f t="shared" si="34"/>
        <v>0</v>
      </c>
      <c r="J42" s="295">
        <f t="shared" si="41"/>
        <v>0</v>
      </c>
    </row>
    <row r="43" spans="1:10" ht="13.9" customHeight="1">
      <c r="A43" s="978" t="str">
        <f>报表格式!B41</f>
        <v>其他非流动金融资产</v>
      </c>
      <c r="B43" s="288">
        <f t="shared" si="5"/>
        <v>37</v>
      </c>
      <c r="C43" s="597"/>
      <c r="D43" s="290">
        <f>年初BS审定!B42</f>
        <v>0</v>
      </c>
      <c r="E43" s="291">
        <f t="shared" si="37"/>
        <v>0</v>
      </c>
      <c r="F43" s="290">
        <f t="shared" si="40"/>
        <v>0</v>
      </c>
      <c r="G43" s="598"/>
      <c r="H43" s="290">
        <f>年初BS审定!F42</f>
        <v>0</v>
      </c>
      <c r="I43" s="291">
        <f t="shared" si="34"/>
        <v>0</v>
      </c>
      <c r="J43" s="295">
        <f t="shared" si="41"/>
        <v>0</v>
      </c>
    </row>
    <row r="44" spans="1:10" ht="13.9" customHeight="1">
      <c r="A44" s="978" t="str">
        <f>报表格式!B42</f>
        <v>投资性房地产</v>
      </c>
      <c r="B44" s="288">
        <f t="shared" si="5"/>
        <v>38</v>
      </c>
      <c r="C44" s="597"/>
      <c r="D44" s="290">
        <f>年初BS审定!B43</f>
        <v>0</v>
      </c>
      <c r="E44" s="291">
        <f t="shared" si="37"/>
        <v>0</v>
      </c>
      <c r="F44" s="290">
        <f t="shared" si="40"/>
        <v>0</v>
      </c>
      <c r="G44" s="598"/>
      <c r="H44" s="290">
        <f>年初BS审定!F43</f>
        <v>0</v>
      </c>
      <c r="I44" s="291">
        <f t="shared" si="34"/>
        <v>0</v>
      </c>
      <c r="J44" s="295">
        <f t="shared" si="41"/>
        <v>0</v>
      </c>
    </row>
    <row r="45" spans="1:10" ht="13.9" customHeight="1">
      <c r="A45" s="978" t="str">
        <f>报表格式!B43</f>
        <v>固定资产</v>
      </c>
      <c r="B45" s="288">
        <f t="shared" si="5"/>
        <v>39</v>
      </c>
      <c r="C45" s="597"/>
      <c r="D45" s="290">
        <f>年初BS审定!B44</f>
        <v>0</v>
      </c>
      <c r="E45" s="291">
        <f t="shared" si="37"/>
        <v>0</v>
      </c>
      <c r="F45" s="290">
        <f t="shared" si="40"/>
        <v>0</v>
      </c>
      <c r="G45" s="598"/>
      <c r="H45" s="290">
        <f>年初BS审定!F44</f>
        <v>0</v>
      </c>
      <c r="I45" s="291">
        <f t="shared" si="34"/>
        <v>0</v>
      </c>
      <c r="J45" s="295">
        <f t="shared" si="41"/>
        <v>0</v>
      </c>
    </row>
    <row r="46" spans="1:10" ht="13.9" customHeight="1">
      <c r="A46" s="978" t="str">
        <f>报表格式!B44</f>
        <v>在建工程</v>
      </c>
      <c r="B46" s="288">
        <f t="shared" si="5"/>
        <v>40</v>
      </c>
      <c r="C46" s="597"/>
      <c r="D46" s="290">
        <f>年初BS审定!B45</f>
        <v>0</v>
      </c>
      <c r="E46" s="291">
        <f t="shared" si="37"/>
        <v>0</v>
      </c>
      <c r="F46" s="290">
        <f t="shared" si="40"/>
        <v>0</v>
      </c>
      <c r="G46" s="598"/>
      <c r="H46" s="290">
        <f>年初BS审定!F45</f>
        <v>0</v>
      </c>
      <c r="I46" s="291">
        <f t="shared" si="34"/>
        <v>0</v>
      </c>
      <c r="J46" s="295">
        <f t="shared" si="41"/>
        <v>0</v>
      </c>
    </row>
    <row r="47" spans="1:10" ht="13.9" customHeight="1">
      <c r="A47" s="978" t="str">
        <f>报表格式!B45</f>
        <v xml:space="preserve">生产性生物资产 </v>
      </c>
      <c r="B47" s="288">
        <f t="shared" si="5"/>
        <v>41</v>
      </c>
      <c r="C47" s="597"/>
      <c r="D47" s="290">
        <f>年初BS审定!B46</f>
        <v>0</v>
      </c>
      <c r="E47" s="291">
        <f t="shared" si="37"/>
        <v>0</v>
      </c>
      <c r="F47" s="290">
        <f t="shared" si="40"/>
        <v>0</v>
      </c>
      <c r="G47" s="598"/>
      <c r="H47" s="290">
        <f>年初BS审定!F46</f>
        <v>0</v>
      </c>
      <c r="I47" s="291">
        <f t="shared" si="34"/>
        <v>0</v>
      </c>
      <c r="J47" s="295">
        <f t="shared" si="41"/>
        <v>0</v>
      </c>
    </row>
    <row r="48" spans="1:10" ht="13.9" customHeight="1">
      <c r="A48" s="978" t="str">
        <f>报表格式!B46</f>
        <v>油气资产</v>
      </c>
      <c r="B48" s="288">
        <f t="shared" si="5"/>
        <v>42</v>
      </c>
      <c r="C48" s="597"/>
      <c r="D48" s="290">
        <f>年初BS审定!B47</f>
        <v>0</v>
      </c>
      <c r="E48" s="291">
        <f t="shared" si="37"/>
        <v>0</v>
      </c>
      <c r="F48" s="290">
        <f t="shared" si="40"/>
        <v>0</v>
      </c>
      <c r="G48" s="598"/>
      <c r="H48" s="290">
        <f>年初BS审定!F47</f>
        <v>0</v>
      </c>
      <c r="I48" s="291">
        <f t="shared" si="34"/>
        <v>0</v>
      </c>
      <c r="J48" s="295">
        <f t="shared" si="41"/>
        <v>0</v>
      </c>
    </row>
    <row r="49" spans="1:12" ht="13.9" customHeight="1">
      <c r="A49" s="978" t="str">
        <f>报表格式!B47</f>
        <v>使用权资产</v>
      </c>
      <c r="B49" s="288">
        <f t="shared" si="5"/>
        <v>43</v>
      </c>
      <c r="C49" s="597"/>
      <c r="D49" s="290">
        <f>年初BS审定!B48</f>
        <v>0</v>
      </c>
      <c r="E49" s="291">
        <f t="shared" si="37"/>
        <v>0</v>
      </c>
      <c r="F49" s="290">
        <f t="shared" si="40"/>
        <v>0</v>
      </c>
      <c r="G49" s="598"/>
      <c r="H49" s="290">
        <f>年初BS审定!F48</f>
        <v>0</v>
      </c>
      <c r="I49" s="291">
        <f t="shared" si="34"/>
        <v>0</v>
      </c>
      <c r="J49" s="295">
        <f t="shared" si="41"/>
        <v>0</v>
      </c>
    </row>
    <row r="50" spans="1:12" ht="13.9" customHeight="1">
      <c r="A50" s="978" t="str">
        <f>报表格式!B48</f>
        <v>无形资产</v>
      </c>
      <c r="B50" s="288">
        <f t="shared" si="5"/>
        <v>44</v>
      </c>
      <c r="C50" s="597"/>
      <c r="D50" s="290">
        <f>年初BS审定!B49</f>
        <v>0</v>
      </c>
      <c r="E50" s="291">
        <f t="shared" si="37"/>
        <v>0</v>
      </c>
      <c r="F50" s="290">
        <f t="shared" si="40"/>
        <v>0</v>
      </c>
      <c r="G50" s="598"/>
      <c r="H50" s="290">
        <f>年初BS审定!F49</f>
        <v>0</v>
      </c>
      <c r="I50" s="291">
        <f t="shared" si="34"/>
        <v>0</v>
      </c>
      <c r="J50" s="295">
        <f t="shared" si="41"/>
        <v>0</v>
      </c>
    </row>
    <row r="51" spans="1:12" ht="13.9" customHeight="1">
      <c r="A51" s="978" t="str">
        <f>报表格式!B49</f>
        <v>开发支出</v>
      </c>
      <c r="B51" s="288">
        <f t="shared" si="5"/>
        <v>45</v>
      </c>
      <c r="C51" s="597"/>
      <c r="D51" s="290">
        <f>年初BS审定!B50</f>
        <v>0</v>
      </c>
      <c r="E51" s="291">
        <f t="shared" si="37"/>
        <v>0</v>
      </c>
      <c r="F51" s="290">
        <f t="shared" si="40"/>
        <v>0</v>
      </c>
      <c r="G51" s="598"/>
      <c r="H51" s="290">
        <f>年初BS审定!F50</f>
        <v>0</v>
      </c>
      <c r="I51" s="291">
        <f t="shared" si="34"/>
        <v>0</v>
      </c>
      <c r="J51" s="295">
        <f t="shared" si="41"/>
        <v>0</v>
      </c>
    </row>
    <row r="52" spans="1:12" ht="13.9" customHeight="1">
      <c r="A52" s="978" t="str">
        <f>报表格式!B50</f>
        <v>商誉</v>
      </c>
      <c r="B52" s="288">
        <f t="shared" si="5"/>
        <v>46</v>
      </c>
      <c r="C52" s="597"/>
      <c r="D52" s="290">
        <f>年初BS审定!B51</f>
        <v>0</v>
      </c>
      <c r="E52" s="291">
        <f t="shared" si="37"/>
        <v>0</v>
      </c>
      <c r="F52" s="290">
        <f t="shared" si="40"/>
        <v>0</v>
      </c>
      <c r="G52" s="598"/>
      <c r="H52" s="290">
        <f>年初BS审定!F51</f>
        <v>0</v>
      </c>
      <c r="I52" s="291">
        <f t="shared" si="34"/>
        <v>0</v>
      </c>
      <c r="J52" s="295">
        <f t="shared" si="41"/>
        <v>0</v>
      </c>
    </row>
    <row r="53" spans="1:12" ht="13.9" customHeight="1">
      <c r="A53" s="978" t="str">
        <f>报表格式!B51</f>
        <v>长期待摊费用</v>
      </c>
      <c r="B53" s="288">
        <f t="shared" si="5"/>
        <v>47</v>
      </c>
      <c r="C53" s="597"/>
      <c r="D53" s="290">
        <f>年初BS审定!B52</f>
        <v>0</v>
      </c>
      <c r="E53" s="291">
        <f t="shared" ref="E53:E58" si="46">ABS(F53)</f>
        <v>0</v>
      </c>
      <c r="F53" s="290">
        <f>C53-D53</f>
        <v>0</v>
      </c>
      <c r="G53" s="598"/>
      <c r="H53" s="290">
        <f>年初BS审定!F52</f>
        <v>0</v>
      </c>
      <c r="I53" s="291">
        <f t="shared" ref="I53:I58" si="47">ABS(J53)</f>
        <v>0</v>
      </c>
      <c r="J53" s="295">
        <f>G53-H53</f>
        <v>0</v>
      </c>
    </row>
    <row r="54" spans="1:12" ht="13.9" customHeight="1">
      <c r="A54" s="978" t="str">
        <f>报表格式!B52</f>
        <v>递延所得税资产</v>
      </c>
      <c r="B54" s="288">
        <f t="shared" si="5"/>
        <v>48</v>
      </c>
      <c r="C54" s="597"/>
      <c r="D54" s="290">
        <f>年初BS审定!B53</f>
        <v>0</v>
      </c>
      <c r="E54" s="291">
        <f t="shared" si="46"/>
        <v>0</v>
      </c>
      <c r="F54" s="290">
        <f t="shared" ref="F54:F60" si="48">C54-D54</f>
        <v>0</v>
      </c>
      <c r="G54" s="598"/>
      <c r="H54" s="290">
        <f>年初BS审定!F53</f>
        <v>0</v>
      </c>
      <c r="I54" s="291">
        <f t="shared" si="47"/>
        <v>0</v>
      </c>
      <c r="J54" s="295">
        <f t="shared" ref="J54:J60" si="49">G54-H54</f>
        <v>0</v>
      </c>
    </row>
    <row r="55" spans="1:12" ht="13.9" customHeight="1">
      <c r="A55" s="978" t="str">
        <f>报表格式!B53</f>
        <v>其他非流动资产</v>
      </c>
      <c r="B55" s="288">
        <f t="shared" si="5"/>
        <v>49</v>
      </c>
      <c r="C55" s="597"/>
      <c r="D55" s="290">
        <f>年初BS审定!B54</f>
        <v>0</v>
      </c>
      <c r="E55" s="291">
        <f t="shared" si="46"/>
        <v>0</v>
      </c>
      <c r="F55" s="290">
        <f t="shared" si="48"/>
        <v>0</v>
      </c>
      <c r="G55" s="598"/>
      <c r="H55" s="290">
        <f>年初BS审定!F54</f>
        <v>0</v>
      </c>
      <c r="I55" s="291">
        <f t="shared" si="47"/>
        <v>0</v>
      </c>
      <c r="J55" s="295">
        <f t="shared" si="49"/>
        <v>0</v>
      </c>
    </row>
    <row r="56" spans="1:12" ht="13.9" customHeight="1">
      <c r="A56" s="978">
        <f>报表格式!B54</f>
        <v>0</v>
      </c>
      <c r="B56" s="288">
        <f t="shared" si="5"/>
        <v>50</v>
      </c>
      <c r="C56" s="597"/>
      <c r="D56" s="290">
        <f>年初BS审定!B55</f>
        <v>0</v>
      </c>
      <c r="E56" s="291">
        <f t="shared" si="46"/>
        <v>0</v>
      </c>
      <c r="F56" s="290">
        <f t="shared" si="48"/>
        <v>0</v>
      </c>
      <c r="G56" s="598"/>
      <c r="H56" s="290">
        <f>年初BS审定!F55</f>
        <v>0</v>
      </c>
      <c r="I56" s="291">
        <f t="shared" si="47"/>
        <v>0</v>
      </c>
      <c r="J56" s="295">
        <f t="shared" si="49"/>
        <v>0</v>
      </c>
    </row>
    <row r="57" spans="1:12" ht="13.9" customHeight="1">
      <c r="A57" s="978">
        <f>报表格式!B55</f>
        <v>0</v>
      </c>
      <c r="B57" s="288">
        <f t="shared" si="5"/>
        <v>51</v>
      </c>
      <c r="C57" s="597"/>
      <c r="D57" s="290">
        <f>年初BS审定!B56</f>
        <v>0</v>
      </c>
      <c r="E57" s="291">
        <f t="shared" si="46"/>
        <v>0</v>
      </c>
      <c r="F57" s="290">
        <f t="shared" si="48"/>
        <v>0</v>
      </c>
      <c r="G57" s="598"/>
      <c r="H57" s="290">
        <f>年初BS审定!F56</f>
        <v>0</v>
      </c>
      <c r="I57" s="291">
        <f t="shared" si="47"/>
        <v>0</v>
      </c>
      <c r="J57" s="295">
        <f t="shared" si="49"/>
        <v>0</v>
      </c>
    </row>
    <row r="58" spans="1:12" ht="13.9" customHeight="1">
      <c r="A58" s="978">
        <f>报表格式!B56</f>
        <v>0</v>
      </c>
      <c r="B58" s="288">
        <f t="shared" si="5"/>
        <v>52</v>
      </c>
      <c r="C58" s="597"/>
      <c r="D58" s="290">
        <f>年初BS审定!B57</f>
        <v>0</v>
      </c>
      <c r="E58" s="291">
        <f t="shared" si="46"/>
        <v>0</v>
      </c>
      <c r="F58" s="290">
        <f t="shared" si="48"/>
        <v>0</v>
      </c>
      <c r="G58" s="598"/>
      <c r="H58" s="290">
        <f>年初BS审定!F57</f>
        <v>0</v>
      </c>
      <c r="I58" s="291">
        <f t="shared" si="47"/>
        <v>0</v>
      </c>
      <c r="J58" s="295">
        <f t="shared" si="49"/>
        <v>0</v>
      </c>
    </row>
    <row r="59" spans="1:12" s="636" customFormat="1">
      <c r="A59" s="981" t="str">
        <f>报表格式!B57</f>
        <v>非流动资产合计</v>
      </c>
      <c r="B59" s="861">
        <f>B58+1</f>
        <v>53</v>
      </c>
      <c r="C59" s="293">
        <f>SUM(C35:C58)</f>
        <v>0</v>
      </c>
      <c r="D59" s="293">
        <f>SUM(D34:D58)</f>
        <v>0</v>
      </c>
      <c r="E59" s="744">
        <f t="shared" si="37"/>
        <v>0</v>
      </c>
      <c r="F59" s="745">
        <f t="shared" si="48"/>
        <v>0</v>
      </c>
      <c r="G59" s="293">
        <f>SUM(G35:G58)</f>
        <v>0</v>
      </c>
      <c r="H59" s="293">
        <f>SUM(H34:H58)</f>
        <v>0</v>
      </c>
      <c r="I59" s="744">
        <f t="shared" si="34"/>
        <v>0</v>
      </c>
      <c r="J59" s="746">
        <f t="shared" si="49"/>
        <v>0</v>
      </c>
    </row>
    <row r="60" spans="1:12" ht="15" thickBot="1">
      <c r="A60" s="982" t="str">
        <f>报表格式!B58</f>
        <v>资 产 总 计</v>
      </c>
      <c r="B60" s="289">
        <f>B59+1</f>
        <v>54</v>
      </c>
      <c r="C60" s="747">
        <f>SUM(C32,C59)</f>
        <v>0</v>
      </c>
      <c r="D60" s="747">
        <f>SUM(D32,D59)</f>
        <v>0</v>
      </c>
      <c r="E60" s="747">
        <f t="shared" si="37"/>
        <v>0</v>
      </c>
      <c r="F60" s="747">
        <f t="shared" si="48"/>
        <v>0</v>
      </c>
      <c r="G60" s="747">
        <f>SUM(G32,G59)</f>
        <v>0</v>
      </c>
      <c r="H60" s="747">
        <f>SUM(H32,H59)</f>
        <v>0</v>
      </c>
      <c r="I60" s="747">
        <f t="shared" si="34"/>
        <v>0</v>
      </c>
      <c r="J60" s="748">
        <f t="shared" si="49"/>
        <v>0</v>
      </c>
    </row>
    <row r="61" spans="1:12">
      <c r="A61" s="1150" t="str">
        <f>IF(E119&lt;=0.005,IF(说明!E28="一般企业（执行统一会计制度）","负债及所有者权益","负债及股东权益"),"负债明细核对不符！")</f>
        <v>负债及股东权益</v>
      </c>
      <c r="B61" s="1146" t="s">
        <v>356</v>
      </c>
      <c r="C61" s="1148" t="s">
        <v>552</v>
      </c>
      <c r="D61" s="1148"/>
      <c r="E61" s="1148"/>
      <c r="F61" s="1148"/>
      <c r="G61" s="1148" t="s">
        <v>551</v>
      </c>
      <c r="H61" s="1148"/>
      <c r="I61" s="1148"/>
      <c r="J61" s="1149"/>
    </row>
    <row r="62" spans="1:12" ht="24">
      <c r="A62" s="1151"/>
      <c r="B62" s="1147"/>
      <c r="C62" s="438" t="s">
        <v>676</v>
      </c>
      <c r="D62" s="438" t="s">
        <v>675</v>
      </c>
      <c r="E62" s="438" t="s">
        <v>447</v>
      </c>
      <c r="F62" s="438" t="s">
        <v>358</v>
      </c>
      <c r="G62" s="438" t="s">
        <v>676</v>
      </c>
      <c r="H62" s="438" t="s">
        <v>675</v>
      </c>
      <c r="I62" s="438" t="s">
        <v>447</v>
      </c>
      <c r="J62" s="439" t="s">
        <v>358</v>
      </c>
      <c r="K62" s="172"/>
      <c r="L62" s="60"/>
    </row>
    <row r="63" spans="1:12">
      <c r="A63" s="983" t="str">
        <f>报表格式!G5</f>
        <v>流动负债：</v>
      </c>
      <c r="B63" s="445">
        <f>B60+1</f>
        <v>55</v>
      </c>
      <c r="C63" s="441"/>
      <c r="D63" s="441"/>
      <c r="E63" s="442"/>
      <c r="F63" s="443"/>
      <c r="G63" s="446"/>
      <c r="H63" s="446"/>
      <c r="I63" s="442"/>
      <c r="J63" s="444"/>
    </row>
    <row r="64" spans="1:12">
      <c r="A64" s="978" t="str">
        <f>报表格式!G6</f>
        <v>短期借款</v>
      </c>
      <c r="B64" s="292">
        <f>B63+1</f>
        <v>56</v>
      </c>
      <c r="C64" s="597"/>
      <c r="D64" s="290">
        <f>年初BS审定!B62</f>
        <v>0</v>
      </c>
      <c r="E64" s="290">
        <f>ABS(F64)</f>
        <v>0</v>
      </c>
      <c r="F64" s="290">
        <f>C64-D64</f>
        <v>0</v>
      </c>
      <c r="G64" s="598"/>
      <c r="H64" s="290">
        <f>年初BS审定!F62</f>
        <v>0</v>
      </c>
      <c r="I64" s="290">
        <f>ABS(J64)</f>
        <v>0</v>
      </c>
      <c r="J64" s="295">
        <f>G64-H64</f>
        <v>0</v>
      </c>
      <c r="K64" s="168"/>
    </row>
    <row r="65" spans="1:11">
      <c r="A65" s="978" t="str">
        <f>报表格式!G7</f>
        <v>向中央银行借款</v>
      </c>
      <c r="B65" s="292">
        <f t="shared" ref="B65:B68" si="50">B64+1</f>
        <v>57</v>
      </c>
      <c r="C65" s="597"/>
      <c r="D65" s="290">
        <f>年初BS审定!B63</f>
        <v>0</v>
      </c>
      <c r="E65" s="290">
        <f t="shared" ref="E65:E68" si="51">ABS(F65)</f>
        <v>0</v>
      </c>
      <c r="F65" s="290">
        <f t="shared" ref="F65:F68" si="52">C65-D65</f>
        <v>0</v>
      </c>
      <c r="G65" s="598"/>
      <c r="H65" s="290">
        <f>年初BS审定!F63</f>
        <v>0</v>
      </c>
      <c r="I65" s="290">
        <f t="shared" ref="I65:I68" si="53">ABS(J65)</f>
        <v>0</v>
      </c>
      <c r="J65" s="295">
        <f t="shared" ref="J65:J68" si="54">G65-H65</f>
        <v>0</v>
      </c>
      <c r="K65" s="168"/>
    </row>
    <row r="66" spans="1:11">
      <c r="A66" s="978" t="str">
        <f>报表格式!G8</f>
        <v>吸收存款及同业存放</v>
      </c>
      <c r="B66" s="292">
        <f t="shared" si="50"/>
        <v>58</v>
      </c>
      <c r="C66" s="597"/>
      <c r="D66" s="290">
        <f>年初BS审定!B64</f>
        <v>0</v>
      </c>
      <c r="E66" s="290">
        <f t="shared" si="51"/>
        <v>0</v>
      </c>
      <c r="F66" s="290">
        <f t="shared" si="52"/>
        <v>0</v>
      </c>
      <c r="G66" s="598"/>
      <c r="H66" s="290">
        <f>年初BS审定!F64</f>
        <v>0</v>
      </c>
      <c r="I66" s="290">
        <f t="shared" si="53"/>
        <v>0</v>
      </c>
      <c r="J66" s="295">
        <f t="shared" si="54"/>
        <v>0</v>
      </c>
      <c r="K66" s="168"/>
    </row>
    <row r="67" spans="1:11">
      <c r="A67" s="978" t="str">
        <f>报表格式!G9</f>
        <v>拆入资金</v>
      </c>
      <c r="B67" s="292">
        <f t="shared" si="50"/>
        <v>59</v>
      </c>
      <c r="C67" s="597"/>
      <c r="D67" s="290">
        <f>年初BS审定!B65</f>
        <v>0</v>
      </c>
      <c r="E67" s="290">
        <f t="shared" si="51"/>
        <v>0</v>
      </c>
      <c r="F67" s="290">
        <f t="shared" si="52"/>
        <v>0</v>
      </c>
      <c r="G67" s="598"/>
      <c r="H67" s="290">
        <f>年初BS审定!F65</f>
        <v>0</v>
      </c>
      <c r="I67" s="290">
        <f t="shared" si="53"/>
        <v>0</v>
      </c>
      <c r="J67" s="295">
        <f t="shared" si="54"/>
        <v>0</v>
      </c>
      <c r="K67" s="168"/>
    </row>
    <row r="68" spans="1:11">
      <c r="A68" s="978" t="str">
        <f>报表格式!G10</f>
        <v>交易性金融负债</v>
      </c>
      <c r="B68" s="292">
        <f t="shared" si="50"/>
        <v>60</v>
      </c>
      <c r="C68" s="597"/>
      <c r="D68" s="290">
        <f>年初BS审定!B66</f>
        <v>0</v>
      </c>
      <c r="E68" s="290">
        <f t="shared" si="51"/>
        <v>0</v>
      </c>
      <c r="F68" s="290">
        <f t="shared" si="52"/>
        <v>0</v>
      </c>
      <c r="G68" s="598"/>
      <c r="H68" s="290">
        <f>年初BS审定!F66</f>
        <v>0</v>
      </c>
      <c r="I68" s="290">
        <f t="shared" si="53"/>
        <v>0</v>
      </c>
      <c r="J68" s="295">
        <f t="shared" si="54"/>
        <v>0</v>
      </c>
      <c r="K68" s="168"/>
    </row>
    <row r="69" spans="1:11">
      <c r="A69" s="978" t="str">
        <f>报表格式!G11</f>
        <v>以公允价值计量且其变动计入当期损益的金融负债</v>
      </c>
      <c r="B69" s="292">
        <f t="shared" ref="B69:B119" si="55">B68+1</f>
        <v>61</v>
      </c>
      <c r="C69" s="597"/>
      <c r="D69" s="290">
        <f>年初BS审定!B67</f>
        <v>0</v>
      </c>
      <c r="E69" s="290">
        <f t="shared" ref="E69:E88" si="56">ABS(F69)</f>
        <v>0</v>
      </c>
      <c r="F69" s="290">
        <f t="shared" ref="F69:F88" si="57">C69-D69</f>
        <v>0</v>
      </c>
      <c r="G69" s="598"/>
      <c r="H69" s="290">
        <f>年初BS审定!F67</f>
        <v>0</v>
      </c>
      <c r="I69" s="290">
        <f t="shared" ref="I69:I88" si="58">ABS(J69)</f>
        <v>0</v>
      </c>
      <c r="J69" s="295">
        <f t="shared" ref="J69:J88" si="59">G69-H69</f>
        <v>0</v>
      </c>
      <c r="K69" s="168"/>
    </row>
    <row r="70" spans="1:11">
      <c r="A70" s="978" t="str">
        <f>报表格式!G12</f>
        <v>衍生金融负债</v>
      </c>
      <c r="B70" s="292">
        <f t="shared" si="55"/>
        <v>62</v>
      </c>
      <c r="C70" s="597"/>
      <c r="D70" s="290">
        <f>年初BS审定!B68</f>
        <v>0</v>
      </c>
      <c r="E70" s="290">
        <f t="shared" si="56"/>
        <v>0</v>
      </c>
      <c r="F70" s="290">
        <f t="shared" si="57"/>
        <v>0</v>
      </c>
      <c r="G70" s="598"/>
      <c r="H70" s="290">
        <f>年初BS审定!F68</f>
        <v>0</v>
      </c>
      <c r="I70" s="290">
        <f t="shared" si="58"/>
        <v>0</v>
      </c>
      <c r="J70" s="295">
        <f t="shared" si="59"/>
        <v>0</v>
      </c>
      <c r="K70" s="168"/>
    </row>
    <row r="71" spans="1:11">
      <c r="A71" s="978" t="str">
        <f>报表格式!G13</f>
        <v>应付票据</v>
      </c>
      <c r="B71" s="292">
        <f t="shared" si="55"/>
        <v>63</v>
      </c>
      <c r="C71" s="597"/>
      <c r="D71" s="290">
        <f>年初BS审定!B69</f>
        <v>0</v>
      </c>
      <c r="E71" s="290">
        <f t="shared" si="56"/>
        <v>0</v>
      </c>
      <c r="F71" s="290">
        <f t="shared" si="57"/>
        <v>0</v>
      </c>
      <c r="G71" s="598"/>
      <c r="H71" s="290">
        <f>年初BS审定!F69</f>
        <v>0</v>
      </c>
      <c r="I71" s="290">
        <f t="shared" si="58"/>
        <v>0</v>
      </c>
      <c r="J71" s="295">
        <f t="shared" si="59"/>
        <v>0</v>
      </c>
    </row>
    <row r="72" spans="1:11">
      <c r="A72" s="978" t="str">
        <f>报表格式!G14</f>
        <v>应付账款</v>
      </c>
      <c r="B72" s="292">
        <f t="shared" si="55"/>
        <v>64</v>
      </c>
      <c r="C72" s="597"/>
      <c r="D72" s="290">
        <f>年初BS审定!B70</f>
        <v>0</v>
      </c>
      <c r="E72" s="290">
        <f t="shared" si="56"/>
        <v>0</v>
      </c>
      <c r="F72" s="290">
        <f t="shared" si="57"/>
        <v>0</v>
      </c>
      <c r="G72" s="598"/>
      <c r="H72" s="290">
        <f>年初BS审定!F70</f>
        <v>0</v>
      </c>
      <c r="I72" s="290">
        <f t="shared" si="58"/>
        <v>0</v>
      </c>
      <c r="J72" s="295">
        <f t="shared" si="59"/>
        <v>0</v>
      </c>
    </row>
    <row r="73" spans="1:11">
      <c r="A73" s="978" t="str">
        <f>报表格式!G15</f>
        <v>预收款项</v>
      </c>
      <c r="B73" s="292">
        <f t="shared" si="55"/>
        <v>65</v>
      </c>
      <c r="C73" s="597"/>
      <c r="D73" s="290">
        <f>年初BS审定!B71</f>
        <v>0</v>
      </c>
      <c r="E73" s="290">
        <f t="shared" si="56"/>
        <v>0</v>
      </c>
      <c r="F73" s="290">
        <f t="shared" si="57"/>
        <v>0</v>
      </c>
      <c r="G73" s="598"/>
      <c r="H73" s="290">
        <f>年初BS审定!F71</f>
        <v>0</v>
      </c>
      <c r="I73" s="290">
        <f t="shared" si="58"/>
        <v>0</v>
      </c>
      <c r="J73" s="295">
        <f t="shared" si="59"/>
        <v>0</v>
      </c>
    </row>
    <row r="74" spans="1:11">
      <c r="A74" s="978" t="str">
        <f>报表格式!G16</f>
        <v>卖出回购金融资产款</v>
      </c>
      <c r="B74" s="292">
        <f t="shared" si="55"/>
        <v>66</v>
      </c>
      <c r="C74" s="597"/>
      <c r="D74" s="290">
        <f>年初BS审定!B72</f>
        <v>0</v>
      </c>
      <c r="E74" s="290">
        <f t="shared" ref="E74:E76" si="60">ABS(F74)</f>
        <v>0</v>
      </c>
      <c r="F74" s="290">
        <f t="shared" ref="F74:F76" si="61">C74-D74</f>
        <v>0</v>
      </c>
      <c r="G74" s="598"/>
      <c r="H74" s="290">
        <f>年初BS审定!F72</f>
        <v>0</v>
      </c>
      <c r="I74" s="290">
        <f t="shared" ref="I74:I76" si="62">ABS(J74)</f>
        <v>0</v>
      </c>
      <c r="J74" s="295">
        <f t="shared" ref="J74:J76" si="63">G74-H74</f>
        <v>0</v>
      </c>
    </row>
    <row r="75" spans="1:11">
      <c r="A75" s="978" t="str">
        <f>报表格式!G17</f>
        <v>应付手续费及佣金</v>
      </c>
      <c r="B75" s="292">
        <f t="shared" si="55"/>
        <v>67</v>
      </c>
      <c r="C75" s="597"/>
      <c r="D75" s="290">
        <f>年初BS审定!B73</f>
        <v>0</v>
      </c>
      <c r="E75" s="290">
        <f t="shared" si="60"/>
        <v>0</v>
      </c>
      <c r="F75" s="290">
        <f t="shared" si="61"/>
        <v>0</v>
      </c>
      <c r="G75" s="598"/>
      <c r="H75" s="290">
        <f>年初BS审定!F73</f>
        <v>0</v>
      </c>
      <c r="I75" s="290">
        <f t="shared" si="62"/>
        <v>0</v>
      </c>
      <c r="J75" s="295">
        <f t="shared" si="63"/>
        <v>0</v>
      </c>
    </row>
    <row r="76" spans="1:11">
      <c r="A76" s="978" t="str">
        <f>报表格式!G18</f>
        <v>合同负债</v>
      </c>
      <c r="B76" s="292">
        <f t="shared" si="55"/>
        <v>68</v>
      </c>
      <c r="C76" s="597"/>
      <c r="D76" s="290">
        <f>年初BS审定!B74</f>
        <v>0</v>
      </c>
      <c r="E76" s="290">
        <f t="shared" si="60"/>
        <v>0</v>
      </c>
      <c r="F76" s="290">
        <f t="shared" si="61"/>
        <v>0</v>
      </c>
      <c r="G76" s="598"/>
      <c r="H76" s="290">
        <f>年初BS审定!F74</f>
        <v>0</v>
      </c>
      <c r="I76" s="290">
        <f t="shared" si="62"/>
        <v>0</v>
      </c>
      <c r="J76" s="295">
        <f t="shared" si="63"/>
        <v>0</v>
      </c>
    </row>
    <row r="77" spans="1:11">
      <c r="A77" s="978" t="str">
        <f>报表格式!G19</f>
        <v>应付职工薪酬</v>
      </c>
      <c r="B77" s="292">
        <f t="shared" si="55"/>
        <v>69</v>
      </c>
      <c r="C77" s="597"/>
      <c r="D77" s="290">
        <f>年初BS审定!B75</f>
        <v>0</v>
      </c>
      <c r="E77" s="290">
        <f t="shared" si="56"/>
        <v>0</v>
      </c>
      <c r="F77" s="290">
        <f t="shared" si="57"/>
        <v>0</v>
      </c>
      <c r="G77" s="598"/>
      <c r="H77" s="290">
        <f>年初BS审定!F75</f>
        <v>0</v>
      </c>
      <c r="I77" s="290">
        <f t="shared" si="58"/>
        <v>0</v>
      </c>
      <c r="J77" s="295">
        <f t="shared" si="59"/>
        <v>0</v>
      </c>
    </row>
    <row r="78" spans="1:11">
      <c r="A78" s="978" t="str">
        <f>报表格式!G20</f>
        <v>应交税费</v>
      </c>
      <c r="B78" s="292">
        <f t="shared" si="55"/>
        <v>70</v>
      </c>
      <c r="C78" s="597"/>
      <c r="D78" s="290">
        <f>年初BS审定!B76</f>
        <v>0</v>
      </c>
      <c r="E78" s="290">
        <f t="shared" si="56"/>
        <v>0</v>
      </c>
      <c r="F78" s="290">
        <f t="shared" si="57"/>
        <v>0</v>
      </c>
      <c r="G78" s="598"/>
      <c r="H78" s="290">
        <f>年初BS审定!F76</f>
        <v>0</v>
      </c>
      <c r="I78" s="290">
        <f t="shared" si="58"/>
        <v>0</v>
      </c>
      <c r="J78" s="295">
        <f t="shared" si="59"/>
        <v>0</v>
      </c>
    </row>
    <row r="79" spans="1:11">
      <c r="A79" s="978" t="str">
        <f>报表格式!G21</f>
        <v>其他应付款</v>
      </c>
      <c r="B79" s="292">
        <f t="shared" si="55"/>
        <v>71</v>
      </c>
      <c r="C79" s="597"/>
      <c r="D79" s="290">
        <f>年初BS审定!B77</f>
        <v>0</v>
      </c>
      <c r="E79" s="290">
        <f t="shared" si="56"/>
        <v>0</v>
      </c>
      <c r="F79" s="290">
        <f t="shared" si="57"/>
        <v>0</v>
      </c>
      <c r="G79" s="598"/>
      <c r="H79" s="290">
        <f>年初BS审定!F77</f>
        <v>0</v>
      </c>
      <c r="I79" s="290">
        <f t="shared" si="58"/>
        <v>0</v>
      </c>
      <c r="J79" s="295">
        <f t="shared" si="59"/>
        <v>0</v>
      </c>
    </row>
    <row r="80" spans="1:11">
      <c r="A80" s="978" t="str">
        <f>报表格式!G22</f>
        <v xml:space="preserve">  其中：应付利息</v>
      </c>
      <c r="B80" s="292">
        <f t="shared" si="55"/>
        <v>72</v>
      </c>
      <c r="C80" s="597"/>
      <c r="D80" s="290">
        <f>年初BS审定!B78</f>
        <v>0</v>
      </c>
      <c r="E80" s="290">
        <f t="shared" si="56"/>
        <v>0</v>
      </c>
      <c r="F80" s="290">
        <f t="shared" si="57"/>
        <v>0</v>
      </c>
      <c r="G80" s="598"/>
      <c r="H80" s="290">
        <f>年初BS审定!F78</f>
        <v>0</v>
      </c>
      <c r="I80" s="290">
        <f t="shared" si="58"/>
        <v>0</v>
      </c>
      <c r="J80" s="295">
        <f t="shared" si="59"/>
        <v>0</v>
      </c>
    </row>
    <row r="81" spans="1:10">
      <c r="A81" s="978" t="str">
        <f>报表格式!G23</f>
        <v xml:space="preserve">        应付股利</v>
      </c>
      <c r="B81" s="292">
        <f t="shared" si="55"/>
        <v>73</v>
      </c>
      <c r="C81" s="597"/>
      <c r="D81" s="290">
        <f>年初BS审定!B79</f>
        <v>0</v>
      </c>
      <c r="E81" s="290">
        <f t="shared" si="56"/>
        <v>0</v>
      </c>
      <c r="F81" s="290">
        <f t="shared" si="57"/>
        <v>0</v>
      </c>
      <c r="G81" s="598"/>
      <c r="H81" s="290">
        <f>年初BS审定!F79</f>
        <v>0</v>
      </c>
      <c r="I81" s="290">
        <f t="shared" si="58"/>
        <v>0</v>
      </c>
      <c r="J81" s="295">
        <f t="shared" si="59"/>
        <v>0</v>
      </c>
    </row>
    <row r="82" spans="1:10">
      <c r="A82" s="978" t="str">
        <f>报表格式!G24</f>
        <v>应付分保账款</v>
      </c>
      <c r="B82" s="292">
        <f t="shared" si="55"/>
        <v>74</v>
      </c>
      <c r="C82" s="597"/>
      <c r="D82" s="290">
        <f>年初BS审定!B80</f>
        <v>0</v>
      </c>
      <c r="E82" s="290">
        <f t="shared" ref="E82:E86" si="64">ABS(F82)</f>
        <v>0</v>
      </c>
      <c r="F82" s="290">
        <f t="shared" ref="F82:F86" si="65">C82-D82</f>
        <v>0</v>
      </c>
      <c r="G82" s="598"/>
      <c r="H82" s="290">
        <f>年初BS审定!F80</f>
        <v>0</v>
      </c>
      <c r="I82" s="290">
        <f t="shared" ref="I82:I86" si="66">ABS(J82)</f>
        <v>0</v>
      </c>
      <c r="J82" s="295">
        <f t="shared" ref="J82:J86" si="67">G82-H82</f>
        <v>0</v>
      </c>
    </row>
    <row r="83" spans="1:10">
      <c r="A83" s="978" t="str">
        <f>报表格式!G25</f>
        <v>保险合同准备金</v>
      </c>
      <c r="B83" s="292">
        <f t="shared" si="55"/>
        <v>75</v>
      </c>
      <c r="C83" s="597"/>
      <c r="D83" s="290">
        <f>年初BS审定!B81</f>
        <v>0</v>
      </c>
      <c r="E83" s="290">
        <f t="shared" si="64"/>
        <v>0</v>
      </c>
      <c r="F83" s="290">
        <f t="shared" si="65"/>
        <v>0</v>
      </c>
      <c r="G83" s="598"/>
      <c r="H83" s="290">
        <f>年初BS审定!F81</f>
        <v>0</v>
      </c>
      <c r="I83" s="290">
        <f t="shared" si="66"/>
        <v>0</v>
      </c>
      <c r="J83" s="295">
        <f t="shared" si="67"/>
        <v>0</v>
      </c>
    </row>
    <row r="84" spans="1:10">
      <c r="A84" s="978" t="str">
        <f>报表格式!G26</f>
        <v>代理买卖证券款</v>
      </c>
      <c r="B84" s="292">
        <f t="shared" si="55"/>
        <v>76</v>
      </c>
      <c r="C84" s="597"/>
      <c r="D84" s="290">
        <f>年初BS审定!B82</f>
        <v>0</v>
      </c>
      <c r="E84" s="290">
        <f t="shared" si="64"/>
        <v>0</v>
      </c>
      <c r="F84" s="290">
        <f t="shared" si="65"/>
        <v>0</v>
      </c>
      <c r="G84" s="598"/>
      <c r="H84" s="290">
        <f>年初BS审定!F82</f>
        <v>0</v>
      </c>
      <c r="I84" s="290">
        <f t="shared" si="66"/>
        <v>0</v>
      </c>
      <c r="J84" s="295">
        <f t="shared" si="67"/>
        <v>0</v>
      </c>
    </row>
    <row r="85" spans="1:10">
      <c r="A85" s="978" t="str">
        <f>报表格式!G27</f>
        <v>代理承销证券款</v>
      </c>
      <c r="B85" s="292">
        <f t="shared" si="55"/>
        <v>77</v>
      </c>
      <c r="C85" s="597"/>
      <c r="D85" s="290">
        <f>年初BS审定!B83</f>
        <v>0</v>
      </c>
      <c r="E85" s="290">
        <f t="shared" si="64"/>
        <v>0</v>
      </c>
      <c r="F85" s="290">
        <f t="shared" si="65"/>
        <v>0</v>
      </c>
      <c r="G85" s="598"/>
      <c r="H85" s="290">
        <f>年初BS审定!F83</f>
        <v>0</v>
      </c>
      <c r="I85" s="290">
        <f t="shared" si="66"/>
        <v>0</v>
      </c>
      <c r="J85" s="295">
        <f t="shared" si="67"/>
        <v>0</v>
      </c>
    </row>
    <row r="86" spans="1:10">
      <c r="A86" s="978" t="str">
        <f>报表格式!G28</f>
        <v>持有待售负债</v>
      </c>
      <c r="B86" s="292">
        <f t="shared" si="55"/>
        <v>78</v>
      </c>
      <c r="C86" s="597"/>
      <c r="D86" s="290">
        <f>年初BS审定!B84</f>
        <v>0</v>
      </c>
      <c r="E86" s="290">
        <f t="shared" si="64"/>
        <v>0</v>
      </c>
      <c r="F86" s="290">
        <f t="shared" si="65"/>
        <v>0</v>
      </c>
      <c r="G86" s="598"/>
      <c r="H86" s="290">
        <f>年初BS审定!F84</f>
        <v>0</v>
      </c>
      <c r="I86" s="290">
        <f t="shared" si="66"/>
        <v>0</v>
      </c>
      <c r="J86" s="295">
        <f t="shared" si="67"/>
        <v>0</v>
      </c>
    </row>
    <row r="87" spans="1:10">
      <c r="A87" s="978" t="str">
        <f>报表格式!G29</f>
        <v>一年内到期的非流动负债</v>
      </c>
      <c r="B87" s="292">
        <f t="shared" si="55"/>
        <v>79</v>
      </c>
      <c r="C87" s="597"/>
      <c r="D87" s="290">
        <f>年初BS审定!B85</f>
        <v>0</v>
      </c>
      <c r="E87" s="290">
        <f t="shared" si="56"/>
        <v>0</v>
      </c>
      <c r="F87" s="290">
        <f t="shared" si="57"/>
        <v>0</v>
      </c>
      <c r="G87" s="598"/>
      <c r="H87" s="290">
        <f>年初BS审定!F85</f>
        <v>0</v>
      </c>
      <c r="I87" s="290">
        <f t="shared" si="58"/>
        <v>0</v>
      </c>
      <c r="J87" s="295">
        <f t="shared" si="59"/>
        <v>0</v>
      </c>
    </row>
    <row r="88" spans="1:10">
      <c r="A88" s="978" t="str">
        <f>报表格式!G30</f>
        <v>其他流动负债</v>
      </c>
      <c r="B88" s="292">
        <f t="shared" si="55"/>
        <v>80</v>
      </c>
      <c r="C88" s="597"/>
      <c r="D88" s="290">
        <f>年初BS审定!B86</f>
        <v>0</v>
      </c>
      <c r="E88" s="290">
        <f t="shared" si="56"/>
        <v>0</v>
      </c>
      <c r="F88" s="290">
        <f t="shared" si="57"/>
        <v>0</v>
      </c>
      <c r="G88" s="598"/>
      <c r="H88" s="290">
        <f>年初BS审定!F86</f>
        <v>0</v>
      </c>
      <c r="I88" s="290">
        <f t="shared" si="58"/>
        <v>0</v>
      </c>
      <c r="J88" s="295">
        <f t="shared" si="59"/>
        <v>0</v>
      </c>
    </row>
    <row r="89" spans="1:10" s="636" customFormat="1">
      <c r="A89" s="979" t="str">
        <f>报表格式!G31</f>
        <v>流动负债合计</v>
      </c>
      <c r="B89" s="292">
        <f t="shared" si="55"/>
        <v>81</v>
      </c>
      <c r="C89" s="293">
        <f>SUM(C64:C88)-C80-C81</f>
        <v>0</v>
      </c>
      <c r="D89" s="293">
        <f>SUM(D64:D88)-D80-D81</f>
        <v>0</v>
      </c>
      <c r="E89" s="293">
        <f>ABS(F89)</f>
        <v>0</v>
      </c>
      <c r="F89" s="293">
        <f>C89-D89</f>
        <v>0</v>
      </c>
      <c r="G89" s="293">
        <f>SUM(G64:G88)-G80-G81</f>
        <v>0</v>
      </c>
      <c r="H89" s="293">
        <f>SUM(H64:H88)-H80-H81</f>
        <v>0</v>
      </c>
      <c r="I89" s="293">
        <f>ABS(J89)</f>
        <v>0</v>
      </c>
      <c r="J89" s="743">
        <f>G89-H89</f>
        <v>0</v>
      </c>
    </row>
    <row r="90" spans="1:10">
      <c r="A90" s="980" t="str">
        <f>报表格式!G32</f>
        <v>非流动负债:</v>
      </c>
      <c r="B90" s="292">
        <f t="shared" si="55"/>
        <v>82</v>
      </c>
      <c r="C90" s="290"/>
      <c r="D90" s="290"/>
      <c r="E90" s="290"/>
      <c r="F90" s="290"/>
      <c r="G90" s="290"/>
      <c r="H90" s="290"/>
      <c r="I90" s="290"/>
      <c r="J90" s="295"/>
    </row>
    <row r="91" spans="1:10">
      <c r="A91" s="978" t="str">
        <f>报表格式!G33</f>
        <v>长期借款</v>
      </c>
      <c r="B91" s="292">
        <f t="shared" si="55"/>
        <v>83</v>
      </c>
      <c r="C91" s="597"/>
      <c r="D91" s="290">
        <f>年初BS审定!B89</f>
        <v>0</v>
      </c>
      <c r="E91" s="290">
        <f t="shared" ref="E91:E119" si="68">ABS(F91)</f>
        <v>0</v>
      </c>
      <c r="F91" s="290">
        <f t="shared" ref="F91:F103" si="69">C91-D91</f>
        <v>0</v>
      </c>
      <c r="G91" s="598"/>
      <c r="H91" s="290">
        <f>年初BS审定!F89</f>
        <v>0</v>
      </c>
      <c r="I91" s="290">
        <f t="shared" ref="I91:I119" si="70">ABS(J91)</f>
        <v>0</v>
      </c>
      <c r="J91" s="295">
        <f t="shared" ref="J91:J103" si="71">G91-H91</f>
        <v>0</v>
      </c>
    </row>
    <row r="92" spans="1:10">
      <c r="A92" s="978" t="str">
        <f>报表格式!G34</f>
        <v>应付债券</v>
      </c>
      <c r="B92" s="292">
        <f t="shared" si="55"/>
        <v>84</v>
      </c>
      <c r="C92" s="597"/>
      <c r="D92" s="290">
        <f>年初BS审定!B90</f>
        <v>0</v>
      </c>
      <c r="E92" s="290">
        <f t="shared" si="68"/>
        <v>0</v>
      </c>
      <c r="F92" s="290">
        <f t="shared" si="69"/>
        <v>0</v>
      </c>
      <c r="G92" s="598"/>
      <c r="H92" s="290">
        <f>年初BS审定!F90</f>
        <v>0</v>
      </c>
      <c r="I92" s="290">
        <f t="shared" si="70"/>
        <v>0</v>
      </c>
      <c r="J92" s="295">
        <f t="shared" si="71"/>
        <v>0</v>
      </c>
    </row>
    <row r="93" spans="1:10">
      <c r="A93" s="978" t="str">
        <f>报表格式!G35</f>
        <v xml:space="preserve">  其中：优先股</v>
      </c>
      <c r="B93" s="292">
        <f t="shared" si="55"/>
        <v>85</v>
      </c>
      <c r="C93" s="597"/>
      <c r="D93" s="290">
        <f>年初BS审定!B91</f>
        <v>0</v>
      </c>
      <c r="E93" s="290">
        <f>ABS(F93)</f>
        <v>0</v>
      </c>
      <c r="F93" s="290">
        <f t="shared" si="69"/>
        <v>0</v>
      </c>
      <c r="G93" s="598"/>
      <c r="H93" s="290">
        <f>年初BS审定!F91</f>
        <v>0</v>
      </c>
      <c r="I93" s="290">
        <f>ABS(J93)</f>
        <v>0</v>
      </c>
      <c r="J93" s="295">
        <f t="shared" si="71"/>
        <v>0</v>
      </c>
    </row>
    <row r="94" spans="1:10">
      <c r="A94" s="978" t="str">
        <f>报表格式!G36</f>
        <v xml:space="preserve">        永续债</v>
      </c>
      <c r="B94" s="292">
        <f t="shared" si="55"/>
        <v>86</v>
      </c>
      <c r="C94" s="597"/>
      <c r="D94" s="290">
        <f>年初BS审定!B92</f>
        <v>0</v>
      </c>
      <c r="E94" s="290">
        <f>ABS(F94)</f>
        <v>0</v>
      </c>
      <c r="F94" s="290">
        <f t="shared" si="69"/>
        <v>0</v>
      </c>
      <c r="G94" s="598"/>
      <c r="H94" s="290">
        <f>年初BS审定!F92</f>
        <v>0</v>
      </c>
      <c r="I94" s="290">
        <f>ABS(J94)</f>
        <v>0</v>
      </c>
      <c r="J94" s="295">
        <f t="shared" si="71"/>
        <v>0</v>
      </c>
    </row>
    <row r="95" spans="1:10">
      <c r="A95" s="978" t="str">
        <f>报表格式!G37</f>
        <v>租赁负债</v>
      </c>
      <c r="B95" s="292">
        <f t="shared" si="55"/>
        <v>87</v>
      </c>
      <c r="C95" s="597"/>
      <c r="D95" s="290">
        <f>年初BS审定!B93</f>
        <v>0</v>
      </c>
      <c r="E95" s="290">
        <f>ABS(F95)</f>
        <v>0</v>
      </c>
      <c r="F95" s="290">
        <f t="shared" ref="F95" si="72">C95-D95</f>
        <v>0</v>
      </c>
      <c r="G95" s="598"/>
      <c r="H95" s="290">
        <f>年初BS审定!F93</f>
        <v>0</v>
      </c>
      <c r="I95" s="290">
        <f>ABS(J95)</f>
        <v>0</v>
      </c>
      <c r="J95" s="295">
        <f t="shared" ref="J95" si="73">G95-H95</f>
        <v>0</v>
      </c>
    </row>
    <row r="96" spans="1:10">
      <c r="A96" s="978" t="str">
        <f>报表格式!G38</f>
        <v>长期应付款</v>
      </c>
      <c r="B96" s="292">
        <f t="shared" si="55"/>
        <v>88</v>
      </c>
      <c r="C96" s="597"/>
      <c r="D96" s="290">
        <f>年初BS审定!B94</f>
        <v>0</v>
      </c>
      <c r="E96" s="290">
        <f t="shared" si="68"/>
        <v>0</v>
      </c>
      <c r="F96" s="290">
        <f t="shared" si="69"/>
        <v>0</v>
      </c>
      <c r="G96" s="598"/>
      <c r="H96" s="290">
        <f>年初BS审定!F94</f>
        <v>0</v>
      </c>
      <c r="I96" s="290">
        <f t="shared" si="70"/>
        <v>0</v>
      </c>
      <c r="J96" s="295">
        <f t="shared" si="71"/>
        <v>0</v>
      </c>
    </row>
    <row r="97" spans="1:10">
      <c r="A97" s="978" t="str">
        <f>报表格式!G39</f>
        <v>长期应付职工薪酬</v>
      </c>
      <c r="B97" s="292">
        <f t="shared" si="55"/>
        <v>89</v>
      </c>
      <c r="C97" s="597"/>
      <c r="D97" s="290">
        <f>年初BS审定!B95</f>
        <v>0</v>
      </c>
      <c r="E97" s="290">
        <f>ABS(F97)</f>
        <v>0</v>
      </c>
      <c r="F97" s="290">
        <f t="shared" si="69"/>
        <v>0</v>
      </c>
      <c r="G97" s="598"/>
      <c r="H97" s="290">
        <f>年初BS审定!F95</f>
        <v>0</v>
      </c>
      <c r="I97" s="290">
        <f>ABS(J97)</f>
        <v>0</v>
      </c>
      <c r="J97" s="295">
        <f t="shared" si="71"/>
        <v>0</v>
      </c>
    </row>
    <row r="98" spans="1:10">
      <c r="A98" s="978" t="str">
        <f>报表格式!G40</f>
        <v>预计负债</v>
      </c>
      <c r="B98" s="292">
        <f t="shared" si="55"/>
        <v>90</v>
      </c>
      <c r="C98" s="597"/>
      <c r="D98" s="290">
        <f>年初BS审定!B96</f>
        <v>0</v>
      </c>
      <c r="E98" s="290">
        <f>ABS(F98)</f>
        <v>0</v>
      </c>
      <c r="F98" s="290">
        <f t="shared" si="69"/>
        <v>0</v>
      </c>
      <c r="G98" s="598"/>
      <c r="H98" s="290">
        <f>年初BS审定!F96</f>
        <v>0</v>
      </c>
      <c r="I98" s="290">
        <f>ABS(J98)</f>
        <v>0</v>
      </c>
      <c r="J98" s="295">
        <f t="shared" si="71"/>
        <v>0</v>
      </c>
    </row>
    <row r="99" spans="1:10">
      <c r="A99" s="978" t="str">
        <f>报表格式!G41</f>
        <v>递延收益</v>
      </c>
      <c r="B99" s="292">
        <f t="shared" si="55"/>
        <v>91</v>
      </c>
      <c r="C99" s="597"/>
      <c r="D99" s="290">
        <f>年初BS审定!B97</f>
        <v>0</v>
      </c>
      <c r="E99" s="290">
        <f>ABS(F99)</f>
        <v>0</v>
      </c>
      <c r="F99" s="290">
        <f t="shared" si="69"/>
        <v>0</v>
      </c>
      <c r="G99" s="598"/>
      <c r="H99" s="290">
        <f>年初BS审定!F97</f>
        <v>0</v>
      </c>
      <c r="I99" s="290">
        <f>ABS(J99)</f>
        <v>0</v>
      </c>
      <c r="J99" s="295">
        <f t="shared" si="71"/>
        <v>0</v>
      </c>
    </row>
    <row r="100" spans="1:10">
      <c r="A100" s="978" t="str">
        <f>报表格式!G42</f>
        <v>递延所得税负债</v>
      </c>
      <c r="B100" s="292">
        <f t="shared" si="55"/>
        <v>92</v>
      </c>
      <c r="C100" s="597"/>
      <c r="D100" s="290">
        <f>年初BS审定!B98</f>
        <v>0</v>
      </c>
      <c r="E100" s="290">
        <f>ABS(F100)</f>
        <v>0</v>
      </c>
      <c r="F100" s="290">
        <f t="shared" si="69"/>
        <v>0</v>
      </c>
      <c r="G100" s="598"/>
      <c r="H100" s="290">
        <f>年初BS审定!F98</f>
        <v>0</v>
      </c>
      <c r="I100" s="290">
        <f>ABS(J100)</f>
        <v>0</v>
      </c>
      <c r="J100" s="295">
        <f t="shared" si="71"/>
        <v>0</v>
      </c>
    </row>
    <row r="101" spans="1:10">
      <c r="A101" s="978" t="str">
        <f>报表格式!G43</f>
        <v>其他非流动负债</v>
      </c>
      <c r="B101" s="292">
        <f t="shared" si="55"/>
        <v>93</v>
      </c>
      <c r="C101" s="597"/>
      <c r="D101" s="290">
        <f>年初BS审定!B99</f>
        <v>0</v>
      </c>
      <c r="E101" s="290">
        <f>ABS(F101)</f>
        <v>0</v>
      </c>
      <c r="F101" s="290">
        <f t="shared" si="69"/>
        <v>0</v>
      </c>
      <c r="G101" s="598"/>
      <c r="H101" s="290">
        <f>年初BS审定!F99</f>
        <v>0</v>
      </c>
      <c r="I101" s="290">
        <f>ABS(J101)</f>
        <v>0</v>
      </c>
      <c r="J101" s="295">
        <f t="shared" si="71"/>
        <v>0</v>
      </c>
    </row>
    <row r="102" spans="1:10" s="636" customFormat="1">
      <c r="A102" s="979" t="str">
        <f>报表格式!G44</f>
        <v>非流动负债合计</v>
      </c>
      <c r="B102" s="292">
        <f t="shared" si="55"/>
        <v>94</v>
      </c>
      <c r="C102" s="293">
        <f>SUM(C91:C101)-C93-C94</f>
        <v>0</v>
      </c>
      <c r="D102" s="293">
        <f>SUM(D91:D101)-D93-D94</f>
        <v>0</v>
      </c>
      <c r="E102" s="293">
        <f t="shared" si="68"/>
        <v>0</v>
      </c>
      <c r="F102" s="293">
        <f t="shared" si="69"/>
        <v>0</v>
      </c>
      <c r="G102" s="293">
        <f>SUM(G91:G101)-G93-G94</f>
        <v>0</v>
      </c>
      <c r="H102" s="293">
        <f>SUM(H91:H101)-H93-H94</f>
        <v>0</v>
      </c>
      <c r="I102" s="293">
        <f t="shared" si="70"/>
        <v>0</v>
      </c>
      <c r="J102" s="743">
        <f t="shared" si="71"/>
        <v>0</v>
      </c>
    </row>
    <row r="103" spans="1:10" s="636" customFormat="1">
      <c r="A103" s="979" t="str">
        <f>报表格式!G45</f>
        <v>负 债 合 计</v>
      </c>
      <c r="B103" s="292">
        <f t="shared" si="55"/>
        <v>95</v>
      </c>
      <c r="C103" s="293">
        <f>SUM(C89,C102)</f>
        <v>0</v>
      </c>
      <c r="D103" s="293">
        <f>SUM(D89,D102)</f>
        <v>0</v>
      </c>
      <c r="E103" s="293">
        <f t="shared" si="68"/>
        <v>0</v>
      </c>
      <c r="F103" s="293">
        <f t="shared" si="69"/>
        <v>0</v>
      </c>
      <c r="G103" s="293">
        <f>SUM(G89,G102)</f>
        <v>0</v>
      </c>
      <c r="H103" s="293">
        <f>SUM(H89,H102)</f>
        <v>0</v>
      </c>
      <c r="I103" s="293">
        <f t="shared" si="70"/>
        <v>0</v>
      </c>
      <c r="J103" s="743">
        <f t="shared" si="71"/>
        <v>0</v>
      </c>
    </row>
    <row r="104" spans="1:10">
      <c r="A104" s="980" t="str">
        <f>报表格式!G46</f>
        <v>股东权益：</v>
      </c>
      <c r="B104" s="292">
        <f t="shared" si="55"/>
        <v>96</v>
      </c>
      <c r="C104" s="293"/>
      <c r="D104" s="290"/>
      <c r="E104" s="290"/>
      <c r="F104" s="290"/>
      <c r="G104" s="293"/>
      <c r="H104" s="290"/>
      <c r="I104" s="290"/>
      <c r="J104" s="295"/>
    </row>
    <row r="105" spans="1:10">
      <c r="A105" s="978" t="str">
        <f>报表格式!G47</f>
        <v>股本</v>
      </c>
      <c r="B105" s="292">
        <f t="shared" si="55"/>
        <v>97</v>
      </c>
      <c r="C105" s="597"/>
      <c r="D105" s="290">
        <f>年初BS审定!B103</f>
        <v>0</v>
      </c>
      <c r="E105" s="290">
        <f t="shared" si="68"/>
        <v>0</v>
      </c>
      <c r="F105" s="290">
        <f>C105-D105</f>
        <v>0</v>
      </c>
      <c r="G105" s="598"/>
      <c r="H105" s="290">
        <f>年初BS审定!F103</f>
        <v>0</v>
      </c>
      <c r="I105" s="290">
        <f t="shared" si="70"/>
        <v>0</v>
      </c>
      <c r="J105" s="295">
        <f>G105-H105</f>
        <v>0</v>
      </c>
    </row>
    <row r="106" spans="1:10">
      <c r="A106" s="978" t="str">
        <f>报表格式!G48</f>
        <v>其他权益工具</v>
      </c>
      <c r="B106" s="292">
        <f t="shared" si="55"/>
        <v>98</v>
      </c>
      <c r="C106" s="597"/>
      <c r="D106" s="290">
        <f>年初BS审定!B104</f>
        <v>0</v>
      </c>
      <c r="E106" s="290">
        <f>ABS(F106)</f>
        <v>0</v>
      </c>
      <c r="F106" s="290">
        <f>C106-D106</f>
        <v>0</v>
      </c>
      <c r="G106" s="598"/>
      <c r="H106" s="290">
        <f>年初BS审定!F104</f>
        <v>0</v>
      </c>
      <c r="I106" s="290">
        <f>ABS(J106)</f>
        <v>0</v>
      </c>
      <c r="J106" s="295">
        <f>G106-H106</f>
        <v>0</v>
      </c>
    </row>
    <row r="107" spans="1:10">
      <c r="A107" s="978" t="str">
        <f>报表格式!G49</f>
        <v xml:space="preserve">  其中：优先股</v>
      </c>
      <c r="B107" s="292">
        <f t="shared" si="55"/>
        <v>99</v>
      </c>
      <c r="C107" s="597"/>
      <c r="D107" s="290">
        <f>年初BS审定!B105</f>
        <v>0</v>
      </c>
      <c r="E107" s="290">
        <f>ABS(F107)</f>
        <v>0</v>
      </c>
      <c r="F107" s="290">
        <f>C107-D107</f>
        <v>0</v>
      </c>
      <c r="G107" s="598"/>
      <c r="H107" s="290">
        <f>年初BS审定!F105</f>
        <v>0</v>
      </c>
      <c r="I107" s="290">
        <f>ABS(J107)</f>
        <v>0</v>
      </c>
      <c r="J107" s="295">
        <f>G107-H107</f>
        <v>0</v>
      </c>
    </row>
    <row r="108" spans="1:10">
      <c r="A108" s="978" t="str">
        <f>报表格式!G50</f>
        <v xml:space="preserve">        永续债</v>
      </c>
      <c r="B108" s="292">
        <f t="shared" si="55"/>
        <v>100</v>
      </c>
      <c r="C108" s="597"/>
      <c r="D108" s="290">
        <f>年初BS审定!B106</f>
        <v>0</v>
      </c>
      <c r="E108" s="290">
        <f>ABS(F108)</f>
        <v>0</v>
      </c>
      <c r="F108" s="290">
        <f>C108-D108</f>
        <v>0</v>
      </c>
      <c r="G108" s="598"/>
      <c r="H108" s="290">
        <f>年初BS审定!F106</f>
        <v>0</v>
      </c>
      <c r="I108" s="290">
        <f>ABS(J108)</f>
        <v>0</v>
      </c>
      <c r="J108" s="295">
        <f>G108-H108</f>
        <v>0</v>
      </c>
    </row>
    <row r="109" spans="1:10">
      <c r="A109" s="978" t="str">
        <f>报表格式!G51</f>
        <v>资本公积</v>
      </c>
      <c r="B109" s="292">
        <f t="shared" si="55"/>
        <v>101</v>
      </c>
      <c r="C109" s="597"/>
      <c r="D109" s="290">
        <f>年初BS审定!B107</f>
        <v>0</v>
      </c>
      <c r="E109" s="290">
        <f t="shared" si="68"/>
        <v>0</v>
      </c>
      <c r="F109" s="290">
        <f t="shared" ref="F109:F113" si="74">C109-D109</f>
        <v>0</v>
      </c>
      <c r="G109" s="598"/>
      <c r="H109" s="290">
        <f>年初BS审定!F107</f>
        <v>0</v>
      </c>
      <c r="I109" s="290">
        <f t="shared" si="70"/>
        <v>0</v>
      </c>
      <c r="J109" s="295">
        <f t="shared" ref="J109:J113" si="75">G109-H109</f>
        <v>0</v>
      </c>
    </row>
    <row r="110" spans="1:10">
      <c r="A110" s="978" t="str">
        <f>报表格式!G52</f>
        <v>减：库存股</v>
      </c>
      <c r="B110" s="292">
        <f t="shared" si="55"/>
        <v>102</v>
      </c>
      <c r="C110" s="597"/>
      <c r="D110" s="290">
        <f>年初BS审定!B108</f>
        <v>0</v>
      </c>
      <c r="E110" s="290">
        <f t="shared" si="68"/>
        <v>0</v>
      </c>
      <c r="F110" s="290">
        <f t="shared" si="74"/>
        <v>0</v>
      </c>
      <c r="G110" s="598"/>
      <c r="H110" s="290">
        <f>年初BS审定!F108</f>
        <v>0</v>
      </c>
      <c r="I110" s="290">
        <f t="shared" si="70"/>
        <v>0</v>
      </c>
      <c r="J110" s="295">
        <f t="shared" si="75"/>
        <v>0</v>
      </c>
    </row>
    <row r="111" spans="1:10">
      <c r="A111" s="978" t="str">
        <f>报表格式!G53</f>
        <v>其他综合收益</v>
      </c>
      <c r="B111" s="292">
        <f t="shared" si="55"/>
        <v>103</v>
      </c>
      <c r="C111" s="597"/>
      <c r="D111" s="290">
        <f>年初BS审定!B109</f>
        <v>0</v>
      </c>
      <c r="E111" s="290">
        <f>ABS(F111)</f>
        <v>0</v>
      </c>
      <c r="F111" s="290">
        <f>C111-D111</f>
        <v>0</v>
      </c>
      <c r="G111" s="598"/>
      <c r="H111" s="290">
        <f>年初BS审定!F109</f>
        <v>0</v>
      </c>
      <c r="I111" s="290">
        <f>ABS(J111)</f>
        <v>0</v>
      </c>
      <c r="J111" s="295">
        <f>G111-H111</f>
        <v>0</v>
      </c>
    </row>
    <row r="112" spans="1:10">
      <c r="A112" s="978" t="str">
        <f>报表格式!G54</f>
        <v>专项储备</v>
      </c>
      <c r="B112" s="292">
        <f t="shared" si="55"/>
        <v>104</v>
      </c>
      <c r="C112" s="597"/>
      <c r="D112" s="290">
        <f>年初BS审定!B110</f>
        <v>0</v>
      </c>
      <c r="E112" s="290">
        <f t="shared" si="68"/>
        <v>0</v>
      </c>
      <c r="F112" s="290">
        <f t="shared" si="74"/>
        <v>0</v>
      </c>
      <c r="G112" s="598"/>
      <c r="H112" s="290">
        <f>年初BS审定!F110</f>
        <v>0</v>
      </c>
      <c r="I112" s="290">
        <f t="shared" si="70"/>
        <v>0</v>
      </c>
      <c r="J112" s="295">
        <f t="shared" si="75"/>
        <v>0</v>
      </c>
    </row>
    <row r="113" spans="1:10">
      <c r="A113" s="978" t="str">
        <f>报表格式!G55</f>
        <v>盈余公积</v>
      </c>
      <c r="B113" s="292">
        <f t="shared" si="55"/>
        <v>105</v>
      </c>
      <c r="C113" s="597"/>
      <c r="D113" s="290">
        <f>年初BS审定!B111</f>
        <v>0</v>
      </c>
      <c r="E113" s="290">
        <f t="shared" si="68"/>
        <v>0</v>
      </c>
      <c r="F113" s="290">
        <f t="shared" si="74"/>
        <v>0</v>
      </c>
      <c r="G113" s="598"/>
      <c r="H113" s="290">
        <f>年初BS审定!F111</f>
        <v>0</v>
      </c>
      <c r="I113" s="290">
        <f t="shared" si="70"/>
        <v>0</v>
      </c>
      <c r="J113" s="295">
        <f t="shared" si="75"/>
        <v>0</v>
      </c>
    </row>
    <row r="114" spans="1:10">
      <c r="A114" s="978" t="str">
        <f>报表格式!G56</f>
        <v>一般风险准备</v>
      </c>
      <c r="B114" s="292">
        <f t="shared" si="55"/>
        <v>106</v>
      </c>
      <c r="C114" s="597"/>
      <c r="D114" s="290">
        <f>年初BS审定!B112</f>
        <v>0</v>
      </c>
      <c r="E114" s="290">
        <f t="shared" ref="E114:E115" si="76">ABS(F114)</f>
        <v>0</v>
      </c>
      <c r="F114" s="290">
        <f t="shared" ref="F114:F115" si="77">C114-D114</f>
        <v>0</v>
      </c>
      <c r="G114" s="598"/>
      <c r="H114" s="290">
        <f>年初BS审定!F112</f>
        <v>0</v>
      </c>
      <c r="I114" s="290">
        <f t="shared" ref="I114:I115" si="78">ABS(J114)</f>
        <v>0</v>
      </c>
      <c r="J114" s="295">
        <f t="shared" ref="J114:J115" si="79">G114-H114</f>
        <v>0</v>
      </c>
    </row>
    <row r="115" spans="1:10">
      <c r="A115" s="978" t="str">
        <f>报表格式!G57</f>
        <v>未分配利润</v>
      </c>
      <c r="B115" s="292">
        <f t="shared" si="55"/>
        <v>107</v>
      </c>
      <c r="C115" s="597"/>
      <c r="D115" s="290">
        <f>年初BS审定!B113</f>
        <v>0</v>
      </c>
      <c r="E115" s="290">
        <f t="shared" si="76"/>
        <v>0</v>
      </c>
      <c r="F115" s="290">
        <f t="shared" si="77"/>
        <v>0</v>
      </c>
      <c r="G115" s="598"/>
      <c r="H115" s="290">
        <f>年初BS审定!F113</f>
        <v>0</v>
      </c>
      <c r="I115" s="290">
        <f t="shared" si="78"/>
        <v>0</v>
      </c>
      <c r="J115" s="295">
        <f t="shared" si="79"/>
        <v>0</v>
      </c>
    </row>
    <row r="116" spans="1:10">
      <c r="A116" s="978" t="str">
        <f>报表格式!G58</f>
        <v>归属于母公司股东权益合计</v>
      </c>
      <c r="B116" s="292">
        <f t="shared" si="55"/>
        <v>108</v>
      </c>
      <c r="C116" s="293">
        <f>SUM(C105:C106,C109,-C110,C111:C115)</f>
        <v>0</v>
      </c>
      <c r="D116" s="293">
        <f>SUM(D105:D106,D109,-D110,D111:D115)</f>
        <v>0</v>
      </c>
      <c r="E116" s="290">
        <f t="shared" si="68"/>
        <v>0</v>
      </c>
      <c r="F116" s="293">
        <f>C116-D116</f>
        <v>0</v>
      </c>
      <c r="G116" s="293">
        <f>SUM(G105:G106,G109,-G110,G111:G115)</f>
        <v>0</v>
      </c>
      <c r="H116" s="293">
        <f>SUM(H105:H106,H109,-H110,H111:H115)</f>
        <v>0</v>
      </c>
      <c r="I116" s="290">
        <f t="shared" si="70"/>
        <v>0</v>
      </c>
      <c r="J116" s="743">
        <f>G116-H116</f>
        <v>0</v>
      </c>
    </row>
    <row r="117" spans="1:10">
      <c r="A117" s="978" t="str">
        <f>报表格式!G59</f>
        <v>少数股东权益</v>
      </c>
      <c r="B117" s="292">
        <f t="shared" si="55"/>
        <v>109</v>
      </c>
      <c r="C117" s="597"/>
      <c r="D117" s="290">
        <f>年初BS审定!B115</f>
        <v>0</v>
      </c>
      <c r="E117" s="290">
        <f t="shared" si="68"/>
        <v>0</v>
      </c>
      <c r="F117" s="290">
        <f>C117-D117</f>
        <v>0</v>
      </c>
      <c r="G117" s="598"/>
      <c r="H117" s="290">
        <f>年初BS审定!F115</f>
        <v>0</v>
      </c>
      <c r="I117" s="290">
        <f t="shared" si="70"/>
        <v>0</v>
      </c>
      <c r="J117" s="295">
        <f>G117-H117</f>
        <v>0</v>
      </c>
    </row>
    <row r="118" spans="1:10">
      <c r="A118" s="981" t="str">
        <f>报表格式!G60</f>
        <v>股东权益合计</v>
      </c>
      <c r="B118" s="844">
        <f t="shared" si="55"/>
        <v>110</v>
      </c>
      <c r="C118" s="293">
        <f>SUM(C116:C117)</f>
        <v>0</v>
      </c>
      <c r="D118" s="293">
        <f>SUM(D116:D117)</f>
        <v>0</v>
      </c>
      <c r="E118" s="293">
        <f t="shared" si="68"/>
        <v>0</v>
      </c>
      <c r="F118" s="745">
        <f>C118-D118</f>
        <v>0</v>
      </c>
      <c r="G118" s="293">
        <f>SUM(G116:G117)</f>
        <v>0</v>
      </c>
      <c r="H118" s="293">
        <f>SUM(H116:H117)</f>
        <v>0</v>
      </c>
      <c r="I118" s="293">
        <f t="shared" si="70"/>
        <v>0</v>
      </c>
      <c r="J118" s="746">
        <f>G118-H118</f>
        <v>0</v>
      </c>
    </row>
    <row r="119" spans="1:10" ht="15" thickBot="1">
      <c r="A119" s="982" t="str">
        <f>报表格式!G61</f>
        <v>负债和股东权益合计</v>
      </c>
      <c r="B119" s="294">
        <f t="shared" si="55"/>
        <v>111</v>
      </c>
      <c r="C119" s="747">
        <f>SUM(C103,C118)</f>
        <v>0</v>
      </c>
      <c r="D119" s="747">
        <f>SUM(D103,D118)</f>
        <v>0</v>
      </c>
      <c r="E119" s="747">
        <f t="shared" si="68"/>
        <v>0</v>
      </c>
      <c r="F119" s="747">
        <f>C119-D119</f>
        <v>0</v>
      </c>
      <c r="G119" s="747">
        <f>SUM(G103,G118)</f>
        <v>0</v>
      </c>
      <c r="H119" s="747">
        <f>SUM(H103,H118)</f>
        <v>0</v>
      </c>
      <c r="I119" s="747">
        <f t="shared" si="70"/>
        <v>0</v>
      </c>
      <c r="J119" s="748">
        <f>G119-H119</f>
        <v>0</v>
      </c>
    </row>
    <row r="122" spans="1:10">
      <c r="A122" s="985" t="s">
        <v>553</v>
      </c>
      <c r="B122" s="599"/>
      <c r="C122" s="600">
        <f>C60-C119</f>
        <v>0</v>
      </c>
      <c r="D122" s="600">
        <f t="shared" ref="D122:J122" si="80">D60-D119</f>
        <v>0</v>
      </c>
      <c r="E122" s="600">
        <f t="shared" si="80"/>
        <v>0</v>
      </c>
      <c r="F122" s="600">
        <f t="shared" si="80"/>
        <v>0</v>
      </c>
      <c r="G122" s="600">
        <f t="shared" si="80"/>
        <v>0</v>
      </c>
      <c r="H122" s="600">
        <f t="shared" si="80"/>
        <v>0</v>
      </c>
      <c r="I122" s="600">
        <f t="shared" si="80"/>
        <v>0</v>
      </c>
      <c r="J122" s="600">
        <f t="shared" si="80"/>
        <v>0</v>
      </c>
    </row>
    <row r="123" spans="1:10">
      <c r="A123" s="985" t="s">
        <v>541</v>
      </c>
      <c r="B123" s="599"/>
      <c r="C123" s="600">
        <f>C115-期初核对PL!C89</f>
        <v>0</v>
      </c>
      <c r="D123" s="600">
        <f>D115-期初核对PL!D89</f>
        <v>0</v>
      </c>
      <c r="E123" s="600">
        <f>E115-期初核对PL!E89</f>
        <v>0</v>
      </c>
      <c r="F123" s="600">
        <f>F115-期初核对PL!F89</f>
        <v>0</v>
      </c>
      <c r="G123" s="600">
        <f>G115-期初核对PL!C178</f>
        <v>0</v>
      </c>
      <c r="H123" s="600">
        <f>H115-期初核对PL!D178</f>
        <v>0</v>
      </c>
      <c r="I123" s="600">
        <f>I115-期初核对PL!E178</f>
        <v>0</v>
      </c>
      <c r="J123" s="600">
        <f>J115-期初核对PL!F178</f>
        <v>0</v>
      </c>
    </row>
    <row r="124" spans="1:10" ht="15.75">
      <c r="A124" s="986"/>
      <c r="B124" s="440"/>
      <c r="C124" s="447"/>
      <c r="D124" s="447"/>
      <c r="E124" s="447"/>
      <c r="F124" s="447"/>
      <c r="G124" s="179"/>
      <c r="H124" s="179"/>
      <c r="I124" s="447"/>
      <c r="J124" s="447"/>
    </row>
    <row r="125" spans="1:10" ht="15.75">
      <c r="A125" s="986"/>
      <c r="B125" s="440"/>
      <c r="C125" s="447"/>
      <c r="D125" s="447"/>
      <c r="E125" s="447"/>
      <c r="F125" s="447"/>
      <c r="G125" s="179"/>
      <c r="H125" s="179"/>
      <c r="I125" s="447"/>
      <c r="J125" s="447"/>
    </row>
  </sheetData>
  <sheetProtection formatCells="0" insertRows="0" autoFilter="0" pivotTables="0"/>
  <mergeCells count="12">
    <mergeCell ref="A2:J2"/>
    <mergeCell ref="B61:B62"/>
    <mergeCell ref="C61:F61"/>
    <mergeCell ref="G61:J61"/>
    <mergeCell ref="A5:A6"/>
    <mergeCell ref="C5:F5"/>
    <mergeCell ref="G5:J5"/>
    <mergeCell ref="B5:B6"/>
    <mergeCell ref="A4:C4"/>
    <mergeCell ref="H4:J4"/>
    <mergeCell ref="A61:A62"/>
    <mergeCell ref="C3:F3"/>
  </mergeCells>
  <phoneticPr fontId="3" type="noConversion"/>
  <conditionalFormatting sqref="A63:J63 A4:C4 C7:J7">
    <cfRule type="cellIs" dxfId="59" priority="1" stopIfTrue="1" operator="equal">
      <formula>"            对不起，请到参数表中确定报表类型！"</formula>
    </cfRule>
    <cfRule type="cellIs" dxfId="58" priority="2" stopIfTrue="1" operator="equal">
      <formula>"对不起，试用期已到，请查看系统信息，并与作者联系。"</formula>
    </cfRule>
  </conditionalFormatting>
  <conditionalFormatting sqref="A1">
    <cfRule type="cellIs" dxfId="57" priority="3" stopIfTrue="1" operator="equal">
      <formula>"期初合并金额核对不符！"</formula>
    </cfRule>
    <cfRule type="cellIs" dxfId="56" priority="4" stopIfTrue="1" operator="equal">
      <formula>"期初合并金额核对一致"</formula>
    </cfRule>
  </conditionalFormatting>
  <conditionalFormatting sqref="A3">
    <cfRule type="cellIs" dxfId="55" priority="5" stopIfTrue="1" operator="equal">
      <formula>"期初核对不符！"</formula>
    </cfRule>
    <cfRule type="cellIs" dxfId="54" priority="6" stopIfTrue="1" operator="equal">
      <formula>"期初核对一致"</formula>
    </cfRule>
  </conditionalFormatting>
  <conditionalFormatting sqref="G1">
    <cfRule type="cellIs" dxfId="53" priority="7" stopIfTrue="1" operator="equal">
      <formula>"期初母公司金额核对不符！"</formula>
    </cfRule>
    <cfRule type="cellIs" dxfId="52" priority="8" stopIfTrue="1" operator="equal">
      <formula>"期初母公司金额核对一致"</formula>
    </cfRule>
  </conditionalFormatting>
  <printOptions horizontalCentered="1" verticalCentered="1"/>
  <pageMargins left="0.39370078740157483" right="0.31496062992125984" top="0.51181102362204722" bottom="0.28999999999999998" header="0.35433070866141736" footer="0.19685039370078741"/>
  <pageSetup paperSize="9" scale="85" fitToHeight="2" orientation="portrait" blackAndWhite="1" r:id="rId1"/>
  <headerFooter alignWithMargins="0"/>
  <rowBreaks count="1" manualBreakCount="1">
    <brk id="60"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F178"/>
  <sheetViews>
    <sheetView showZeros="0" zoomScaleNormal="100" workbookViewId="0">
      <selection activeCell="J16" sqref="J16"/>
    </sheetView>
  </sheetViews>
  <sheetFormatPr defaultColWidth="9" defaultRowHeight="14.25"/>
  <cols>
    <col min="1" max="1" width="45.875" style="996" customWidth="1"/>
    <col min="2" max="2" width="4.375" style="996" customWidth="1"/>
    <col min="3" max="3" width="15.875" style="78" customWidth="1"/>
    <col min="4" max="4" width="15.125" style="78" customWidth="1"/>
    <col min="5" max="5" width="11.75" style="78" hidden="1" customWidth="1"/>
    <col min="6" max="6" width="13.5" style="78" customWidth="1"/>
    <col min="7" max="16384" width="9" style="78"/>
  </cols>
  <sheetData>
    <row r="1" spans="1:6" s="575" customFormat="1" ht="12.75" customHeight="1">
      <c r="A1" s="987" t="str">
        <f>IF(AND(ABS(F72)&lt;0.005,ABS(F89)&lt;0.005),"期初合并金额核对一致","期初合并金额核对不符！")</f>
        <v>期初合并金额核对一致</v>
      </c>
      <c r="B1" s="997"/>
      <c r="C1" s="573" t="str">
        <f>IF(AND(ABS(F161)&lt;0.005,ABS(F178)&lt;0.005),"期初母公司金额核对一致","期初母公司金额核对不符！")</f>
        <v>期初母公司金额核对一致</v>
      </c>
      <c r="D1" s="574"/>
      <c r="E1" s="574"/>
      <c r="F1" s="574"/>
    </row>
    <row r="2" spans="1:6" ht="18.75">
      <c r="A2" s="1145" t="s">
        <v>944</v>
      </c>
      <c r="B2" s="1145"/>
      <c r="C2" s="1145"/>
      <c r="D2" s="1145"/>
      <c r="E2" s="1145"/>
      <c r="F2" s="1145"/>
    </row>
    <row r="3" spans="1:6" ht="12" customHeight="1">
      <c r="A3" s="1157"/>
      <c r="B3" s="1157"/>
      <c r="C3" s="296"/>
      <c r="D3" s="296"/>
      <c r="E3" s="282"/>
      <c r="F3" s="282"/>
    </row>
    <row r="4" spans="1:6" s="77" customFormat="1" ht="13.5" thickBot="1">
      <c r="A4" s="988" t="str">
        <f>IF(报表格式!G58="","  对不起，请到参数表中确定报表类型！",CONCATENATE(" 客户名称：",说明!E23))</f>
        <v xml:space="preserve"> 客户名称：</v>
      </c>
      <c r="B4" s="1158" t="str">
        <f>说明!$E$30</f>
        <v>2019年度</v>
      </c>
      <c r="C4" s="1158"/>
      <c r="D4" s="138"/>
      <c r="E4" s="138"/>
      <c r="F4" s="297" t="str">
        <f>CONCATENATE("金额单位：",说明!$E$33)</f>
        <v>金额单位：人民币元</v>
      </c>
    </row>
    <row r="5" spans="1:6" s="177" customFormat="1" ht="24">
      <c r="A5" s="989" t="str">
        <f>IF(AND(E69&lt;0.005,E70&lt;0.005),"项          目","合并明细项目不符！")</f>
        <v>项          目</v>
      </c>
      <c r="B5" s="998" t="s">
        <v>255</v>
      </c>
      <c r="C5" s="286" t="s">
        <v>677</v>
      </c>
      <c r="D5" s="286" t="s">
        <v>675</v>
      </c>
      <c r="E5" s="286" t="s">
        <v>447</v>
      </c>
      <c r="F5" s="287" t="s">
        <v>358</v>
      </c>
    </row>
    <row r="6" spans="1:6" s="177" customFormat="1" ht="12.75">
      <c r="A6" s="990" t="str">
        <f>报表格式!L5</f>
        <v>一、营业收入</v>
      </c>
      <c r="B6" s="999">
        <v>1</v>
      </c>
      <c r="C6" s="601"/>
      <c r="D6" s="303">
        <f>上年PL审定!B6</f>
        <v>0</v>
      </c>
      <c r="E6" s="638">
        <f>ABS(F6)</f>
        <v>0</v>
      </c>
      <c r="F6" s="639">
        <f>C6-D6</f>
        <v>0</v>
      </c>
    </row>
    <row r="7" spans="1:6" s="177" customFormat="1" ht="12.75">
      <c r="A7" s="991" t="str">
        <f>报表格式!L6</f>
        <v xml:space="preserve">        其中：主营业务收入</v>
      </c>
      <c r="B7" s="1000">
        <v>2</v>
      </c>
      <c r="C7" s="602"/>
      <c r="D7" s="304">
        <f>上年PL审定!B7</f>
        <v>0</v>
      </c>
      <c r="E7" s="300">
        <f>ABS(F7)</f>
        <v>0</v>
      </c>
      <c r="F7" s="301">
        <f>C7-D7</f>
        <v>0</v>
      </c>
    </row>
    <row r="8" spans="1:6" s="177" customFormat="1" ht="12.75">
      <c r="A8" s="991" t="str">
        <f>报表格式!L7</f>
        <v xml:space="preserve">              利息收入</v>
      </c>
      <c r="B8" s="1000">
        <v>3</v>
      </c>
      <c r="C8" s="602"/>
      <c r="D8" s="304">
        <f>上年PL审定!B8</f>
        <v>0</v>
      </c>
      <c r="E8" s="300">
        <f t="shared" ref="E8:E11" si="0">ABS(F8)</f>
        <v>0</v>
      </c>
      <c r="F8" s="301">
        <f t="shared" ref="F8:F11" si="1">C8-D8</f>
        <v>0</v>
      </c>
    </row>
    <row r="9" spans="1:6" s="177" customFormat="1" ht="12.75">
      <c r="A9" s="991" t="str">
        <f>报表格式!L8</f>
        <v xml:space="preserve">              已赚保费</v>
      </c>
      <c r="B9" s="1000">
        <v>4</v>
      </c>
      <c r="C9" s="602"/>
      <c r="D9" s="304">
        <f>上年PL审定!B9</f>
        <v>0</v>
      </c>
      <c r="E9" s="300">
        <f t="shared" si="0"/>
        <v>0</v>
      </c>
      <c r="F9" s="301">
        <f t="shared" si="1"/>
        <v>0</v>
      </c>
    </row>
    <row r="10" spans="1:6" s="177" customFormat="1" ht="12.75">
      <c r="A10" s="991" t="str">
        <f>报表格式!L9</f>
        <v xml:space="preserve">              手续费及佣金收入</v>
      </c>
      <c r="B10" s="1000">
        <v>5</v>
      </c>
      <c r="C10" s="602"/>
      <c r="D10" s="304">
        <f>上年PL审定!B10</f>
        <v>0</v>
      </c>
      <c r="E10" s="300">
        <f t="shared" si="0"/>
        <v>0</v>
      </c>
      <c r="F10" s="301">
        <f t="shared" si="1"/>
        <v>0</v>
      </c>
    </row>
    <row r="11" spans="1:6" s="177" customFormat="1" ht="12.75">
      <c r="A11" s="991" t="str">
        <f>报表格式!L10</f>
        <v xml:space="preserve">              其他业务收入</v>
      </c>
      <c r="B11" s="1000">
        <v>6</v>
      </c>
      <c r="C11" s="602"/>
      <c r="D11" s="304">
        <f>上年PL审定!B11</f>
        <v>0</v>
      </c>
      <c r="E11" s="300">
        <f t="shared" si="0"/>
        <v>0</v>
      </c>
      <c r="F11" s="301">
        <f t="shared" si="1"/>
        <v>0</v>
      </c>
    </row>
    <row r="12" spans="1:6" s="177" customFormat="1" ht="12.75">
      <c r="A12" s="991" t="str">
        <f>报表格式!L11</f>
        <v xml:space="preserve">    减：营业成本</v>
      </c>
      <c r="B12" s="1000">
        <v>7</v>
      </c>
      <c r="C12" s="602"/>
      <c r="D12" s="304">
        <f>上年PL审定!B12</f>
        <v>0</v>
      </c>
      <c r="E12" s="300">
        <f t="shared" ref="E12:E49" si="2">ABS(F12)</f>
        <v>0</v>
      </c>
      <c r="F12" s="301">
        <f t="shared" ref="F12:F77" si="3">C12-D12</f>
        <v>0</v>
      </c>
    </row>
    <row r="13" spans="1:6" s="177" customFormat="1" ht="12.75">
      <c r="A13" s="991" t="str">
        <f>报表格式!L12</f>
        <v xml:space="preserve">        其中：主营业务成本</v>
      </c>
      <c r="B13" s="1000">
        <v>8</v>
      </c>
      <c r="C13" s="602"/>
      <c r="D13" s="304">
        <f>上年PL审定!B13</f>
        <v>0</v>
      </c>
      <c r="E13" s="300">
        <f t="shared" si="2"/>
        <v>0</v>
      </c>
      <c r="F13" s="301">
        <f t="shared" si="3"/>
        <v>0</v>
      </c>
    </row>
    <row r="14" spans="1:6" s="177" customFormat="1" ht="12.75">
      <c r="A14" s="991" t="str">
        <f>报表格式!L13</f>
        <v xml:space="preserve">              利息支出</v>
      </c>
      <c r="B14" s="1000">
        <v>9</v>
      </c>
      <c r="C14" s="602"/>
      <c r="D14" s="304">
        <f>上年PL审定!B14</f>
        <v>0</v>
      </c>
      <c r="E14" s="300">
        <f t="shared" ref="E14:E20" si="4">ABS(F14)</f>
        <v>0</v>
      </c>
      <c r="F14" s="301">
        <f t="shared" ref="F14:F20" si="5">C14-D14</f>
        <v>0</v>
      </c>
    </row>
    <row r="15" spans="1:6" s="177" customFormat="1" ht="12.75">
      <c r="A15" s="991" t="str">
        <f>报表格式!L14</f>
        <v xml:space="preserve">              手续费及佣金支出</v>
      </c>
      <c r="B15" s="1000">
        <v>10</v>
      </c>
      <c r="C15" s="602"/>
      <c r="D15" s="304">
        <f>上年PL审定!B15</f>
        <v>0</v>
      </c>
      <c r="E15" s="300">
        <f t="shared" si="4"/>
        <v>0</v>
      </c>
      <c r="F15" s="301">
        <f t="shared" si="5"/>
        <v>0</v>
      </c>
    </row>
    <row r="16" spans="1:6" s="177" customFormat="1" ht="12.75">
      <c r="A16" s="991" t="str">
        <f>报表格式!L15</f>
        <v xml:space="preserve">              退保金</v>
      </c>
      <c r="B16" s="1000">
        <v>11</v>
      </c>
      <c r="C16" s="602"/>
      <c r="D16" s="304">
        <f>上年PL审定!B16</f>
        <v>0</v>
      </c>
      <c r="E16" s="300">
        <f t="shared" si="4"/>
        <v>0</v>
      </c>
      <c r="F16" s="301">
        <f t="shared" si="5"/>
        <v>0</v>
      </c>
    </row>
    <row r="17" spans="1:6" s="177" customFormat="1" ht="12.75">
      <c r="A17" s="991" t="str">
        <f>报表格式!L16</f>
        <v xml:space="preserve">              赔付支出净额</v>
      </c>
      <c r="B17" s="1000">
        <v>12</v>
      </c>
      <c r="C17" s="602"/>
      <c r="D17" s="304">
        <f>上年PL审定!B17</f>
        <v>0</v>
      </c>
      <c r="E17" s="300">
        <f t="shared" si="4"/>
        <v>0</v>
      </c>
      <c r="F17" s="301">
        <f t="shared" si="5"/>
        <v>0</v>
      </c>
    </row>
    <row r="18" spans="1:6" s="177" customFormat="1" ht="12.75">
      <c r="A18" s="991" t="str">
        <f>报表格式!L17</f>
        <v xml:space="preserve">              提取保险合同准备金净额</v>
      </c>
      <c r="B18" s="1000">
        <v>13</v>
      </c>
      <c r="C18" s="602"/>
      <c r="D18" s="304">
        <f>上年PL审定!B18</f>
        <v>0</v>
      </c>
      <c r="E18" s="300">
        <f t="shared" si="4"/>
        <v>0</v>
      </c>
      <c r="F18" s="301">
        <f t="shared" si="5"/>
        <v>0</v>
      </c>
    </row>
    <row r="19" spans="1:6" s="177" customFormat="1" ht="12.75">
      <c r="A19" s="991" t="str">
        <f>报表格式!L18</f>
        <v xml:space="preserve">              保单红利支出</v>
      </c>
      <c r="B19" s="1000">
        <v>14</v>
      </c>
      <c r="C19" s="602"/>
      <c r="D19" s="304">
        <f>上年PL审定!B19</f>
        <v>0</v>
      </c>
      <c r="E19" s="300">
        <f t="shared" si="4"/>
        <v>0</v>
      </c>
      <c r="F19" s="301">
        <f t="shared" si="5"/>
        <v>0</v>
      </c>
    </row>
    <row r="20" spans="1:6" s="177" customFormat="1" ht="12.75">
      <c r="A20" s="991" t="str">
        <f>报表格式!L19</f>
        <v xml:space="preserve">              分保费用</v>
      </c>
      <c r="B20" s="1000">
        <v>15</v>
      </c>
      <c r="C20" s="602"/>
      <c r="D20" s="304">
        <f>上年PL审定!B20</f>
        <v>0</v>
      </c>
      <c r="E20" s="300">
        <f t="shared" si="4"/>
        <v>0</v>
      </c>
      <c r="F20" s="301">
        <f t="shared" si="5"/>
        <v>0</v>
      </c>
    </row>
    <row r="21" spans="1:6" s="177" customFormat="1" ht="12.75">
      <c r="A21" s="991" t="str">
        <f>报表格式!L20</f>
        <v xml:space="preserve">              其他业务成本</v>
      </c>
      <c r="B21" s="1000">
        <v>16</v>
      </c>
      <c r="C21" s="602"/>
      <c r="D21" s="304">
        <f>上年PL审定!B21</f>
        <v>0</v>
      </c>
      <c r="E21" s="300">
        <f t="shared" si="2"/>
        <v>0</v>
      </c>
      <c r="F21" s="301">
        <f t="shared" si="3"/>
        <v>0</v>
      </c>
    </row>
    <row r="22" spans="1:6" s="177" customFormat="1" ht="12.75">
      <c r="A22" s="991" t="str">
        <f>报表格式!L21</f>
        <v xml:space="preserve">        税金及附加</v>
      </c>
      <c r="B22" s="1000">
        <v>17</v>
      </c>
      <c r="C22" s="602"/>
      <c r="D22" s="304">
        <f>上年PL审定!B22</f>
        <v>0</v>
      </c>
      <c r="E22" s="300">
        <f t="shared" si="2"/>
        <v>0</v>
      </c>
      <c r="F22" s="301">
        <f t="shared" si="3"/>
        <v>0</v>
      </c>
    </row>
    <row r="23" spans="1:6" s="177" customFormat="1" ht="12.75">
      <c r="A23" s="991" t="str">
        <f>报表格式!L22</f>
        <v xml:space="preserve">        销售费用</v>
      </c>
      <c r="B23" s="1000">
        <v>18</v>
      </c>
      <c r="C23" s="602"/>
      <c r="D23" s="304">
        <f>上年PL审定!B23</f>
        <v>0</v>
      </c>
      <c r="E23" s="300">
        <f t="shared" si="2"/>
        <v>0</v>
      </c>
      <c r="F23" s="301">
        <f t="shared" si="3"/>
        <v>0</v>
      </c>
    </row>
    <row r="24" spans="1:6" s="177" customFormat="1" ht="12.75">
      <c r="A24" s="991" t="str">
        <f>报表格式!L23</f>
        <v xml:space="preserve">        管理费用</v>
      </c>
      <c r="B24" s="1000">
        <v>19</v>
      </c>
      <c r="C24" s="602"/>
      <c r="D24" s="304">
        <f>上年PL审定!B24</f>
        <v>0</v>
      </c>
      <c r="E24" s="300">
        <f t="shared" si="2"/>
        <v>0</v>
      </c>
      <c r="F24" s="301">
        <f t="shared" si="3"/>
        <v>0</v>
      </c>
    </row>
    <row r="25" spans="1:6" s="177" customFormat="1" ht="12.75">
      <c r="A25" s="991" t="str">
        <f>报表格式!L24</f>
        <v xml:space="preserve">        研发费用</v>
      </c>
      <c r="B25" s="1000">
        <v>20</v>
      </c>
      <c r="C25" s="602"/>
      <c r="D25" s="304">
        <f>上年PL审定!B25</f>
        <v>0</v>
      </c>
      <c r="E25" s="300">
        <f t="shared" si="2"/>
        <v>0</v>
      </c>
      <c r="F25" s="301">
        <f t="shared" si="3"/>
        <v>0</v>
      </c>
    </row>
    <row r="26" spans="1:6" s="177" customFormat="1" ht="12.75">
      <c r="A26" s="991" t="str">
        <f>报表格式!L25</f>
        <v xml:space="preserve">        财务费用</v>
      </c>
      <c r="B26" s="1000">
        <v>21</v>
      </c>
      <c r="C26" s="602"/>
      <c r="D26" s="304">
        <f>上年PL审定!B26</f>
        <v>0</v>
      </c>
      <c r="E26" s="300">
        <f t="shared" si="2"/>
        <v>0</v>
      </c>
      <c r="F26" s="301">
        <f t="shared" si="3"/>
        <v>0</v>
      </c>
    </row>
    <row r="27" spans="1:6" s="177" customFormat="1" ht="12.75">
      <c r="A27" s="991" t="str">
        <f>报表格式!L26</f>
        <v xml:space="preserve">        其中：利息费用</v>
      </c>
      <c r="B27" s="1000">
        <v>22</v>
      </c>
      <c r="C27" s="602"/>
      <c r="D27" s="304">
        <f>上年PL审定!B27</f>
        <v>0</v>
      </c>
      <c r="E27" s="300">
        <f t="shared" si="2"/>
        <v>0</v>
      </c>
      <c r="F27" s="301">
        <f t="shared" si="3"/>
        <v>0</v>
      </c>
    </row>
    <row r="28" spans="1:6" s="177" customFormat="1" ht="12.75">
      <c r="A28" s="991" t="str">
        <f>报表格式!L27</f>
        <v xml:space="preserve">              利息收入</v>
      </c>
      <c r="B28" s="1000">
        <v>23</v>
      </c>
      <c r="C28" s="602"/>
      <c r="D28" s="304">
        <f>上年PL审定!B28</f>
        <v>0</v>
      </c>
      <c r="E28" s="300">
        <f t="shared" si="2"/>
        <v>0</v>
      </c>
      <c r="F28" s="301">
        <f t="shared" si="3"/>
        <v>0</v>
      </c>
    </row>
    <row r="29" spans="1:6" s="177" customFormat="1" ht="12.75">
      <c r="A29" s="991" t="str">
        <f>报表格式!L28</f>
        <v xml:space="preserve">    加：其他收益</v>
      </c>
      <c r="B29" s="1000">
        <v>24</v>
      </c>
      <c r="C29" s="602"/>
      <c r="D29" s="304">
        <f>上年PL审定!B29</f>
        <v>0</v>
      </c>
      <c r="E29" s="300">
        <f t="shared" ref="E29:E37" si="6">ABS(F29)</f>
        <v>0</v>
      </c>
      <c r="F29" s="301">
        <f t="shared" ref="F29:F37" si="7">C29-D29</f>
        <v>0</v>
      </c>
    </row>
    <row r="30" spans="1:6" s="177" customFormat="1" ht="12.75">
      <c r="A30" s="991" t="str">
        <f>报表格式!L29</f>
        <v xml:space="preserve">        投资收益（损失以“－”号填列）</v>
      </c>
      <c r="B30" s="1000">
        <v>25</v>
      </c>
      <c r="C30" s="602"/>
      <c r="D30" s="304">
        <f>上年PL审定!B30</f>
        <v>0</v>
      </c>
      <c r="E30" s="300">
        <f t="shared" si="6"/>
        <v>0</v>
      </c>
      <c r="F30" s="301">
        <f t="shared" si="7"/>
        <v>0</v>
      </c>
    </row>
    <row r="31" spans="1:6" s="177" customFormat="1" ht="12.75">
      <c r="A31" s="991" t="str">
        <f>报表格式!L30</f>
        <v xml:space="preserve">        其中：对联营企业和合营企业的投资收益</v>
      </c>
      <c r="B31" s="1000">
        <v>26</v>
      </c>
      <c r="C31" s="602"/>
      <c r="D31" s="304">
        <f>上年PL审定!B31</f>
        <v>0</v>
      </c>
      <c r="E31" s="300">
        <f t="shared" si="6"/>
        <v>0</v>
      </c>
      <c r="F31" s="301">
        <f t="shared" si="7"/>
        <v>0</v>
      </c>
    </row>
    <row r="32" spans="1:6" s="177" customFormat="1" ht="12.75">
      <c r="A32" s="991" t="str">
        <f>报表格式!L31</f>
        <v xml:space="preserve">              以摊余成本计量的金融资产终止确认收益（损失以“-”号填列）</v>
      </c>
      <c r="B32" s="1000">
        <v>27</v>
      </c>
      <c r="C32" s="602"/>
      <c r="D32" s="304">
        <f>上年PL审定!B32</f>
        <v>0</v>
      </c>
      <c r="E32" s="300">
        <f t="shared" si="6"/>
        <v>0</v>
      </c>
      <c r="F32" s="301">
        <f t="shared" si="7"/>
        <v>0</v>
      </c>
    </row>
    <row r="33" spans="1:6" s="177" customFormat="1" ht="12.75">
      <c r="A33" s="991" t="str">
        <f>报表格式!L32</f>
        <v xml:space="preserve">        净敞口套期收益（损失以“-”号填列）</v>
      </c>
      <c r="B33" s="1000">
        <v>28</v>
      </c>
      <c r="C33" s="602"/>
      <c r="D33" s="304">
        <f>上年PL审定!B33</f>
        <v>0</v>
      </c>
      <c r="E33" s="300">
        <f t="shared" si="6"/>
        <v>0</v>
      </c>
      <c r="F33" s="301">
        <f t="shared" si="7"/>
        <v>0</v>
      </c>
    </row>
    <row r="34" spans="1:6" s="177" customFormat="1" ht="12.75">
      <c r="A34" s="991" t="str">
        <f>报表格式!L33</f>
        <v xml:space="preserve">        公允价值变动收益（损失以“－”号填列）</v>
      </c>
      <c r="B34" s="1000">
        <v>29</v>
      </c>
      <c r="C34" s="602"/>
      <c r="D34" s="304">
        <f>上年PL审定!B34</f>
        <v>0</v>
      </c>
      <c r="E34" s="300">
        <f t="shared" si="6"/>
        <v>0</v>
      </c>
      <c r="F34" s="301">
        <f t="shared" si="7"/>
        <v>0</v>
      </c>
    </row>
    <row r="35" spans="1:6" s="177" customFormat="1" ht="12.75">
      <c r="A35" s="991" t="str">
        <f>报表格式!L34</f>
        <v xml:space="preserve">        信用减值损失(损失以“-”号填列）</v>
      </c>
      <c r="B35" s="1000">
        <v>30</v>
      </c>
      <c r="C35" s="602"/>
      <c r="D35" s="304">
        <f>上年PL审定!B35</f>
        <v>0</v>
      </c>
      <c r="E35" s="300">
        <f t="shared" si="6"/>
        <v>0</v>
      </c>
      <c r="F35" s="301">
        <f t="shared" si="7"/>
        <v>0</v>
      </c>
    </row>
    <row r="36" spans="1:6" s="177" customFormat="1" ht="12.75">
      <c r="A36" s="991" t="str">
        <f>报表格式!L35</f>
        <v xml:space="preserve">        资产减值损失(损失以“-”号填列）</v>
      </c>
      <c r="B36" s="1000">
        <v>31</v>
      </c>
      <c r="C36" s="602"/>
      <c r="D36" s="304">
        <f>上年PL审定!B36</f>
        <v>0</v>
      </c>
      <c r="E36" s="300">
        <f t="shared" si="6"/>
        <v>0</v>
      </c>
      <c r="F36" s="301">
        <f t="shared" si="7"/>
        <v>0</v>
      </c>
    </row>
    <row r="37" spans="1:6" s="177" customFormat="1" ht="12.75">
      <c r="A37" s="991" t="str">
        <f>报表格式!L36</f>
        <v xml:space="preserve">        资产处置收益(损失以“-”号填列）</v>
      </c>
      <c r="B37" s="1000">
        <v>32</v>
      </c>
      <c r="C37" s="602"/>
      <c r="D37" s="304">
        <f>上年PL审定!B37</f>
        <v>0</v>
      </c>
      <c r="E37" s="300">
        <f t="shared" si="6"/>
        <v>0</v>
      </c>
      <c r="F37" s="301">
        <f t="shared" si="7"/>
        <v>0</v>
      </c>
    </row>
    <row r="38" spans="1:6" s="641" customFormat="1" ht="12.75">
      <c r="A38" s="992" t="str">
        <f>报表格式!L37</f>
        <v>二、营业利润（亏损以“－”号填列）</v>
      </c>
      <c r="B38" s="1000">
        <v>33</v>
      </c>
      <c r="C38" s="305">
        <f>SUM(C6)-SUM(C12,C22:C26)+SUM(C29:C30)+SUM(C33:C37)</f>
        <v>0</v>
      </c>
      <c r="D38" s="305">
        <f>SUM(D6)-SUM(D12,D22:D26)+SUM(D29:D30)+SUM(D33:D37)</f>
        <v>0</v>
      </c>
      <c r="E38" s="305">
        <f t="shared" ref="E38:F38" si="8">SUM(E6)-SUM(E12,E22:E26)+SUM(E29:E30)+SUM(E33:E37)</f>
        <v>0</v>
      </c>
      <c r="F38" s="305">
        <f t="shared" si="8"/>
        <v>0</v>
      </c>
    </row>
    <row r="39" spans="1:6" s="177" customFormat="1" ht="12.75">
      <c r="A39" s="991" t="str">
        <f>报表格式!L38</f>
        <v xml:space="preserve">    加：营业外收入</v>
      </c>
      <c r="B39" s="1000">
        <v>34</v>
      </c>
      <c r="C39" s="602"/>
      <c r="D39" s="304">
        <f>上年PL审定!B39</f>
        <v>0</v>
      </c>
      <c r="E39" s="300">
        <f t="shared" si="2"/>
        <v>0</v>
      </c>
      <c r="F39" s="301">
        <f t="shared" si="3"/>
        <v>0</v>
      </c>
    </row>
    <row r="40" spans="1:6" s="177" customFormat="1" ht="12.75">
      <c r="A40" s="991" t="str">
        <f>报表格式!L39</f>
        <v xml:space="preserve">    减：营业外支出</v>
      </c>
      <c r="B40" s="1000">
        <v>35</v>
      </c>
      <c r="C40" s="602"/>
      <c r="D40" s="304">
        <f>上年PL审定!B40</f>
        <v>0</v>
      </c>
      <c r="E40" s="300">
        <f t="shared" si="2"/>
        <v>0</v>
      </c>
      <c r="F40" s="301">
        <f t="shared" si="3"/>
        <v>0</v>
      </c>
    </row>
    <row r="41" spans="1:6" s="641" customFormat="1" ht="12.75">
      <c r="A41" s="992" t="str">
        <f>报表格式!L40</f>
        <v>三、利润总额（亏损总额以“－”号填列）</v>
      </c>
      <c r="B41" s="1000">
        <v>36</v>
      </c>
      <c r="C41" s="305">
        <f>SUM(C38)+SUM(C39)-SUM(C40)</f>
        <v>0</v>
      </c>
      <c r="D41" s="305">
        <f>SUM(D38)+SUM(D39)-SUM(D40)</f>
        <v>0</v>
      </c>
      <c r="E41" s="302">
        <f t="shared" si="2"/>
        <v>0</v>
      </c>
      <c r="F41" s="640">
        <f t="shared" si="3"/>
        <v>0</v>
      </c>
    </row>
    <row r="42" spans="1:6" s="177" customFormat="1" ht="12.75">
      <c r="A42" s="991" t="str">
        <f>报表格式!L41</f>
        <v xml:space="preserve">    减：所得税费用</v>
      </c>
      <c r="B42" s="1000">
        <v>37</v>
      </c>
      <c r="C42" s="602"/>
      <c r="D42" s="304">
        <f>上年PL审定!B42</f>
        <v>0</v>
      </c>
      <c r="E42" s="300">
        <f t="shared" si="2"/>
        <v>0</v>
      </c>
      <c r="F42" s="640">
        <f t="shared" si="3"/>
        <v>0</v>
      </c>
    </row>
    <row r="43" spans="1:6" s="177" customFormat="1" ht="12.75">
      <c r="A43" s="991">
        <f>报表格式!L42</f>
        <v>0</v>
      </c>
      <c r="B43" s="1000">
        <v>38</v>
      </c>
      <c r="C43" s="602"/>
      <c r="D43" s="304">
        <f>上年PL审定!B43</f>
        <v>0</v>
      </c>
      <c r="E43" s="300">
        <f t="shared" si="2"/>
        <v>0</v>
      </c>
      <c r="F43" s="640">
        <f t="shared" si="3"/>
        <v>0</v>
      </c>
    </row>
    <row r="44" spans="1:6" s="641" customFormat="1" ht="12.75">
      <c r="A44" s="992" t="str">
        <f>报表格式!L43</f>
        <v>四、净利润（净亏损以“－”号填列）</v>
      </c>
      <c r="B44" s="1000">
        <v>39</v>
      </c>
      <c r="C44" s="305">
        <f>C41-C42-C43</f>
        <v>0</v>
      </c>
      <c r="D44" s="305">
        <f>D41-D42-D43</f>
        <v>0</v>
      </c>
      <c r="E44" s="302">
        <f t="shared" si="2"/>
        <v>0</v>
      </c>
      <c r="F44" s="640">
        <f t="shared" si="3"/>
        <v>0</v>
      </c>
    </row>
    <row r="45" spans="1:6" s="177" customFormat="1" ht="12.75">
      <c r="A45" s="991" t="str">
        <f>报表格式!L44</f>
        <v xml:space="preserve"> （一）按经营持续性分类</v>
      </c>
      <c r="B45" s="1000">
        <v>40</v>
      </c>
      <c r="C45" s="602"/>
      <c r="D45" s="749"/>
      <c r="E45" s="750"/>
      <c r="F45" s="640"/>
    </row>
    <row r="46" spans="1:6" s="177" customFormat="1" ht="12.75">
      <c r="A46" s="991" t="str">
        <f>报表格式!L45</f>
        <v xml:space="preserve">     其中：持续经营净利润（净亏损以“-”号填列）</v>
      </c>
      <c r="B46" s="1000">
        <v>41</v>
      </c>
      <c r="C46" s="602"/>
      <c r="D46" s="749">
        <f>上年PL审定!B46</f>
        <v>0</v>
      </c>
      <c r="E46" s="750">
        <f>ABS(F46)</f>
        <v>0</v>
      </c>
      <c r="F46" s="640">
        <f>C46-D46</f>
        <v>0</v>
      </c>
    </row>
    <row r="47" spans="1:6" s="177" customFormat="1" ht="12.75">
      <c r="A47" s="993" t="str">
        <f>报表格式!L46</f>
        <v xml:space="preserve">                 终止经营净利润（净亏损以“-”号填列）</v>
      </c>
      <c r="B47" s="1000">
        <v>42</v>
      </c>
      <c r="C47" s="602"/>
      <c r="D47" s="749">
        <f>上年PL审定!B47</f>
        <v>0</v>
      </c>
      <c r="E47" s="750">
        <f>ABS(F47)</f>
        <v>0</v>
      </c>
      <c r="F47" s="640">
        <f>C47-D47</f>
        <v>0</v>
      </c>
    </row>
    <row r="48" spans="1:6" s="177" customFormat="1" ht="12.75">
      <c r="A48" s="991" t="str">
        <f>报表格式!L47</f>
        <v xml:space="preserve"> （二）按所有权归属分类</v>
      </c>
      <c r="B48" s="1000">
        <v>43</v>
      </c>
      <c r="C48" s="602"/>
      <c r="D48" s="749"/>
      <c r="E48" s="750"/>
      <c r="F48" s="640"/>
    </row>
    <row r="49" spans="1:6" s="177" customFormat="1" ht="12.75">
      <c r="A49" s="991" t="str">
        <f>报表格式!L48</f>
        <v xml:space="preserve">     其中：归属于母公司股东的净利润（净亏损以“-”号填列）</v>
      </c>
      <c r="B49" s="1000">
        <v>44</v>
      </c>
      <c r="C49" s="602">
        <f>C44-C50</f>
        <v>0</v>
      </c>
      <c r="D49" s="304">
        <f>上年PL审定!B49</f>
        <v>0</v>
      </c>
      <c r="E49" s="300">
        <f t="shared" si="2"/>
        <v>0</v>
      </c>
      <c r="F49" s="640">
        <f t="shared" si="3"/>
        <v>0</v>
      </c>
    </row>
    <row r="50" spans="1:6" s="641" customFormat="1" ht="12.75">
      <c r="A50" s="991" t="str">
        <f>报表格式!L49</f>
        <v xml:space="preserve">                少数股东损益（净亏损以“-”号填列）</v>
      </c>
      <c r="B50" s="1000">
        <v>45</v>
      </c>
      <c r="C50" s="602"/>
      <c r="D50" s="749">
        <f>上年PL审定!B50</f>
        <v>0</v>
      </c>
      <c r="E50" s="750">
        <f t="shared" ref="E50:E77" si="9">ABS(F50)</f>
        <v>0</v>
      </c>
      <c r="F50" s="640">
        <f t="shared" si="3"/>
        <v>0</v>
      </c>
    </row>
    <row r="51" spans="1:6" s="177" customFormat="1" ht="12.75">
      <c r="A51" s="992" t="str">
        <f>报表格式!L50</f>
        <v>五、其他综合收益的税后净额</v>
      </c>
      <c r="B51" s="1000">
        <v>46</v>
      </c>
      <c r="C51" s="304">
        <f>C52+C71</f>
        <v>0</v>
      </c>
      <c r="D51" s="304">
        <f>D52+D71</f>
        <v>0</v>
      </c>
      <c r="E51" s="300"/>
      <c r="F51" s="640">
        <f t="shared" si="3"/>
        <v>0</v>
      </c>
    </row>
    <row r="52" spans="1:6" s="177" customFormat="1" ht="12.75">
      <c r="A52" s="991" t="str">
        <f>报表格式!L51</f>
        <v>归属于母公司股东的其他综合收益的税后净额</v>
      </c>
      <c r="B52" s="1000">
        <v>47</v>
      </c>
      <c r="C52" s="602">
        <f>C53+C59</f>
        <v>0</v>
      </c>
      <c r="D52" s="749">
        <f>D53+D59</f>
        <v>0</v>
      </c>
      <c r="E52" s="750">
        <f t="shared" si="9"/>
        <v>0</v>
      </c>
      <c r="F52" s="640">
        <f t="shared" si="3"/>
        <v>0</v>
      </c>
    </row>
    <row r="53" spans="1:6" s="641" customFormat="1" ht="12.75">
      <c r="A53" s="991" t="str">
        <f>报表格式!L52</f>
        <v xml:space="preserve">  （一）不能重分类进损益的其他综合收益</v>
      </c>
      <c r="B53" s="1000">
        <v>48</v>
      </c>
      <c r="C53" s="602">
        <f>SUM(C54:C58)</f>
        <v>0</v>
      </c>
      <c r="D53" s="304">
        <f>SUM(D54:D58)</f>
        <v>0</v>
      </c>
      <c r="E53" s="300">
        <f t="shared" si="9"/>
        <v>0</v>
      </c>
      <c r="F53" s="640">
        <f t="shared" si="3"/>
        <v>0</v>
      </c>
    </row>
    <row r="54" spans="1:6" s="177" customFormat="1" ht="12.75">
      <c r="A54" s="994" t="str">
        <f>报表格式!L53</f>
        <v>1.重新计量设定受益计划变动额</v>
      </c>
      <c r="B54" s="1000">
        <v>49</v>
      </c>
      <c r="C54" s="602"/>
      <c r="D54" s="304">
        <f>上年PL审定!B54</f>
        <v>0</v>
      </c>
      <c r="E54" s="750">
        <f t="shared" si="9"/>
        <v>0</v>
      </c>
      <c r="F54" s="640">
        <f t="shared" si="3"/>
        <v>0</v>
      </c>
    </row>
    <row r="55" spans="1:6" s="177" customFormat="1" ht="12.75">
      <c r="A55" s="994" t="str">
        <f>报表格式!L54</f>
        <v>2.权益法下不能转损益的其他综合收益</v>
      </c>
      <c r="B55" s="1000">
        <v>50</v>
      </c>
      <c r="C55" s="602"/>
      <c r="D55" s="304">
        <f>上年PL审定!B55</f>
        <v>0</v>
      </c>
      <c r="E55" s="302">
        <f t="shared" si="9"/>
        <v>0</v>
      </c>
      <c r="F55" s="640">
        <f t="shared" si="3"/>
        <v>0</v>
      </c>
    </row>
    <row r="56" spans="1:6" s="177" customFormat="1" ht="12.75">
      <c r="A56" s="994" t="str">
        <f>报表格式!L55</f>
        <v xml:space="preserve">3.其他权益工具投资公允价值变动 </v>
      </c>
      <c r="B56" s="1000">
        <v>51</v>
      </c>
      <c r="C56" s="602"/>
      <c r="D56" s="304">
        <f>上年PL审定!B56</f>
        <v>0</v>
      </c>
      <c r="E56" s="302">
        <f>ABS(F56)</f>
        <v>0</v>
      </c>
      <c r="F56" s="640">
        <f>C56-D56</f>
        <v>0</v>
      </c>
    </row>
    <row r="57" spans="1:6" s="177" customFormat="1" ht="12.75">
      <c r="A57" s="994" t="str">
        <f>报表格式!L56</f>
        <v xml:space="preserve">4.企业自身信用风险公允价值变动 </v>
      </c>
      <c r="B57" s="1000">
        <v>52</v>
      </c>
      <c r="C57" s="602"/>
      <c r="D57" s="304">
        <f>上年PL审定!B57</f>
        <v>0</v>
      </c>
      <c r="E57" s="302">
        <f>ABS(F57)</f>
        <v>0</v>
      </c>
      <c r="F57" s="640">
        <f>C57-D57</f>
        <v>0</v>
      </c>
    </row>
    <row r="58" spans="1:6" s="177" customFormat="1" ht="12.75">
      <c r="A58" s="994" t="str">
        <f>报表格式!L57</f>
        <v>5.其他</v>
      </c>
      <c r="B58" s="1000">
        <v>53</v>
      </c>
      <c r="C58" s="602"/>
      <c r="D58" s="304">
        <f>上年PL审定!B58</f>
        <v>0</v>
      </c>
      <c r="E58" s="750">
        <f t="shared" si="9"/>
        <v>0</v>
      </c>
      <c r="F58" s="640">
        <f t="shared" si="3"/>
        <v>0</v>
      </c>
    </row>
    <row r="59" spans="1:6" s="177" customFormat="1" ht="12.75">
      <c r="A59" s="991" t="str">
        <f>报表格式!L58</f>
        <v xml:space="preserve">  （二）将重分类进损益的其他综合收益</v>
      </c>
      <c r="B59" s="1000">
        <v>54</v>
      </c>
      <c r="C59" s="602">
        <f>SUM(C60:C70)</f>
        <v>0</v>
      </c>
      <c r="D59" s="304">
        <f>SUM(D60:D70)</f>
        <v>0</v>
      </c>
      <c r="E59" s="300">
        <f t="shared" si="9"/>
        <v>0</v>
      </c>
      <c r="F59" s="640">
        <f t="shared" si="3"/>
        <v>0</v>
      </c>
    </row>
    <row r="60" spans="1:6" s="177" customFormat="1" ht="12.75">
      <c r="A60" s="994" t="str">
        <f>报表格式!L59</f>
        <v>1.权益法下可转损益的其他综合收益</v>
      </c>
      <c r="B60" s="1000">
        <v>55</v>
      </c>
      <c r="C60" s="602"/>
      <c r="D60" s="304">
        <f>上年PL审定!B60</f>
        <v>0</v>
      </c>
      <c r="E60" s="750">
        <f t="shared" si="9"/>
        <v>0</v>
      </c>
      <c r="F60" s="640">
        <f t="shared" si="3"/>
        <v>0</v>
      </c>
    </row>
    <row r="61" spans="1:6" s="177" customFormat="1" ht="12.75">
      <c r="A61" s="994" t="str">
        <f>报表格式!L60</f>
        <v xml:space="preserve">2.其他债权投资公允价值变动 </v>
      </c>
      <c r="B61" s="1000">
        <v>56</v>
      </c>
      <c r="C61" s="602"/>
      <c r="D61" s="304">
        <f>上年PL审定!B61</f>
        <v>0</v>
      </c>
      <c r="E61" s="750">
        <f t="shared" ref="E61:E64" si="10">ABS(F61)</f>
        <v>0</v>
      </c>
      <c r="F61" s="640">
        <f t="shared" ref="F61:F64" si="11">C61-D61</f>
        <v>0</v>
      </c>
    </row>
    <row r="62" spans="1:6" s="177" customFormat="1" ht="12.75">
      <c r="A62" s="994" t="str">
        <f>报表格式!L61</f>
        <v>3.可供出售金融资产公允价值变动损益</v>
      </c>
      <c r="B62" s="1000">
        <v>57</v>
      </c>
      <c r="C62" s="602"/>
      <c r="D62" s="304">
        <f>上年PL审定!B62</f>
        <v>0</v>
      </c>
      <c r="E62" s="750">
        <f t="shared" si="10"/>
        <v>0</v>
      </c>
      <c r="F62" s="640">
        <f t="shared" si="11"/>
        <v>0</v>
      </c>
    </row>
    <row r="63" spans="1:6" s="177" customFormat="1" ht="12.75">
      <c r="A63" s="994" t="str">
        <f>报表格式!L62</f>
        <v xml:space="preserve">4.金融资产重分类计入其他综合收益的金额 </v>
      </c>
      <c r="B63" s="1000">
        <v>58</v>
      </c>
      <c r="C63" s="602"/>
      <c r="D63" s="304">
        <f>上年PL审定!B63</f>
        <v>0</v>
      </c>
      <c r="E63" s="750">
        <f t="shared" si="10"/>
        <v>0</v>
      </c>
      <c r="F63" s="640">
        <f t="shared" si="11"/>
        <v>0</v>
      </c>
    </row>
    <row r="64" spans="1:6" s="177" customFormat="1" ht="12.75">
      <c r="A64" s="994" t="str">
        <f>报表格式!L63</f>
        <v>5.持有至到期投资重分类为可供出售金融资产损益</v>
      </c>
      <c r="B64" s="1000">
        <v>59</v>
      </c>
      <c r="C64" s="602"/>
      <c r="D64" s="304">
        <f>上年PL审定!B64</f>
        <v>0</v>
      </c>
      <c r="E64" s="750">
        <f t="shared" si="10"/>
        <v>0</v>
      </c>
      <c r="F64" s="640">
        <f t="shared" si="11"/>
        <v>0</v>
      </c>
    </row>
    <row r="65" spans="1:6" s="177" customFormat="1" ht="12.75">
      <c r="A65" s="994" t="str">
        <f>报表格式!L64</f>
        <v>6.其他债权投资信用减值准备</v>
      </c>
      <c r="B65" s="1000">
        <v>60</v>
      </c>
      <c r="C65" s="602"/>
      <c r="D65" s="304">
        <f>上年PL审定!B65</f>
        <v>0</v>
      </c>
      <c r="E65" s="750">
        <f>ABS(F65)</f>
        <v>0</v>
      </c>
      <c r="F65" s="640">
        <f>C65-D65</f>
        <v>0</v>
      </c>
    </row>
    <row r="66" spans="1:6" s="177" customFormat="1" ht="12.75">
      <c r="A66" s="994" t="str">
        <f>报表格式!L65</f>
        <v>7.现金流量套期储备</v>
      </c>
      <c r="B66" s="1000">
        <v>61</v>
      </c>
      <c r="C66" s="602"/>
      <c r="D66" s="304">
        <f>上年PL审定!B66</f>
        <v>0</v>
      </c>
      <c r="E66" s="750">
        <f>ABS(F66)</f>
        <v>0</v>
      </c>
      <c r="F66" s="640">
        <f>C66-D66</f>
        <v>0</v>
      </c>
    </row>
    <row r="67" spans="1:6" s="177" customFormat="1" ht="12.75">
      <c r="A67" s="994" t="str">
        <f>报表格式!L66</f>
        <v>8.外币财务报表折算差额</v>
      </c>
      <c r="B67" s="1000">
        <v>62</v>
      </c>
      <c r="C67" s="602"/>
      <c r="D67" s="304">
        <f>上年PL审定!B67</f>
        <v>0</v>
      </c>
      <c r="E67" s="750">
        <f t="shared" si="9"/>
        <v>0</v>
      </c>
      <c r="F67" s="640">
        <f t="shared" si="3"/>
        <v>0</v>
      </c>
    </row>
    <row r="68" spans="1:6" s="177" customFormat="1" ht="12.75">
      <c r="A68" s="994" t="str">
        <f>报表格式!L67</f>
        <v>9.自用房地产或作为存货的房地产转换为以公允价值计量的投资性房地产在转换日公允价值大于账面价值部分</v>
      </c>
      <c r="B68" s="1000">
        <v>63</v>
      </c>
      <c r="C68" s="602"/>
      <c r="D68" s="304">
        <f>上年PL审定!B68</f>
        <v>0</v>
      </c>
      <c r="E68" s="300">
        <f t="shared" si="9"/>
        <v>0</v>
      </c>
      <c r="F68" s="640">
        <f t="shared" si="3"/>
        <v>0</v>
      </c>
    </row>
    <row r="69" spans="1:6" s="280" customFormat="1">
      <c r="A69" s="994" t="str">
        <f>报表格式!L68</f>
        <v>10.多次交易分步处置子公司股权构成一揽子交易的，丧失控制权之前各次交易处置价款与对应净资产账面价值份额的差额</v>
      </c>
      <c r="B69" s="1000">
        <v>64</v>
      </c>
      <c r="C69" s="602"/>
      <c r="D69" s="304">
        <f>上年PL审定!B69</f>
        <v>0</v>
      </c>
      <c r="E69" s="750">
        <f t="shared" si="9"/>
        <v>0</v>
      </c>
      <c r="F69" s="640">
        <f t="shared" si="3"/>
        <v>0</v>
      </c>
    </row>
    <row r="70" spans="1:6" s="280" customFormat="1">
      <c r="A70" s="994" t="str">
        <f>报表格式!L69</f>
        <v>11.其他</v>
      </c>
      <c r="B70" s="1000">
        <v>65</v>
      </c>
      <c r="C70" s="602"/>
      <c r="D70" s="304">
        <f>上年PL审定!B70</f>
        <v>0</v>
      </c>
      <c r="E70" s="300">
        <f t="shared" si="9"/>
        <v>0</v>
      </c>
      <c r="F70" s="640">
        <f t="shared" si="3"/>
        <v>0</v>
      </c>
    </row>
    <row r="71" spans="1:6" s="280" customFormat="1">
      <c r="A71" s="991" t="str">
        <f>报表格式!L70</f>
        <v>归属于少数股东的其他综合收益的税后净额</v>
      </c>
      <c r="B71" s="1000">
        <v>66</v>
      </c>
      <c r="C71" s="602"/>
      <c r="D71" s="304">
        <f>上年PL审定!B71</f>
        <v>0</v>
      </c>
      <c r="E71" s="750">
        <f t="shared" si="9"/>
        <v>0</v>
      </c>
      <c r="F71" s="640">
        <f t="shared" si="3"/>
        <v>0</v>
      </c>
    </row>
    <row r="72" spans="1:6" s="280" customFormat="1">
      <c r="A72" s="992" t="str">
        <f>报表格式!L71</f>
        <v>六、综合收益总额</v>
      </c>
      <c r="B72" s="1000">
        <v>67</v>
      </c>
      <c r="C72" s="749">
        <f>C44+C51</f>
        <v>0</v>
      </c>
      <c r="D72" s="749">
        <f>D44+D51</f>
        <v>0</v>
      </c>
      <c r="E72" s="300">
        <f t="shared" si="9"/>
        <v>0</v>
      </c>
      <c r="F72" s="640">
        <f t="shared" si="3"/>
        <v>0</v>
      </c>
    </row>
    <row r="73" spans="1:6" s="280" customFormat="1">
      <c r="A73" s="991" t="str">
        <f>报表格式!L72</f>
        <v xml:space="preserve">     归属于母公司股东的综合收益总额</v>
      </c>
      <c r="B73" s="1000">
        <v>68</v>
      </c>
      <c r="C73" s="602">
        <f>C49+C52</f>
        <v>0</v>
      </c>
      <c r="D73" s="749">
        <f>D49+D52</f>
        <v>0</v>
      </c>
      <c r="E73" s="774"/>
      <c r="F73" s="640">
        <f t="shared" si="3"/>
        <v>0</v>
      </c>
    </row>
    <row r="74" spans="1:6" s="280" customFormat="1">
      <c r="A74" s="991" t="str">
        <f>报表格式!L73</f>
        <v xml:space="preserve">     归属于少数股东的综合收益总额</v>
      </c>
      <c r="B74" s="1000">
        <v>69</v>
      </c>
      <c r="C74" s="764">
        <f>C50+C71</f>
        <v>0</v>
      </c>
      <c r="D74" s="749">
        <f>D50+D71</f>
        <v>0</v>
      </c>
      <c r="E74" s="774"/>
      <c r="F74" s="640">
        <f t="shared" si="3"/>
        <v>0</v>
      </c>
    </row>
    <row r="75" spans="1:6" s="280" customFormat="1">
      <c r="A75" s="992" t="str">
        <f>报表格式!L74</f>
        <v>七、每股收益</v>
      </c>
      <c r="B75" s="1000">
        <v>70</v>
      </c>
      <c r="C75" s="764"/>
      <c r="D75" s="773"/>
      <c r="E75" s="774"/>
      <c r="F75" s="640">
        <f t="shared" si="3"/>
        <v>0</v>
      </c>
    </row>
    <row r="76" spans="1:6" s="280" customFormat="1">
      <c r="A76" s="991" t="str">
        <f>报表格式!L75</f>
        <v xml:space="preserve">   （一）基本每股收益</v>
      </c>
      <c r="B76" s="1000">
        <v>71</v>
      </c>
      <c r="C76" s="602"/>
      <c r="D76" s="749">
        <f>上年PL审定!B76</f>
        <v>0</v>
      </c>
      <c r="E76" s="750">
        <f t="shared" si="9"/>
        <v>0</v>
      </c>
      <c r="F76" s="640">
        <f t="shared" si="3"/>
        <v>0</v>
      </c>
    </row>
    <row r="77" spans="1:6" s="280" customFormat="1">
      <c r="A77" s="991" t="str">
        <f>报表格式!L76</f>
        <v xml:space="preserve">   （二）稀释每股收益</v>
      </c>
      <c r="B77" s="1000">
        <v>72</v>
      </c>
      <c r="C77" s="602"/>
      <c r="D77" s="761">
        <f>上年PL审定!B77</f>
        <v>0</v>
      </c>
      <c r="E77" s="762">
        <f t="shared" si="9"/>
        <v>0</v>
      </c>
      <c r="F77" s="640">
        <f t="shared" si="3"/>
        <v>0</v>
      </c>
    </row>
    <row r="78" spans="1:6" s="280" customFormat="1">
      <c r="A78" s="992" t="str">
        <f>报表格式!L77</f>
        <v>八、利润分配</v>
      </c>
      <c r="B78" s="1000">
        <v>73</v>
      </c>
      <c r="C78" s="602"/>
      <c r="D78" s="761">
        <f>上年PL审定!B78</f>
        <v>0</v>
      </c>
      <c r="E78" s="762">
        <f t="shared" ref="E78:E89" si="12">ABS(F78)</f>
        <v>0</v>
      </c>
      <c r="F78" s="640">
        <f t="shared" ref="F78:F89" si="13">C78-D78</f>
        <v>0</v>
      </c>
    </row>
    <row r="79" spans="1:6" s="280" customFormat="1">
      <c r="A79" s="991" t="str">
        <f>报表格式!L78</f>
        <v xml:space="preserve">   （一）年初未分配利润</v>
      </c>
      <c r="B79" s="1000">
        <v>74</v>
      </c>
      <c r="C79" s="602"/>
      <c r="D79" s="761">
        <f>上年PL审定!B79</f>
        <v>0</v>
      </c>
      <c r="E79" s="762">
        <f t="shared" si="12"/>
        <v>0</v>
      </c>
      <c r="F79" s="640">
        <f t="shared" si="13"/>
        <v>0</v>
      </c>
    </row>
    <row r="80" spans="1:6" s="280" customFormat="1">
      <c r="A80" s="991" t="str">
        <f>报表格式!L79</f>
        <v xml:space="preserve">   （二）可供分配的利润</v>
      </c>
      <c r="B80" s="1000">
        <v>75</v>
      </c>
      <c r="C80" s="602">
        <f>C49+C79</f>
        <v>0</v>
      </c>
      <c r="D80" s="761">
        <f>D49+D79</f>
        <v>0</v>
      </c>
      <c r="E80" s="762">
        <f t="shared" si="12"/>
        <v>0</v>
      </c>
      <c r="F80" s="640">
        <f t="shared" si="13"/>
        <v>0</v>
      </c>
    </row>
    <row r="81" spans="1:6" s="280" customFormat="1">
      <c r="A81" s="991" t="str">
        <f>报表格式!L80</f>
        <v xml:space="preserve">    1、提取法定盈余公积</v>
      </c>
      <c r="B81" s="1000">
        <v>76</v>
      </c>
      <c r="C81" s="602"/>
      <c r="D81" s="761">
        <f>上年PL审定!B81</f>
        <v>0</v>
      </c>
      <c r="E81" s="762">
        <f t="shared" si="12"/>
        <v>0</v>
      </c>
      <c r="F81" s="640">
        <f t="shared" si="13"/>
        <v>0</v>
      </c>
    </row>
    <row r="82" spans="1:6" s="280" customFormat="1">
      <c r="A82" s="991" t="str">
        <f>报表格式!L81</f>
        <v xml:space="preserve">    2、其他</v>
      </c>
      <c r="B82" s="1000">
        <v>77</v>
      </c>
      <c r="C82" s="602"/>
      <c r="D82" s="761">
        <f>上年PL审定!B82</f>
        <v>0</v>
      </c>
      <c r="E82" s="762">
        <f t="shared" si="12"/>
        <v>0</v>
      </c>
      <c r="F82" s="640">
        <f t="shared" si="13"/>
        <v>0</v>
      </c>
    </row>
    <row r="83" spans="1:6" s="280" customFormat="1">
      <c r="A83" s="991" t="str">
        <f>报表格式!L82</f>
        <v xml:space="preserve">   （三）可供投资者分配的利润</v>
      </c>
      <c r="B83" s="1000">
        <v>78</v>
      </c>
      <c r="C83" s="602">
        <f>C80-C81-C82</f>
        <v>0</v>
      </c>
      <c r="D83" s="761">
        <f>D80-D81-D82</f>
        <v>0</v>
      </c>
      <c r="E83" s="762">
        <f t="shared" si="12"/>
        <v>0</v>
      </c>
      <c r="F83" s="640">
        <f t="shared" si="13"/>
        <v>0</v>
      </c>
    </row>
    <row r="84" spans="1:6" s="280" customFormat="1">
      <c r="A84" s="991" t="str">
        <f>报表格式!L83</f>
        <v xml:space="preserve">    1、应付优先股股利</v>
      </c>
      <c r="B84" s="1000">
        <v>79</v>
      </c>
      <c r="C84" s="602"/>
      <c r="D84" s="761">
        <f>上年PL审定!B84</f>
        <v>0</v>
      </c>
      <c r="E84" s="762">
        <f t="shared" si="12"/>
        <v>0</v>
      </c>
      <c r="F84" s="640">
        <f t="shared" si="13"/>
        <v>0</v>
      </c>
    </row>
    <row r="85" spans="1:6" s="280" customFormat="1">
      <c r="A85" s="991" t="str">
        <f>报表格式!L84</f>
        <v xml:space="preserve">    2、提取任意盈余公积</v>
      </c>
      <c r="B85" s="1000">
        <v>80</v>
      </c>
      <c r="C85" s="602"/>
      <c r="D85" s="761">
        <f>上年PL审定!B85</f>
        <v>0</v>
      </c>
      <c r="E85" s="762">
        <f t="shared" si="12"/>
        <v>0</v>
      </c>
      <c r="F85" s="640">
        <f t="shared" si="13"/>
        <v>0</v>
      </c>
    </row>
    <row r="86" spans="1:6" s="280" customFormat="1">
      <c r="A86" s="991" t="str">
        <f>报表格式!L85</f>
        <v xml:space="preserve">    3、应付普通股股利（应付利润）</v>
      </c>
      <c r="B86" s="1000">
        <v>81</v>
      </c>
      <c r="C86" s="602"/>
      <c r="D86" s="761">
        <f>上年PL审定!B86</f>
        <v>0</v>
      </c>
      <c r="E86" s="762">
        <f t="shared" si="12"/>
        <v>0</v>
      </c>
      <c r="F86" s="640">
        <f t="shared" si="13"/>
        <v>0</v>
      </c>
    </row>
    <row r="87" spans="1:6" s="280" customFormat="1">
      <c r="A87" s="991" t="str">
        <f>报表格式!L86</f>
        <v xml:space="preserve">    4、转作资本（或股本）的普通股股利</v>
      </c>
      <c r="B87" s="1000">
        <v>82</v>
      </c>
      <c r="C87" s="602"/>
      <c r="D87" s="761">
        <f>上年PL审定!B87</f>
        <v>0</v>
      </c>
      <c r="E87" s="762">
        <f t="shared" si="12"/>
        <v>0</v>
      </c>
      <c r="F87" s="640">
        <f t="shared" si="13"/>
        <v>0</v>
      </c>
    </row>
    <row r="88" spans="1:6" s="280" customFormat="1">
      <c r="A88" s="991" t="str">
        <f>报表格式!L87</f>
        <v xml:space="preserve">    5、其他</v>
      </c>
      <c r="B88" s="1000">
        <v>83</v>
      </c>
      <c r="C88" s="602"/>
      <c r="D88" s="761">
        <f>上年PL审定!B88</f>
        <v>0</v>
      </c>
      <c r="E88" s="762">
        <f t="shared" si="12"/>
        <v>0</v>
      </c>
      <c r="F88" s="640">
        <f t="shared" si="13"/>
        <v>0</v>
      </c>
    </row>
    <row r="89" spans="1:6" s="280" customFormat="1">
      <c r="A89" s="995" t="str">
        <f>报表格式!L88</f>
        <v>九、未分配利润</v>
      </c>
      <c r="B89" s="1001">
        <v>84</v>
      </c>
      <c r="C89" s="775">
        <f>C83-SUM(C84:C88)</f>
        <v>0</v>
      </c>
      <c r="D89" s="776">
        <f>D83-SUM(D84:D88)</f>
        <v>0</v>
      </c>
      <c r="E89" s="777">
        <f t="shared" si="12"/>
        <v>0</v>
      </c>
      <c r="F89" s="778">
        <f t="shared" si="13"/>
        <v>0</v>
      </c>
    </row>
    <row r="90" spans="1:6" ht="3" customHeight="1"/>
    <row r="91" spans="1:6" ht="18.75">
      <c r="A91" s="1145" t="s">
        <v>1035</v>
      </c>
      <c r="B91" s="1145"/>
      <c r="C91" s="1145"/>
      <c r="D91" s="1145"/>
      <c r="E91" s="1145"/>
      <c r="F91" s="1145"/>
    </row>
    <row r="92" spans="1:6" ht="12.75" customHeight="1">
      <c r="A92" s="1157"/>
      <c r="B92" s="1157"/>
      <c r="C92" s="296"/>
      <c r="D92" s="296"/>
      <c r="E92" s="282"/>
      <c r="F92" s="282"/>
    </row>
    <row r="93" spans="1:6" ht="15" thickBot="1">
      <c r="A93" s="988" t="str">
        <f>IF(报表格式!G58="","  对不起，请到参数表中确定报表类型！",CONCATENATE(" 客户名称：",说明!E23))</f>
        <v xml:space="preserve"> 客户名称：</v>
      </c>
      <c r="B93" s="1158" t="str">
        <f>说明!$E$30</f>
        <v>2019年度</v>
      </c>
      <c r="C93" s="1158"/>
      <c r="D93" s="138"/>
      <c r="E93" s="138"/>
      <c r="F93" s="297" t="str">
        <f>CONCATENATE("金额单位：",说明!$E$33)</f>
        <v>金额单位：人民币元</v>
      </c>
    </row>
    <row r="94" spans="1:6" ht="24">
      <c r="A94" s="989" t="str">
        <f>IF(AND(E163&lt;0.005,E164&lt;0.005),"项          目","母公司明细项目不符！")</f>
        <v>项          目</v>
      </c>
      <c r="B94" s="998" t="s">
        <v>255</v>
      </c>
      <c r="C94" s="286" t="s">
        <v>677</v>
      </c>
      <c r="D94" s="286" t="s">
        <v>675</v>
      </c>
      <c r="E94" s="286" t="s">
        <v>447</v>
      </c>
      <c r="F94" s="287" t="s">
        <v>358</v>
      </c>
    </row>
    <row r="95" spans="1:6" ht="13.7" customHeight="1">
      <c r="A95" s="990" t="str">
        <f>报表格式!L5</f>
        <v>一、营业收入</v>
      </c>
      <c r="B95" s="999">
        <v>1</v>
      </c>
      <c r="C95" s="601"/>
      <c r="D95" s="303">
        <f>上年PL审定!F6</f>
        <v>0</v>
      </c>
      <c r="E95" s="298">
        <f>ABS(F95)</f>
        <v>0</v>
      </c>
      <c r="F95" s="299">
        <f>C95-D95</f>
        <v>0</v>
      </c>
    </row>
    <row r="96" spans="1:6" ht="13.7" customHeight="1">
      <c r="A96" s="991" t="str">
        <f>报表格式!L6</f>
        <v xml:space="preserve">        其中：主营业务收入</v>
      </c>
      <c r="B96" s="1000">
        <v>2</v>
      </c>
      <c r="C96" s="602"/>
      <c r="D96" s="304">
        <f>上年PL审定!F7</f>
        <v>0</v>
      </c>
      <c r="E96" s="300">
        <f>ABS(F96)</f>
        <v>0</v>
      </c>
      <c r="F96" s="301">
        <f>C96-D96</f>
        <v>0</v>
      </c>
    </row>
    <row r="97" spans="1:6" ht="13.7" customHeight="1">
      <c r="A97" s="991" t="str">
        <f>报表格式!L7</f>
        <v xml:space="preserve">              利息收入</v>
      </c>
      <c r="B97" s="1000">
        <v>3</v>
      </c>
      <c r="C97" s="602"/>
      <c r="D97" s="304">
        <f>上年PL审定!F8</f>
        <v>0</v>
      </c>
      <c r="E97" s="300">
        <f t="shared" ref="E97:E99" si="14">ABS(F97)</f>
        <v>0</v>
      </c>
      <c r="F97" s="301">
        <f t="shared" ref="F97:F99" si="15">C97-D97</f>
        <v>0</v>
      </c>
    </row>
    <row r="98" spans="1:6" ht="13.7" customHeight="1">
      <c r="A98" s="991" t="str">
        <f>报表格式!L8</f>
        <v xml:space="preserve">              已赚保费</v>
      </c>
      <c r="B98" s="1000">
        <v>4</v>
      </c>
      <c r="C98" s="602"/>
      <c r="D98" s="304">
        <f>上年PL审定!F9</f>
        <v>0</v>
      </c>
      <c r="E98" s="300">
        <f t="shared" si="14"/>
        <v>0</v>
      </c>
      <c r="F98" s="301">
        <f t="shared" si="15"/>
        <v>0</v>
      </c>
    </row>
    <row r="99" spans="1:6" ht="13.7" customHeight="1">
      <c r="A99" s="991" t="str">
        <f>报表格式!L9</f>
        <v xml:space="preserve">              手续费及佣金收入</v>
      </c>
      <c r="B99" s="1000">
        <v>5</v>
      </c>
      <c r="C99" s="602"/>
      <c r="D99" s="304">
        <f>上年PL审定!F10</f>
        <v>0</v>
      </c>
      <c r="E99" s="300">
        <f t="shared" si="14"/>
        <v>0</v>
      </c>
      <c r="F99" s="301">
        <f t="shared" si="15"/>
        <v>0</v>
      </c>
    </row>
    <row r="100" spans="1:6" ht="13.7" customHeight="1">
      <c r="A100" s="991" t="str">
        <f>报表格式!L10</f>
        <v xml:space="preserve">              其他业务收入</v>
      </c>
      <c r="B100" s="1000">
        <v>6</v>
      </c>
      <c r="C100" s="602"/>
      <c r="D100" s="304">
        <f>上年PL审定!F11</f>
        <v>0</v>
      </c>
      <c r="E100" s="300">
        <f t="shared" ref="E100:E133" si="16">ABS(F100)</f>
        <v>0</v>
      </c>
      <c r="F100" s="301">
        <f t="shared" ref="F100:F133" si="17">C100-D100</f>
        <v>0</v>
      </c>
    </row>
    <row r="101" spans="1:6" ht="13.7" customHeight="1">
      <c r="A101" s="991" t="str">
        <f>报表格式!L11</f>
        <v xml:space="preserve">    减：营业成本</v>
      </c>
      <c r="B101" s="1000">
        <v>7</v>
      </c>
      <c r="C101" s="602"/>
      <c r="D101" s="304">
        <f>上年PL审定!F12</f>
        <v>0</v>
      </c>
      <c r="E101" s="300">
        <f t="shared" si="16"/>
        <v>0</v>
      </c>
      <c r="F101" s="301">
        <f t="shared" si="17"/>
        <v>0</v>
      </c>
    </row>
    <row r="102" spans="1:6" ht="13.7" customHeight="1">
      <c r="A102" s="991" t="str">
        <f>报表格式!L12</f>
        <v xml:space="preserve">        其中：主营业务成本</v>
      </c>
      <c r="B102" s="1000">
        <v>8</v>
      </c>
      <c r="C102" s="602"/>
      <c r="D102" s="304">
        <f>上年PL审定!F13</f>
        <v>0</v>
      </c>
      <c r="E102" s="300">
        <f t="shared" si="16"/>
        <v>0</v>
      </c>
      <c r="F102" s="301">
        <f t="shared" si="17"/>
        <v>0</v>
      </c>
    </row>
    <row r="103" spans="1:6" ht="13.7" customHeight="1">
      <c r="A103" s="991" t="str">
        <f>报表格式!L13</f>
        <v xml:space="preserve">              利息支出</v>
      </c>
      <c r="B103" s="1000">
        <v>9</v>
      </c>
      <c r="C103" s="602"/>
      <c r="D103" s="304">
        <f>上年PL审定!F14</f>
        <v>0</v>
      </c>
      <c r="E103" s="300">
        <f t="shared" ref="E103:E109" si="18">ABS(F103)</f>
        <v>0</v>
      </c>
      <c r="F103" s="301">
        <f t="shared" ref="F103:F109" si="19">C103-D103</f>
        <v>0</v>
      </c>
    </row>
    <row r="104" spans="1:6" ht="13.7" customHeight="1">
      <c r="A104" s="991" t="str">
        <f>报表格式!L14</f>
        <v xml:space="preserve">              手续费及佣金支出</v>
      </c>
      <c r="B104" s="1000">
        <v>10</v>
      </c>
      <c r="C104" s="602"/>
      <c r="D104" s="304">
        <f>上年PL审定!F15</f>
        <v>0</v>
      </c>
      <c r="E104" s="300">
        <f t="shared" si="18"/>
        <v>0</v>
      </c>
      <c r="F104" s="301">
        <f t="shared" si="19"/>
        <v>0</v>
      </c>
    </row>
    <row r="105" spans="1:6" ht="13.7" customHeight="1">
      <c r="A105" s="991" t="str">
        <f>报表格式!L15</f>
        <v xml:space="preserve">              退保金</v>
      </c>
      <c r="B105" s="1000">
        <v>11</v>
      </c>
      <c r="C105" s="602"/>
      <c r="D105" s="304">
        <f>上年PL审定!F16</f>
        <v>0</v>
      </c>
      <c r="E105" s="300">
        <f t="shared" si="18"/>
        <v>0</v>
      </c>
      <c r="F105" s="301">
        <f t="shared" si="19"/>
        <v>0</v>
      </c>
    </row>
    <row r="106" spans="1:6" ht="13.7" customHeight="1">
      <c r="A106" s="991" t="str">
        <f>报表格式!L16</f>
        <v xml:space="preserve">              赔付支出净额</v>
      </c>
      <c r="B106" s="1000">
        <v>12</v>
      </c>
      <c r="C106" s="602"/>
      <c r="D106" s="304">
        <f>上年PL审定!F17</f>
        <v>0</v>
      </c>
      <c r="E106" s="300">
        <f t="shared" si="18"/>
        <v>0</v>
      </c>
      <c r="F106" s="301">
        <f t="shared" si="19"/>
        <v>0</v>
      </c>
    </row>
    <row r="107" spans="1:6" ht="13.7" customHeight="1">
      <c r="A107" s="991" t="str">
        <f>报表格式!L17</f>
        <v xml:space="preserve">              提取保险合同准备金净额</v>
      </c>
      <c r="B107" s="1000">
        <v>13</v>
      </c>
      <c r="C107" s="602"/>
      <c r="D107" s="304">
        <f>上年PL审定!F18</f>
        <v>0</v>
      </c>
      <c r="E107" s="300">
        <f t="shared" si="18"/>
        <v>0</v>
      </c>
      <c r="F107" s="301">
        <f t="shared" si="19"/>
        <v>0</v>
      </c>
    </row>
    <row r="108" spans="1:6" ht="13.7" customHeight="1">
      <c r="A108" s="991" t="str">
        <f>报表格式!L18</f>
        <v xml:space="preserve">              保单红利支出</v>
      </c>
      <c r="B108" s="1000">
        <v>14</v>
      </c>
      <c r="C108" s="602"/>
      <c r="D108" s="304">
        <f>上年PL审定!F19</f>
        <v>0</v>
      </c>
      <c r="E108" s="300">
        <f t="shared" si="18"/>
        <v>0</v>
      </c>
      <c r="F108" s="301">
        <f t="shared" si="19"/>
        <v>0</v>
      </c>
    </row>
    <row r="109" spans="1:6" ht="13.7" customHeight="1">
      <c r="A109" s="991" t="str">
        <f>报表格式!L19</f>
        <v xml:space="preserve">              分保费用</v>
      </c>
      <c r="B109" s="1000">
        <v>15</v>
      </c>
      <c r="C109" s="602"/>
      <c r="D109" s="304">
        <f>上年PL审定!F20</f>
        <v>0</v>
      </c>
      <c r="E109" s="300">
        <f t="shared" si="18"/>
        <v>0</v>
      </c>
      <c r="F109" s="301">
        <f t="shared" si="19"/>
        <v>0</v>
      </c>
    </row>
    <row r="110" spans="1:6" ht="13.7" customHeight="1">
      <c r="A110" s="991" t="str">
        <f>报表格式!L20</f>
        <v xml:space="preserve">              其他业务成本</v>
      </c>
      <c r="B110" s="1000">
        <v>16</v>
      </c>
      <c r="C110" s="602"/>
      <c r="D110" s="304">
        <f>上年PL审定!F21</f>
        <v>0</v>
      </c>
      <c r="E110" s="300">
        <f t="shared" si="16"/>
        <v>0</v>
      </c>
      <c r="F110" s="301">
        <f t="shared" si="17"/>
        <v>0</v>
      </c>
    </row>
    <row r="111" spans="1:6" ht="13.7" customHeight="1">
      <c r="A111" s="991" t="str">
        <f>报表格式!L21</f>
        <v xml:space="preserve">        税金及附加</v>
      </c>
      <c r="B111" s="1000">
        <v>17</v>
      </c>
      <c r="C111" s="602"/>
      <c r="D111" s="304">
        <f>上年PL审定!F22</f>
        <v>0</v>
      </c>
      <c r="E111" s="300">
        <f t="shared" si="16"/>
        <v>0</v>
      </c>
      <c r="F111" s="301">
        <f t="shared" si="17"/>
        <v>0</v>
      </c>
    </row>
    <row r="112" spans="1:6" ht="13.7" customHeight="1">
      <c r="A112" s="991" t="str">
        <f>报表格式!L22</f>
        <v xml:space="preserve">        销售费用</v>
      </c>
      <c r="B112" s="1000">
        <v>18</v>
      </c>
      <c r="C112" s="602"/>
      <c r="D112" s="304">
        <f>上年PL审定!F23</f>
        <v>0</v>
      </c>
      <c r="E112" s="300">
        <f t="shared" si="16"/>
        <v>0</v>
      </c>
      <c r="F112" s="301">
        <f t="shared" si="17"/>
        <v>0</v>
      </c>
    </row>
    <row r="113" spans="1:6" ht="13.7" customHeight="1">
      <c r="A113" s="991" t="str">
        <f>报表格式!L23</f>
        <v xml:space="preserve">        管理费用</v>
      </c>
      <c r="B113" s="1000">
        <v>19</v>
      </c>
      <c r="C113" s="602"/>
      <c r="D113" s="304">
        <f>上年PL审定!F24</f>
        <v>0</v>
      </c>
      <c r="E113" s="300">
        <f t="shared" si="16"/>
        <v>0</v>
      </c>
      <c r="F113" s="301">
        <f t="shared" si="17"/>
        <v>0</v>
      </c>
    </row>
    <row r="114" spans="1:6" ht="13.7" customHeight="1">
      <c r="A114" s="991" t="str">
        <f>报表格式!L24</f>
        <v xml:space="preserve">        研发费用</v>
      </c>
      <c r="B114" s="1000">
        <v>20</v>
      </c>
      <c r="C114" s="602"/>
      <c r="D114" s="304">
        <f>上年PL审定!F25</f>
        <v>0</v>
      </c>
      <c r="E114" s="300">
        <f t="shared" si="16"/>
        <v>0</v>
      </c>
      <c r="F114" s="301">
        <f t="shared" si="17"/>
        <v>0</v>
      </c>
    </row>
    <row r="115" spans="1:6" ht="13.7" customHeight="1">
      <c r="A115" s="991" t="str">
        <f>报表格式!L25</f>
        <v xml:space="preserve">        财务费用</v>
      </c>
      <c r="B115" s="1000">
        <v>21</v>
      </c>
      <c r="C115" s="602"/>
      <c r="D115" s="304">
        <f>上年PL审定!F26</f>
        <v>0</v>
      </c>
      <c r="E115" s="300">
        <f t="shared" si="16"/>
        <v>0</v>
      </c>
      <c r="F115" s="301">
        <f t="shared" si="17"/>
        <v>0</v>
      </c>
    </row>
    <row r="116" spans="1:6" ht="13.7" customHeight="1">
      <c r="A116" s="991" t="str">
        <f>报表格式!L26</f>
        <v xml:space="preserve">        其中：利息费用</v>
      </c>
      <c r="B116" s="1000">
        <v>22</v>
      </c>
      <c r="C116" s="602"/>
      <c r="D116" s="304">
        <f>上年PL审定!F27</f>
        <v>0</v>
      </c>
      <c r="E116" s="300">
        <f t="shared" si="16"/>
        <v>0</v>
      </c>
      <c r="F116" s="301">
        <f t="shared" si="17"/>
        <v>0</v>
      </c>
    </row>
    <row r="117" spans="1:6" ht="13.7" customHeight="1">
      <c r="A117" s="991" t="str">
        <f>报表格式!L27</f>
        <v xml:space="preserve">              利息收入</v>
      </c>
      <c r="B117" s="1000">
        <v>23</v>
      </c>
      <c r="C117" s="602"/>
      <c r="D117" s="304">
        <f>上年PL审定!F28</f>
        <v>0</v>
      </c>
      <c r="E117" s="300">
        <f t="shared" si="16"/>
        <v>0</v>
      </c>
      <c r="F117" s="301">
        <f t="shared" si="17"/>
        <v>0</v>
      </c>
    </row>
    <row r="118" spans="1:6" ht="13.7" customHeight="1">
      <c r="A118" s="991" t="str">
        <f>报表格式!L28</f>
        <v xml:space="preserve">    加：其他收益</v>
      </c>
      <c r="B118" s="1000">
        <v>24</v>
      </c>
      <c r="C118" s="602"/>
      <c r="D118" s="304">
        <f>上年PL审定!F29</f>
        <v>0</v>
      </c>
      <c r="E118" s="300">
        <f t="shared" ref="E118:E126" si="20">ABS(F118)</f>
        <v>0</v>
      </c>
      <c r="F118" s="301">
        <f t="shared" ref="F118:F126" si="21">C118-D118</f>
        <v>0</v>
      </c>
    </row>
    <row r="119" spans="1:6" ht="13.7" customHeight="1">
      <c r="A119" s="991" t="str">
        <f>报表格式!L29</f>
        <v xml:space="preserve">        投资收益（损失以“－”号填列）</v>
      </c>
      <c r="B119" s="1000">
        <v>25</v>
      </c>
      <c r="C119" s="602"/>
      <c r="D119" s="304">
        <f>上年PL审定!F30</f>
        <v>0</v>
      </c>
      <c r="E119" s="300">
        <f t="shared" si="20"/>
        <v>0</v>
      </c>
      <c r="F119" s="301">
        <f t="shared" si="21"/>
        <v>0</v>
      </c>
    </row>
    <row r="120" spans="1:6" ht="13.7" customHeight="1">
      <c r="A120" s="991" t="str">
        <f>报表格式!L30</f>
        <v xml:space="preserve">        其中：对联营企业和合营企业的投资收益</v>
      </c>
      <c r="B120" s="1000">
        <v>26</v>
      </c>
      <c r="C120" s="602"/>
      <c r="D120" s="304">
        <f>上年PL审定!F31</f>
        <v>0</v>
      </c>
      <c r="E120" s="300">
        <f t="shared" si="20"/>
        <v>0</v>
      </c>
      <c r="F120" s="301">
        <f t="shared" si="21"/>
        <v>0</v>
      </c>
    </row>
    <row r="121" spans="1:6" ht="13.7" customHeight="1">
      <c r="A121" s="991" t="str">
        <f>报表格式!L31</f>
        <v xml:space="preserve">              以摊余成本计量的金融资产终止确认收益（损失以“-”号填列）</v>
      </c>
      <c r="B121" s="1000">
        <v>27</v>
      </c>
      <c r="C121" s="602"/>
      <c r="D121" s="304">
        <f>上年PL审定!F32</f>
        <v>0</v>
      </c>
      <c r="E121" s="300">
        <f t="shared" si="20"/>
        <v>0</v>
      </c>
      <c r="F121" s="301">
        <f t="shared" si="21"/>
        <v>0</v>
      </c>
    </row>
    <row r="122" spans="1:6" ht="13.7" customHeight="1">
      <c r="A122" s="991" t="str">
        <f>报表格式!L32</f>
        <v xml:space="preserve">        净敞口套期收益（损失以“-”号填列）</v>
      </c>
      <c r="B122" s="1000">
        <v>28</v>
      </c>
      <c r="C122" s="602"/>
      <c r="D122" s="304">
        <f>上年PL审定!F33</f>
        <v>0</v>
      </c>
      <c r="E122" s="300">
        <f t="shared" si="20"/>
        <v>0</v>
      </c>
      <c r="F122" s="301">
        <f t="shared" si="21"/>
        <v>0</v>
      </c>
    </row>
    <row r="123" spans="1:6" ht="13.7" customHeight="1">
      <c r="A123" s="991" t="str">
        <f>报表格式!L33</f>
        <v xml:space="preserve">        公允价值变动收益（损失以“－”号填列）</v>
      </c>
      <c r="B123" s="1000">
        <v>29</v>
      </c>
      <c r="C123" s="602"/>
      <c r="D123" s="304">
        <f>上年PL审定!F34</f>
        <v>0</v>
      </c>
      <c r="E123" s="300">
        <f t="shared" si="20"/>
        <v>0</v>
      </c>
      <c r="F123" s="301">
        <f t="shared" si="21"/>
        <v>0</v>
      </c>
    </row>
    <row r="124" spans="1:6" ht="13.7" customHeight="1">
      <c r="A124" s="991" t="str">
        <f>报表格式!L34</f>
        <v xml:space="preserve">        信用减值损失(损失以“-”号填列）</v>
      </c>
      <c r="B124" s="1000">
        <v>30</v>
      </c>
      <c r="C124" s="602"/>
      <c r="D124" s="304">
        <f>上年PL审定!F35</f>
        <v>0</v>
      </c>
      <c r="E124" s="300">
        <f t="shared" si="20"/>
        <v>0</v>
      </c>
      <c r="F124" s="301">
        <f t="shared" si="21"/>
        <v>0</v>
      </c>
    </row>
    <row r="125" spans="1:6" ht="13.7" customHeight="1">
      <c r="A125" s="991" t="str">
        <f>报表格式!L35</f>
        <v xml:space="preserve">        资产减值损失(损失以“-”号填列）</v>
      </c>
      <c r="B125" s="1000">
        <v>31</v>
      </c>
      <c r="C125" s="602"/>
      <c r="D125" s="304">
        <f>上年PL审定!F36</f>
        <v>0</v>
      </c>
      <c r="E125" s="300">
        <f t="shared" si="20"/>
        <v>0</v>
      </c>
      <c r="F125" s="301">
        <f t="shared" si="21"/>
        <v>0</v>
      </c>
    </row>
    <row r="126" spans="1:6" ht="13.7" customHeight="1">
      <c r="A126" s="991" t="str">
        <f>报表格式!L36</f>
        <v xml:space="preserve">        资产处置收益(损失以“-”号填列）</v>
      </c>
      <c r="B126" s="1000">
        <v>32</v>
      </c>
      <c r="C126" s="602"/>
      <c r="D126" s="304">
        <f>上年PL审定!F37</f>
        <v>0</v>
      </c>
      <c r="E126" s="300">
        <f t="shared" si="20"/>
        <v>0</v>
      </c>
      <c r="F126" s="301">
        <f t="shared" si="21"/>
        <v>0</v>
      </c>
    </row>
    <row r="127" spans="1:6" s="636" customFormat="1" ht="13.7" customHeight="1">
      <c r="A127" s="992" t="str">
        <f>报表格式!L37</f>
        <v>二、营业利润（亏损以“－”号填列）</v>
      </c>
      <c r="B127" s="1000">
        <v>33</v>
      </c>
      <c r="C127" s="305">
        <f>SUM(C95)-SUM(C101,C111:C115,C119,C120)+SUM(C121,C122,C124:C126)</f>
        <v>0</v>
      </c>
      <c r="D127" s="305">
        <f>SUM(D95)-SUM(D101,D111:D115,D119,D120)+SUM(D121,D122,D124:D126)</f>
        <v>0</v>
      </c>
      <c r="E127" s="300">
        <f>ABS(F127)</f>
        <v>0</v>
      </c>
      <c r="F127" s="305">
        <f>SUM(F95)-SUM(F101,F111:F115,F119,F120)+SUM(F121,F122,F124:F126)</f>
        <v>0</v>
      </c>
    </row>
    <row r="128" spans="1:6" ht="13.7" customHeight="1">
      <c r="A128" s="991" t="str">
        <f>报表格式!L38</f>
        <v xml:space="preserve">    加：营业外收入</v>
      </c>
      <c r="B128" s="1000">
        <v>34</v>
      </c>
      <c r="C128" s="602"/>
      <c r="D128" s="304">
        <f>上年PL审定!F39</f>
        <v>0</v>
      </c>
      <c r="E128" s="300">
        <f t="shared" si="16"/>
        <v>0</v>
      </c>
      <c r="F128" s="301">
        <f t="shared" si="17"/>
        <v>0</v>
      </c>
    </row>
    <row r="129" spans="1:6" ht="13.7" customHeight="1">
      <c r="A129" s="991" t="str">
        <f>报表格式!L39</f>
        <v xml:space="preserve">    减：营业外支出</v>
      </c>
      <c r="B129" s="1000">
        <v>35</v>
      </c>
      <c r="C129" s="602"/>
      <c r="D129" s="304">
        <f>上年PL审定!F40</f>
        <v>0</v>
      </c>
      <c r="E129" s="300">
        <f t="shared" si="16"/>
        <v>0</v>
      </c>
      <c r="F129" s="301">
        <f t="shared" si="17"/>
        <v>0</v>
      </c>
    </row>
    <row r="130" spans="1:6" s="636" customFormat="1" ht="13.7" customHeight="1">
      <c r="A130" s="992" t="str">
        <f>报表格式!L40</f>
        <v>三、利润总额（亏损总额以“－”号填列）</v>
      </c>
      <c r="B130" s="1000">
        <v>36</v>
      </c>
      <c r="C130" s="305">
        <f>SUM(C127)+SUM(C128)-SUM(C129)</f>
        <v>0</v>
      </c>
      <c r="D130" s="305">
        <f>SUM(D127)+SUM(D128)-SUM(D129)</f>
        <v>0</v>
      </c>
      <c r="E130" s="302">
        <f t="shared" si="16"/>
        <v>0</v>
      </c>
      <c r="F130" s="640">
        <f t="shared" si="17"/>
        <v>0</v>
      </c>
    </row>
    <row r="131" spans="1:6" ht="13.7" customHeight="1">
      <c r="A131" s="991" t="str">
        <f>报表格式!L41</f>
        <v xml:space="preserve">    减：所得税费用</v>
      </c>
      <c r="B131" s="1000">
        <v>37</v>
      </c>
      <c r="C131" s="602"/>
      <c r="D131" s="304">
        <f>上年PL审定!F42</f>
        <v>0</v>
      </c>
      <c r="E131" s="300">
        <f t="shared" si="16"/>
        <v>0</v>
      </c>
      <c r="F131" s="301">
        <f t="shared" si="17"/>
        <v>0</v>
      </c>
    </row>
    <row r="132" spans="1:6" ht="13.7" customHeight="1">
      <c r="A132" s="991">
        <f>报表格式!L42</f>
        <v>0</v>
      </c>
      <c r="B132" s="1000">
        <v>38</v>
      </c>
      <c r="C132" s="602"/>
      <c r="D132" s="304">
        <f>上年PL审定!F43</f>
        <v>0</v>
      </c>
      <c r="E132" s="300">
        <f t="shared" si="16"/>
        <v>0</v>
      </c>
      <c r="F132" s="301">
        <f t="shared" si="17"/>
        <v>0</v>
      </c>
    </row>
    <row r="133" spans="1:6" s="636" customFormat="1" ht="13.7" customHeight="1">
      <c r="A133" s="992" t="str">
        <f>报表格式!L43</f>
        <v>四、净利润（净亏损以“－”号填列）</v>
      </c>
      <c r="B133" s="1000">
        <v>39</v>
      </c>
      <c r="C133" s="305">
        <f>C130-C131-C132</f>
        <v>0</v>
      </c>
      <c r="D133" s="305">
        <f>D130-D131-D132</f>
        <v>0</v>
      </c>
      <c r="E133" s="302">
        <f t="shared" si="16"/>
        <v>0</v>
      </c>
      <c r="F133" s="640">
        <f t="shared" si="17"/>
        <v>0</v>
      </c>
    </row>
    <row r="134" spans="1:6" ht="13.7" customHeight="1">
      <c r="A134" s="991" t="str">
        <f>报表格式!L44</f>
        <v xml:space="preserve"> （一）按经营持续性分类</v>
      </c>
      <c r="B134" s="1000">
        <v>40</v>
      </c>
      <c r="C134" s="602"/>
      <c r="D134" s="749"/>
      <c r="E134" s="750"/>
      <c r="F134" s="751"/>
    </row>
    <row r="135" spans="1:6" ht="13.7" customHeight="1">
      <c r="A135" s="991" t="str">
        <f>报表格式!L45</f>
        <v xml:space="preserve">     其中：持续经营净利润（净亏损以“-”号填列）</v>
      </c>
      <c r="B135" s="1000">
        <v>41</v>
      </c>
      <c r="C135" s="602"/>
      <c r="D135" s="304">
        <f>上年PL审定!F46</f>
        <v>0</v>
      </c>
      <c r="E135" s="300">
        <f>ABS(F135)</f>
        <v>0</v>
      </c>
      <c r="F135" s="301">
        <f>C135-D135</f>
        <v>0</v>
      </c>
    </row>
    <row r="136" spans="1:6" ht="13.7" customHeight="1">
      <c r="A136" s="991" t="str">
        <f>报表格式!L46</f>
        <v xml:space="preserve">                 终止经营净利润（净亏损以“-”号填列）</v>
      </c>
      <c r="B136" s="1000">
        <v>42</v>
      </c>
      <c r="C136" s="602"/>
      <c r="D136" s="304">
        <f>上年PL审定!F47</f>
        <v>0</v>
      </c>
      <c r="E136" s="300">
        <f>ABS(F136)</f>
        <v>0</v>
      </c>
      <c r="F136" s="301">
        <f>C136-D136</f>
        <v>0</v>
      </c>
    </row>
    <row r="137" spans="1:6" ht="13.7" customHeight="1">
      <c r="A137" s="991" t="str">
        <f>报表格式!L47</f>
        <v xml:space="preserve"> （二）按所有权归属分类</v>
      </c>
      <c r="B137" s="1000">
        <v>43</v>
      </c>
      <c r="C137" s="602"/>
      <c r="D137" s="749"/>
      <c r="E137" s="750"/>
      <c r="F137" s="751"/>
    </row>
    <row r="138" spans="1:6" ht="13.7" customHeight="1">
      <c r="A138" s="991" t="str">
        <f>报表格式!L48</f>
        <v xml:space="preserve">     其中：归属于母公司股东的净利润（净亏损以“-”号填列）</v>
      </c>
      <c r="B138" s="1000">
        <v>44</v>
      </c>
      <c r="C138" s="602">
        <f>C133-C139</f>
        <v>0</v>
      </c>
      <c r="D138" s="749">
        <f>上年PL审定!F49</f>
        <v>0</v>
      </c>
      <c r="E138" s="750">
        <f t="shared" ref="E138:E161" si="22">ABS(F138)</f>
        <v>0</v>
      </c>
      <c r="F138" s="751">
        <f t="shared" ref="F138:F161" si="23">C138-D138</f>
        <v>0</v>
      </c>
    </row>
    <row r="139" spans="1:6" s="636" customFormat="1" ht="13.7" customHeight="1">
      <c r="A139" s="991" t="str">
        <f>报表格式!L49</f>
        <v xml:space="preserve">                少数股东损益（净亏损以“-”号填列）</v>
      </c>
      <c r="B139" s="1000">
        <v>45</v>
      </c>
      <c r="C139" s="602"/>
      <c r="D139" s="749">
        <f>上年PL审定!F50</f>
        <v>0</v>
      </c>
      <c r="E139" s="750">
        <f t="shared" si="22"/>
        <v>0</v>
      </c>
      <c r="F139" s="751">
        <f t="shared" si="23"/>
        <v>0</v>
      </c>
    </row>
    <row r="140" spans="1:6" ht="13.7" customHeight="1">
      <c r="A140" s="992" t="str">
        <f>报表格式!L50</f>
        <v>五、其他综合收益的税后净额</v>
      </c>
      <c r="B140" s="1000">
        <v>46</v>
      </c>
      <c r="C140" s="304">
        <f>C141+C160</f>
        <v>0</v>
      </c>
      <c r="D140" s="749">
        <f>上年PL审定!F51</f>
        <v>0</v>
      </c>
      <c r="E140" s="750">
        <f t="shared" si="22"/>
        <v>0</v>
      </c>
      <c r="F140" s="751">
        <f t="shared" si="23"/>
        <v>0</v>
      </c>
    </row>
    <row r="141" spans="1:6" ht="13.7" customHeight="1">
      <c r="A141" s="991" t="str">
        <f>报表格式!L51</f>
        <v>归属于母公司股东的其他综合收益的税后净额</v>
      </c>
      <c r="B141" s="1000">
        <v>47</v>
      </c>
      <c r="C141" s="602">
        <f>C142+C148</f>
        <v>0</v>
      </c>
      <c r="D141" s="749">
        <f>D142+D148</f>
        <v>0</v>
      </c>
      <c r="E141" s="750">
        <f t="shared" si="22"/>
        <v>0</v>
      </c>
      <c r="F141" s="751">
        <f t="shared" si="23"/>
        <v>0</v>
      </c>
    </row>
    <row r="142" spans="1:6" s="636" customFormat="1" ht="13.7" customHeight="1">
      <c r="A142" s="991" t="str">
        <f>报表格式!L52</f>
        <v xml:space="preserve">  （一）不能重分类进损益的其他综合收益</v>
      </c>
      <c r="B142" s="1000">
        <v>48</v>
      </c>
      <c r="C142" s="602">
        <f>SUM(C143:C147)</f>
        <v>0</v>
      </c>
      <c r="D142" s="749">
        <f>SUM(D143:D147)</f>
        <v>0</v>
      </c>
      <c r="E142" s="750">
        <f t="shared" si="22"/>
        <v>0</v>
      </c>
      <c r="F142" s="751">
        <f t="shared" si="23"/>
        <v>0</v>
      </c>
    </row>
    <row r="143" spans="1:6" ht="13.7" customHeight="1">
      <c r="A143" s="994" t="str">
        <f>报表格式!L53</f>
        <v>1.重新计量设定受益计划变动额</v>
      </c>
      <c r="B143" s="1000">
        <v>49</v>
      </c>
      <c r="C143" s="602"/>
      <c r="D143" s="749">
        <f>上年PL审定!F54</f>
        <v>0</v>
      </c>
      <c r="E143" s="750">
        <f t="shared" si="22"/>
        <v>0</v>
      </c>
      <c r="F143" s="751">
        <f t="shared" si="23"/>
        <v>0</v>
      </c>
    </row>
    <row r="144" spans="1:6" ht="13.7" customHeight="1">
      <c r="A144" s="994" t="str">
        <f>报表格式!L54</f>
        <v>2.权益法下不能转损益的其他综合收益</v>
      </c>
      <c r="B144" s="1000">
        <v>50</v>
      </c>
      <c r="C144" s="602"/>
      <c r="D144" s="761">
        <f>上年PL审定!F55</f>
        <v>0</v>
      </c>
      <c r="E144" s="762">
        <f t="shared" si="22"/>
        <v>0</v>
      </c>
      <c r="F144" s="763">
        <f t="shared" si="23"/>
        <v>0</v>
      </c>
    </row>
    <row r="145" spans="1:6" ht="13.7" customHeight="1">
      <c r="A145" s="994" t="str">
        <f>报表格式!L55</f>
        <v xml:space="preserve">3.其他权益工具投资公允价值变动 </v>
      </c>
      <c r="B145" s="1000">
        <v>51</v>
      </c>
      <c r="C145" s="602"/>
      <c r="D145" s="761">
        <f>上年PL审定!F56</f>
        <v>0</v>
      </c>
      <c r="E145" s="762">
        <f>ABS(F145)</f>
        <v>0</v>
      </c>
      <c r="F145" s="763">
        <f>C145-D145</f>
        <v>0</v>
      </c>
    </row>
    <row r="146" spans="1:6" ht="13.7" customHeight="1">
      <c r="A146" s="994" t="str">
        <f>报表格式!L56</f>
        <v xml:space="preserve">4.企业自身信用风险公允价值变动 </v>
      </c>
      <c r="B146" s="1000">
        <v>52</v>
      </c>
      <c r="C146" s="602"/>
      <c r="D146" s="761">
        <f>上年PL审定!F57</f>
        <v>0</v>
      </c>
      <c r="E146" s="762">
        <f>ABS(F146)</f>
        <v>0</v>
      </c>
      <c r="F146" s="763">
        <f>C146-D146</f>
        <v>0</v>
      </c>
    </row>
    <row r="147" spans="1:6" ht="13.7" customHeight="1">
      <c r="A147" s="994" t="str">
        <f>报表格式!L57</f>
        <v>5.其他</v>
      </c>
      <c r="B147" s="1000">
        <v>53</v>
      </c>
      <c r="C147" s="602"/>
      <c r="D147" s="749">
        <f>上年PL审定!F58</f>
        <v>0</v>
      </c>
      <c r="E147" s="750">
        <f t="shared" si="22"/>
        <v>0</v>
      </c>
      <c r="F147" s="751">
        <f t="shared" si="23"/>
        <v>0</v>
      </c>
    </row>
    <row r="148" spans="1:6" ht="13.7" customHeight="1">
      <c r="A148" s="991" t="str">
        <f>报表格式!L58</f>
        <v xml:space="preserve">  （二）将重分类进损益的其他综合收益</v>
      </c>
      <c r="B148" s="1000">
        <v>54</v>
      </c>
      <c r="C148" s="602">
        <f>SUM(C149:C159)</f>
        <v>0</v>
      </c>
      <c r="D148" s="749">
        <f>SUM(D149:D159)</f>
        <v>0</v>
      </c>
      <c r="E148" s="750">
        <f t="shared" si="22"/>
        <v>0</v>
      </c>
      <c r="F148" s="751">
        <f t="shared" si="23"/>
        <v>0</v>
      </c>
    </row>
    <row r="149" spans="1:6" ht="13.7" customHeight="1">
      <c r="A149" s="994" t="str">
        <f>报表格式!L59</f>
        <v>1.权益法下可转损益的其他综合收益</v>
      </c>
      <c r="B149" s="1000">
        <v>55</v>
      </c>
      <c r="C149" s="602"/>
      <c r="D149" s="749">
        <f>上年PL审定!F60</f>
        <v>0</v>
      </c>
      <c r="E149" s="750">
        <f t="shared" si="22"/>
        <v>0</v>
      </c>
      <c r="F149" s="751">
        <f t="shared" si="23"/>
        <v>0</v>
      </c>
    </row>
    <row r="150" spans="1:6" ht="13.7" customHeight="1">
      <c r="A150" s="994" t="str">
        <f>报表格式!L60</f>
        <v xml:space="preserve">2.其他债权投资公允价值变动 </v>
      </c>
      <c r="B150" s="1000">
        <v>56</v>
      </c>
      <c r="C150" s="602"/>
      <c r="D150" s="749">
        <f>上年PL审定!F61</f>
        <v>0</v>
      </c>
      <c r="E150" s="750">
        <f t="shared" ref="E150:E153" si="24">ABS(F150)</f>
        <v>0</v>
      </c>
      <c r="F150" s="751">
        <f t="shared" ref="F150:F153" si="25">C150-D150</f>
        <v>0</v>
      </c>
    </row>
    <row r="151" spans="1:6" ht="13.7" customHeight="1">
      <c r="A151" s="994" t="str">
        <f>报表格式!L61</f>
        <v>3.可供出售金融资产公允价值变动损益</v>
      </c>
      <c r="B151" s="1000">
        <v>57</v>
      </c>
      <c r="C151" s="602"/>
      <c r="D151" s="749">
        <f>上年PL审定!F62</f>
        <v>0</v>
      </c>
      <c r="E151" s="750">
        <f t="shared" si="24"/>
        <v>0</v>
      </c>
      <c r="F151" s="751">
        <f t="shared" si="25"/>
        <v>0</v>
      </c>
    </row>
    <row r="152" spans="1:6" ht="13.7" customHeight="1">
      <c r="A152" s="994" t="str">
        <f>报表格式!L62</f>
        <v xml:space="preserve">4.金融资产重分类计入其他综合收益的金额 </v>
      </c>
      <c r="B152" s="1000">
        <v>58</v>
      </c>
      <c r="C152" s="602"/>
      <c r="D152" s="749">
        <f>上年PL审定!F63</f>
        <v>0</v>
      </c>
      <c r="E152" s="750">
        <f t="shared" si="24"/>
        <v>0</v>
      </c>
      <c r="F152" s="751">
        <f t="shared" si="25"/>
        <v>0</v>
      </c>
    </row>
    <row r="153" spans="1:6" ht="13.7" customHeight="1">
      <c r="A153" s="994" t="str">
        <f>报表格式!L63</f>
        <v>5.持有至到期投资重分类为可供出售金融资产损益</v>
      </c>
      <c r="B153" s="1000">
        <v>59</v>
      </c>
      <c r="C153" s="602"/>
      <c r="D153" s="749">
        <f>上年PL审定!F64</f>
        <v>0</v>
      </c>
      <c r="E153" s="750">
        <f t="shared" si="24"/>
        <v>0</v>
      </c>
      <c r="F153" s="751">
        <f t="shared" si="25"/>
        <v>0</v>
      </c>
    </row>
    <row r="154" spans="1:6" ht="13.7" customHeight="1">
      <c r="A154" s="994" t="str">
        <f>报表格式!L64</f>
        <v>6.其他债权投资信用减值准备</v>
      </c>
      <c r="B154" s="1000">
        <v>60</v>
      </c>
      <c r="C154" s="602"/>
      <c r="D154" s="749">
        <f>上年PL审定!F65</f>
        <v>0</v>
      </c>
      <c r="E154" s="750">
        <f>ABS(F154)</f>
        <v>0</v>
      </c>
      <c r="F154" s="751">
        <f>C154-D154</f>
        <v>0</v>
      </c>
    </row>
    <row r="155" spans="1:6" ht="13.7" customHeight="1">
      <c r="A155" s="994" t="str">
        <f>报表格式!L65</f>
        <v>7.现金流量套期储备</v>
      </c>
      <c r="B155" s="1000">
        <v>61</v>
      </c>
      <c r="C155" s="602"/>
      <c r="D155" s="749">
        <f>上年PL审定!F66</f>
        <v>0</v>
      </c>
      <c r="E155" s="750">
        <f t="shared" si="22"/>
        <v>0</v>
      </c>
      <c r="F155" s="751">
        <f t="shared" si="23"/>
        <v>0</v>
      </c>
    </row>
    <row r="156" spans="1:6" ht="13.7" customHeight="1">
      <c r="A156" s="994" t="str">
        <f>报表格式!L66</f>
        <v>8.外币财务报表折算差额</v>
      </c>
      <c r="B156" s="1000">
        <v>62</v>
      </c>
      <c r="C156" s="602"/>
      <c r="D156" s="749">
        <f>上年PL审定!F67</f>
        <v>0</v>
      </c>
      <c r="E156" s="750">
        <f t="shared" si="22"/>
        <v>0</v>
      </c>
      <c r="F156" s="751">
        <f t="shared" si="23"/>
        <v>0</v>
      </c>
    </row>
    <row r="157" spans="1:6" ht="13.7" customHeight="1">
      <c r="A157" s="994" t="str">
        <f>报表格式!L67</f>
        <v>9.自用房地产或作为存货的房地产转换为以公允价值计量的投资性房地产在转换日公允价值大于账面价值部分</v>
      </c>
      <c r="B157" s="1000">
        <v>63</v>
      </c>
      <c r="C157" s="602"/>
      <c r="D157" s="749">
        <f>上年PL审定!F68</f>
        <v>0</v>
      </c>
      <c r="E157" s="750">
        <f t="shared" si="22"/>
        <v>0</v>
      </c>
      <c r="F157" s="751">
        <f t="shared" si="23"/>
        <v>0</v>
      </c>
    </row>
    <row r="158" spans="1:6" ht="13.7" customHeight="1">
      <c r="A158" s="994" t="str">
        <f>报表格式!L68</f>
        <v>10.多次交易分步处置子公司股权构成一揽子交易的，丧失控制权之前各次交易处置价款与对应净资产账面价值份额的差额</v>
      </c>
      <c r="B158" s="1000">
        <v>64</v>
      </c>
      <c r="C158" s="602"/>
      <c r="D158" s="749">
        <f>上年PL审定!F69</f>
        <v>0</v>
      </c>
      <c r="E158" s="750">
        <f t="shared" si="22"/>
        <v>0</v>
      </c>
      <c r="F158" s="751">
        <f t="shared" si="23"/>
        <v>0</v>
      </c>
    </row>
    <row r="159" spans="1:6" ht="13.7" customHeight="1">
      <c r="A159" s="994" t="str">
        <f>报表格式!L69</f>
        <v>11.其他</v>
      </c>
      <c r="B159" s="1000">
        <v>65</v>
      </c>
      <c r="C159" s="602"/>
      <c r="D159" s="749">
        <f>上年PL审定!F70</f>
        <v>0</v>
      </c>
      <c r="E159" s="750">
        <f t="shared" si="22"/>
        <v>0</v>
      </c>
      <c r="F159" s="751">
        <f t="shared" si="23"/>
        <v>0</v>
      </c>
    </row>
    <row r="160" spans="1:6">
      <c r="A160" s="991" t="str">
        <f>报表格式!L70</f>
        <v>归属于少数股东的其他综合收益的税后净额</v>
      </c>
      <c r="B160" s="1000">
        <v>66</v>
      </c>
      <c r="C160" s="602"/>
      <c r="D160" s="749">
        <f>上年PL审定!F71</f>
        <v>0</v>
      </c>
      <c r="E160" s="750">
        <f t="shared" si="22"/>
        <v>0</v>
      </c>
      <c r="F160" s="751">
        <f t="shared" si="23"/>
        <v>0</v>
      </c>
    </row>
    <row r="161" spans="1:6">
      <c r="A161" s="992" t="str">
        <f>报表格式!L71</f>
        <v>六、综合收益总额</v>
      </c>
      <c r="B161" s="1000">
        <v>67</v>
      </c>
      <c r="C161" s="749">
        <f>C133+C140</f>
        <v>0</v>
      </c>
      <c r="D161" s="749">
        <f>D133+D140</f>
        <v>0</v>
      </c>
      <c r="E161" s="750">
        <f t="shared" si="22"/>
        <v>0</v>
      </c>
      <c r="F161" s="751">
        <f t="shared" si="23"/>
        <v>0</v>
      </c>
    </row>
    <row r="162" spans="1:6">
      <c r="A162" s="991" t="str">
        <f>报表格式!L72</f>
        <v xml:space="preserve">     归属于母公司股东的综合收益总额</v>
      </c>
      <c r="B162" s="1000">
        <v>68</v>
      </c>
      <c r="C162" s="602">
        <f>C138+C141</f>
        <v>0</v>
      </c>
      <c r="D162" s="749">
        <f>D138+D141</f>
        <v>0</v>
      </c>
      <c r="E162" s="750">
        <f>ABS(F162)</f>
        <v>0</v>
      </c>
      <c r="F162" s="751">
        <f>C162-D162</f>
        <v>0</v>
      </c>
    </row>
    <row r="163" spans="1:6">
      <c r="A163" s="991" t="str">
        <f>报表格式!L73</f>
        <v xml:space="preserve">     归属于少数股东的综合收益总额</v>
      </c>
      <c r="B163" s="1000">
        <v>69</v>
      </c>
      <c r="C163" s="764">
        <f>C139+C160</f>
        <v>0</v>
      </c>
      <c r="D163" s="749">
        <f>D139+D160</f>
        <v>0</v>
      </c>
      <c r="E163" s="750">
        <f>ABS(F163)</f>
        <v>0</v>
      </c>
      <c r="F163" s="751">
        <f>C163-D163</f>
        <v>0</v>
      </c>
    </row>
    <row r="164" spans="1:6">
      <c r="A164" s="991" t="str">
        <f>报表格式!L74</f>
        <v>七、每股收益</v>
      </c>
      <c r="B164" s="1000">
        <v>70</v>
      </c>
      <c r="C164" s="764"/>
      <c r="D164" s="749">
        <f>上年PL审定!F75</f>
        <v>0</v>
      </c>
      <c r="E164" s="750">
        <f>ABS(F164)</f>
        <v>0</v>
      </c>
      <c r="F164" s="751">
        <f>C164-D164</f>
        <v>0</v>
      </c>
    </row>
    <row r="165" spans="1:6">
      <c r="A165" s="991" t="str">
        <f>报表格式!L75</f>
        <v xml:space="preserve">   （一）基本每股收益</v>
      </c>
      <c r="B165" s="1000">
        <v>71</v>
      </c>
      <c r="C165" s="602"/>
      <c r="D165" s="749">
        <f>上年PL审定!F76</f>
        <v>0</v>
      </c>
      <c r="E165" s="750">
        <f>ABS(F165)</f>
        <v>0</v>
      </c>
      <c r="F165" s="751">
        <f>C165-D165</f>
        <v>0</v>
      </c>
    </row>
    <row r="166" spans="1:6">
      <c r="A166" s="991" t="str">
        <f>报表格式!L76</f>
        <v xml:space="preserve">   （二）稀释每股收益</v>
      </c>
      <c r="B166" s="1000">
        <v>72</v>
      </c>
      <c r="C166" s="602"/>
      <c r="D166" s="749">
        <f>上年PL审定!F77</f>
        <v>0</v>
      </c>
      <c r="E166" s="750">
        <f>ABS(F166)</f>
        <v>0</v>
      </c>
      <c r="F166" s="751">
        <f>C166-D166</f>
        <v>0</v>
      </c>
    </row>
    <row r="167" spans="1:6" s="280" customFormat="1">
      <c r="A167" s="992" t="str">
        <f>报表格式!L77</f>
        <v>八、利润分配</v>
      </c>
      <c r="B167" s="1000">
        <v>73</v>
      </c>
      <c r="C167" s="602"/>
      <c r="D167" s="749">
        <f>上年PL审定!F78</f>
        <v>0</v>
      </c>
      <c r="E167" s="750">
        <f t="shared" ref="E167:E178" si="26">ABS(F167)</f>
        <v>0</v>
      </c>
      <c r="F167" s="751">
        <f t="shared" ref="F167:F178" si="27">C167-D167</f>
        <v>0</v>
      </c>
    </row>
    <row r="168" spans="1:6" s="280" customFormat="1">
      <c r="A168" s="991" t="str">
        <f>报表格式!L78</f>
        <v xml:space="preserve">   （一）年初未分配利润</v>
      </c>
      <c r="B168" s="1000">
        <v>74</v>
      </c>
      <c r="C168" s="602"/>
      <c r="D168" s="749">
        <f>上年PL审定!F79</f>
        <v>0</v>
      </c>
      <c r="E168" s="750">
        <f t="shared" si="26"/>
        <v>0</v>
      </c>
      <c r="F168" s="751">
        <f t="shared" si="27"/>
        <v>0</v>
      </c>
    </row>
    <row r="169" spans="1:6" s="280" customFormat="1">
      <c r="A169" s="991" t="str">
        <f>报表格式!L79</f>
        <v xml:space="preserve">   （二）可供分配的利润</v>
      </c>
      <c r="B169" s="1000">
        <v>75</v>
      </c>
      <c r="C169" s="602">
        <f>C138+C168</f>
        <v>0</v>
      </c>
      <c r="D169" s="749">
        <f>D138+D168</f>
        <v>0</v>
      </c>
      <c r="E169" s="750">
        <f t="shared" si="26"/>
        <v>0</v>
      </c>
      <c r="F169" s="751">
        <f t="shared" si="27"/>
        <v>0</v>
      </c>
    </row>
    <row r="170" spans="1:6" s="280" customFormat="1">
      <c r="A170" s="991" t="str">
        <f>报表格式!L80</f>
        <v xml:space="preserve">    1、提取法定盈余公积</v>
      </c>
      <c r="B170" s="1000">
        <v>76</v>
      </c>
      <c r="C170" s="602"/>
      <c r="D170" s="749">
        <f>上年PL审定!F81</f>
        <v>0</v>
      </c>
      <c r="E170" s="750">
        <f t="shared" si="26"/>
        <v>0</v>
      </c>
      <c r="F170" s="751">
        <f t="shared" si="27"/>
        <v>0</v>
      </c>
    </row>
    <row r="171" spans="1:6" s="280" customFormat="1">
      <c r="A171" s="991" t="str">
        <f>报表格式!L81</f>
        <v xml:space="preserve">    2、其他</v>
      </c>
      <c r="B171" s="1000">
        <v>77</v>
      </c>
      <c r="C171" s="602"/>
      <c r="D171" s="749">
        <f>上年PL审定!F82</f>
        <v>0</v>
      </c>
      <c r="E171" s="750">
        <f t="shared" si="26"/>
        <v>0</v>
      </c>
      <c r="F171" s="751">
        <f t="shared" si="27"/>
        <v>0</v>
      </c>
    </row>
    <row r="172" spans="1:6" s="280" customFormat="1">
      <c r="A172" s="991" t="str">
        <f>报表格式!L82</f>
        <v xml:space="preserve">   （三）可供投资者分配的利润</v>
      </c>
      <c r="B172" s="1000">
        <v>78</v>
      </c>
      <c r="C172" s="602">
        <f>C169-C170-C171</f>
        <v>0</v>
      </c>
      <c r="D172" s="749">
        <f>D169-D170-D171</f>
        <v>0</v>
      </c>
      <c r="E172" s="750">
        <f t="shared" si="26"/>
        <v>0</v>
      </c>
      <c r="F172" s="751">
        <f t="shared" si="27"/>
        <v>0</v>
      </c>
    </row>
    <row r="173" spans="1:6" s="280" customFormat="1">
      <c r="A173" s="991" t="str">
        <f>报表格式!L83</f>
        <v xml:space="preserve">    1、应付优先股股利</v>
      </c>
      <c r="B173" s="1000">
        <v>79</v>
      </c>
      <c r="C173" s="602"/>
      <c r="D173" s="749">
        <f>上年PL审定!F84</f>
        <v>0</v>
      </c>
      <c r="E173" s="750">
        <f t="shared" si="26"/>
        <v>0</v>
      </c>
      <c r="F173" s="751">
        <f t="shared" si="27"/>
        <v>0</v>
      </c>
    </row>
    <row r="174" spans="1:6" s="280" customFormat="1">
      <c r="A174" s="991" t="str">
        <f>报表格式!L84</f>
        <v xml:space="preserve">    2、提取任意盈余公积</v>
      </c>
      <c r="B174" s="1000">
        <v>80</v>
      </c>
      <c r="C174" s="602"/>
      <c r="D174" s="749">
        <f>上年PL审定!F85</f>
        <v>0</v>
      </c>
      <c r="E174" s="750">
        <f t="shared" si="26"/>
        <v>0</v>
      </c>
      <c r="F174" s="751">
        <f t="shared" si="27"/>
        <v>0</v>
      </c>
    </row>
    <row r="175" spans="1:6" s="280" customFormat="1">
      <c r="A175" s="991" t="str">
        <f>报表格式!L85</f>
        <v xml:space="preserve">    3、应付普通股股利（应付利润）</v>
      </c>
      <c r="B175" s="1000">
        <v>81</v>
      </c>
      <c r="C175" s="602"/>
      <c r="D175" s="749">
        <f>上年PL审定!F86</f>
        <v>0</v>
      </c>
      <c r="E175" s="750">
        <f t="shared" si="26"/>
        <v>0</v>
      </c>
      <c r="F175" s="751">
        <f t="shared" si="27"/>
        <v>0</v>
      </c>
    </row>
    <row r="176" spans="1:6" s="280" customFormat="1">
      <c r="A176" s="991" t="str">
        <f>报表格式!L86</f>
        <v xml:space="preserve">    4、转作资本（或股本）的普通股股利</v>
      </c>
      <c r="B176" s="1000">
        <v>82</v>
      </c>
      <c r="C176" s="602"/>
      <c r="D176" s="749">
        <f>上年PL审定!F87</f>
        <v>0</v>
      </c>
      <c r="E176" s="750">
        <f t="shared" si="26"/>
        <v>0</v>
      </c>
      <c r="F176" s="751">
        <f t="shared" si="27"/>
        <v>0</v>
      </c>
    </row>
    <row r="177" spans="1:6" s="280" customFormat="1">
      <c r="A177" s="991" t="str">
        <f>报表格式!L87</f>
        <v xml:space="preserve">    5、其他</v>
      </c>
      <c r="B177" s="1000">
        <v>83</v>
      </c>
      <c r="C177" s="602"/>
      <c r="D177" s="749">
        <f>上年PL审定!F88</f>
        <v>0</v>
      </c>
      <c r="E177" s="750">
        <f t="shared" si="26"/>
        <v>0</v>
      </c>
      <c r="F177" s="751">
        <f t="shared" si="27"/>
        <v>0</v>
      </c>
    </row>
    <row r="178" spans="1:6" s="280" customFormat="1">
      <c r="A178" s="995" t="str">
        <f>报表格式!L88</f>
        <v>九、未分配利润</v>
      </c>
      <c r="B178" s="1001">
        <v>84</v>
      </c>
      <c r="C178" s="775">
        <f>C172-SUM(C173:C177)</f>
        <v>0</v>
      </c>
      <c r="D178" s="779">
        <f>D172-SUM(D173:D177)</f>
        <v>0</v>
      </c>
      <c r="E178" s="780">
        <f t="shared" si="26"/>
        <v>0</v>
      </c>
      <c r="F178" s="781">
        <f t="shared" si="27"/>
        <v>0</v>
      </c>
    </row>
  </sheetData>
  <sheetProtection formatCells="0" insertRows="0" autoFilter="0" pivotTables="0"/>
  <mergeCells count="6">
    <mergeCell ref="A92:B92"/>
    <mergeCell ref="B93:C93"/>
    <mergeCell ref="A2:F2"/>
    <mergeCell ref="A3:B3"/>
    <mergeCell ref="B4:C4"/>
    <mergeCell ref="A91:F91"/>
  </mergeCells>
  <phoneticPr fontId="3" type="noConversion"/>
  <conditionalFormatting sqref="A94">
    <cfRule type="cellIs" dxfId="51" priority="1" stopIfTrue="1" operator="equal">
      <formula>"母公司明细项目不符！"</formula>
    </cfRule>
  </conditionalFormatting>
  <conditionalFormatting sqref="A5">
    <cfRule type="cellIs" dxfId="50" priority="2" stopIfTrue="1" operator="equal">
      <formula>"合并明细项目不符！"</formula>
    </cfRule>
  </conditionalFormatting>
  <conditionalFormatting sqref="C1">
    <cfRule type="cellIs" dxfId="49" priority="3" stopIfTrue="1" operator="equal">
      <formula>"期初母公司金额核对不符！"</formula>
    </cfRule>
    <cfRule type="cellIs" dxfId="48" priority="4" stopIfTrue="1" operator="equal">
      <formula>"期初母公司金额核对一致"</formula>
    </cfRule>
  </conditionalFormatting>
  <conditionalFormatting sqref="A1">
    <cfRule type="cellIs" dxfId="47" priority="5" stopIfTrue="1" operator="equal">
      <formula>"期初合并金额核对不符！"</formula>
    </cfRule>
    <cfRule type="cellIs" dxfId="46" priority="6" stopIfTrue="1" operator="equal">
      <formula>"期初合并金额核对一致"</formula>
    </cfRule>
  </conditionalFormatting>
  <printOptions horizontalCentered="1" verticalCentered="1"/>
  <pageMargins left="0.39370078740157483" right="0.31496062992125984" top="0.39370078740157483" bottom="0.31496062992125984" header="0.23622047244094491" footer="0.19685039370078741"/>
  <pageSetup paperSize="9" scale="74" orientation="portrait" blackAndWhite="1" r:id="rId1"/>
  <headerFooter alignWithMargins="0"/>
  <rowBreaks count="1" manualBreakCount="1">
    <brk id="9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indexed="38"/>
    <pageSetUpPr fitToPage="1"/>
  </sheetPr>
  <dimension ref="A1:O132"/>
  <sheetViews>
    <sheetView showZeros="0" workbookViewId="0">
      <pane xSplit="2" ySplit="5" topLeftCell="C6" activePane="bottomRight" state="frozen"/>
      <selection activeCell="H6" sqref="H6"/>
      <selection pane="topRight" activeCell="H6" sqref="H6"/>
      <selection pane="bottomLeft" activeCell="H6" sqref="H6"/>
      <selection pane="bottomRight" activeCell="D119" sqref="D119"/>
    </sheetView>
  </sheetViews>
  <sheetFormatPr defaultColWidth="9" defaultRowHeight="12.75"/>
  <cols>
    <col min="1" max="1" width="24.375" style="1003" customWidth="1"/>
    <col min="2" max="3" width="13.625" style="383" customWidth="1"/>
    <col min="4" max="4" width="13" style="383" bestFit="1" customWidth="1"/>
    <col min="5" max="14" width="9" style="383"/>
    <col min="15" max="15" width="8.875" style="435" customWidth="1"/>
    <col min="16" max="16384" width="9" style="383"/>
  </cols>
  <sheetData>
    <row r="1" spans="1:15" customFormat="1" ht="18.75">
      <c r="A1" s="1002" t="s">
        <v>115</v>
      </c>
      <c r="B1" s="383"/>
      <c r="C1" s="383"/>
      <c r="D1" s="383"/>
      <c r="E1" s="383"/>
      <c r="F1" s="383"/>
      <c r="G1" s="383"/>
      <c r="H1" s="383"/>
      <c r="I1" s="383"/>
      <c r="J1" s="383"/>
      <c r="K1" s="383"/>
      <c r="L1" s="383"/>
      <c r="M1" s="383"/>
      <c r="N1" s="383"/>
      <c r="O1" s="435"/>
    </row>
    <row r="2" spans="1:15" customFormat="1" ht="15">
      <c r="A2" s="1003" t="str">
        <f>CONCATENATE("客户名称：",说明!E23)</f>
        <v>客户名称：</v>
      </c>
      <c r="B2" s="383"/>
      <c r="C2" s="383"/>
      <c r="D2" s="383"/>
      <c r="E2" s="383"/>
      <c r="F2" s="383"/>
      <c r="G2" s="383"/>
      <c r="H2" s="383"/>
      <c r="I2" s="383"/>
      <c r="J2" s="383"/>
      <c r="K2" s="383"/>
      <c r="L2" s="383"/>
      <c r="M2" s="383"/>
      <c r="N2" s="383"/>
      <c r="O2" s="435"/>
    </row>
    <row r="3" spans="1:15" customFormat="1" ht="15">
      <c r="A3" s="1003" t="str">
        <f>CONCATENATE("会计时点：",TEXT(说明!E32,"yyyy.mm.dd"))</f>
        <v>会计时点：2019.12.31</v>
      </c>
      <c r="B3" s="383"/>
      <c r="C3" s="383"/>
      <c r="D3" s="383"/>
      <c r="E3" s="383"/>
      <c r="F3" s="383"/>
      <c r="G3" s="383"/>
      <c r="H3" s="383"/>
      <c r="I3" s="383"/>
      <c r="J3" s="383"/>
      <c r="K3" s="383"/>
      <c r="L3" s="383"/>
      <c r="M3" s="383"/>
      <c r="N3" s="383"/>
      <c r="O3" s="435"/>
    </row>
    <row r="4" spans="1:15" s="1021" customFormat="1" ht="15">
      <c r="A4" s="1004"/>
      <c r="B4" s="1004"/>
      <c r="C4" s="1004"/>
      <c r="D4" s="1004">
        <v>1</v>
      </c>
      <c r="E4" s="1004">
        <v>2</v>
      </c>
      <c r="F4" s="1004">
        <v>3</v>
      </c>
      <c r="G4" s="1004">
        <v>4</v>
      </c>
      <c r="H4" s="1004">
        <v>5</v>
      </c>
      <c r="I4" s="1004">
        <v>6</v>
      </c>
      <c r="J4" s="1004">
        <v>7</v>
      </c>
      <c r="K4" s="1004">
        <v>8</v>
      </c>
      <c r="L4" s="1004">
        <v>9</v>
      </c>
      <c r="M4" s="1004">
        <v>10</v>
      </c>
      <c r="N4" s="1004"/>
      <c r="O4" s="1020"/>
    </row>
    <row r="5" spans="1:15" customFormat="1" ht="15">
      <c r="A5" s="1022" t="str">
        <f>报表格式!B4</f>
        <v>报表项目</v>
      </c>
      <c r="B5" s="404" t="s">
        <v>484</v>
      </c>
      <c r="C5" s="405" t="s">
        <v>482</v>
      </c>
      <c r="D5" s="406" t="s">
        <v>485</v>
      </c>
      <c r="E5" s="406" t="s">
        <v>486</v>
      </c>
      <c r="F5" s="406" t="s">
        <v>487</v>
      </c>
      <c r="G5" s="406" t="s">
        <v>488</v>
      </c>
      <c r="H5" s="406" t="s">
        <v>489</v>
      </c>
      <c r="I5" s="406" t="s">
        <v>490</v>
      </c>
      <c r="J5" s="406" t="s">
        <v>491</v>
      </c>
      <c r="K5" s="406" t="s">
        <v>492</v>
      </c>
      <c r="L5" s="406" t="s">
        <v>493</v>
      </c>
      <c r="M5" s="406" t="s">
        <v>494</v>
      </c>
      <c r="N5" s="406"/>
      <c r="O5" s="436" t="s">
        <v>495</v>
      </c>
    </row>
    <row r="6" spans="1:15" customFormat="1" ht="15">
      <c r="A6" s="1023" t="str">
        <f>报表格式!B5</f>
        <v>流动资产：</v>
      </c>
      <c r="B6" s="414"/>
      <c r="C6" s="414"/>
      <c r="D6" s="414"/>
      <c r="E6" s="414"/>
      <c r="F6" s="414"/>
      <c r="G6" s="414"/>
      <c r="H6" s="414"/>
      <c r="I6" s="414"/>
      <c r="J6" s="414"/>
      <c r="K6" s="414"/>
      <c r="L6" s="414"/>
      <c r="M6" s="414"/>
      <c r="N6" s="414"/>
      <c r="O6" s="415"/>
    </row>
    <row r="7" spans="1:15" customFormat="1" ht="15">
      <c r="A7" s="1024" t="str">
        <f>报表格式!B6</f>
        <v>货币资金</v>
      </c>
      <c r="B7" s="393">
        <f t="shared" ref="B7:B31" si="0">SUM(C7:O7)</f>
        <v>0</v>
      </c>
      <c r="C7" s="393"/>
      <c r="D7" s="393"/>
      <c r="E7" s="393"/>
      <c r="F7" s="393"/>
      <c r="G7" s="393"/>
      <c r="H7" s="393"/>
      <c r="I7" s="393"/>
      <c r="J7" s="393"/>
      <c r="K7" s="393"/>
      <c r="L7" s="393"/>
      <c r="M7" s="393"/>
      <c r="N7" s="393"/>
      <c r="O7" s="394"/>
    </row>
    <row r="8" spans="1:15" customFormat="1" ht="15">
      <c r="A8" s="1024" t="str">
        <f>报表格式!B7</f>
        <v>结算备付金</v>
      </c>
      <c r="B8" s="393">
        <f t="shared" ref="B8:B9" si="1">SUM(C8:O8)</f>
        <v>0</v>
      </c>
      <c r="C8" s="393"/>
      <c r="D8" s="393"/>
      <c r="E8" s="393"/>
      <c r="F8" s="393"/>
      <c r="G8" s="393"/>
      <c r="H8" s="393"/>
      <c r="I8" s="393"/>
      <c r="J8" s="393"/>
      <c r="K8" s="393"/>
      <c r="L8" s="393"/>
      <c r="M8" s="393"/>
      <c r="N8" s="393"/>
      <c r="O8" s="394"/>
    </row>
    <row r="9" spans="1:15" customFormat="1" ht="15">
      <c r="A9" s="1024" t="str">
        <f>报表格式!B8</f>
        <v>拆出资金</v>
      </c>
      <c r="B9" s="393">
        <f t="shared" si="1"/>
        <v>0</v>
      </c>
      <c r="C9" s="393"/>
      <c r="D9" s="393"/>
      <c r="E9" s="393"/>
      <c r="F9" s="393"/>
      <c r="G9" s="393"/>
      <c r="H9" s="393"/>
      <c r="I9" s="393"/>
      <c r="J9" s="393"/>
      <c r="K9" s="393"/>
      <c r="L9" s="393"/>
      <c r="M9" s="393"/>
      <c r="N9" s="393"/>
      <c r="O9" s="394"/>
    </row>
    <row r="10" spans="1:15" customFormat="1" ht="15">
      <c r="A10" s="1024" t="str">
        <f>报表格式!B9</f>
        <v>交易性金融资产</v>
      </c>
      <c r="B10" s="393">
        <f>SUM(C10:O10)</f>
        <v>0</v>
      </c>
      <c r="C10" s="393"/>
      <c r="D10" s="393"/>
      <c r="E10" s="393"/>
      <c r="F10" s="393"/>
      <c r="G10" s="393"/>
      <c r="H10" s="393"/>
      <c r="I10" s="393"/>
      <c r="J10" s="393"/>
      <c r="K10" s="393"/>
      <c r="L10" s="393"/>
      <c r="M10" s="393"/>
      <c r="N10" s="393"/>
      <c r="O10" s="394"/>
    </row>
    <row r="11" spans="1:15" customFormat="1" ht="15">
      <c r="A11" s="1024" t="str">
        <f>报表格式!B10</f>
        <v>以公允价值计量且其变动计入当期损益的金融资产</v>
      </c>
      <c r="B11" s="393">
        <f>SUM(C11:O11)</f>
        <v>0</v>
      </c>
      <c r="C11" s="393"/>
      <c r="D11" s="393"/>
      <c r="E11" s="393"/>
      <c r="F11" s="393"/>
      <c r="G11" s="393"/>
      <c r="H11" s="393"/>
      <c r="I11" s="393"/>
      <c r="J11" s="393"/>
      <c r="K11" s="393"/>
      <c r="L11" s="393"/>
      <c r="M11" s="393"/>
      <c r="N11" s="393"/>
      <c r="O11" s="394"/>
    </row>
    <row r="12" spans="1:15" customFormat="1" ht="15">
      <c r="A12" s="1024" t="str">
        <f>报表格式!B11</f>
        <v>衍生金融资产</v>
      </c>
      <c r="B12" s="393">
        <f>SUM(C12:O12)</f>
        <v>0</v>
      </c>
      <c r="C12" s="393"/>
      <c r="D12" s="393"/>
      <c r="E12" s="393"/>
      <c r="F12" s="393"/>
      <c r="G12" s="393"/>
      <c r="H12" s="393"/>
      <c r="I12" s="393"/>
      <c r="J12" s="393"/>
      <c r="K12" s="393"/>
      <c r="L12" s="393"/>
      <c r="M12" s="393"/>
      <c r="N12" s="393"/>
      <c r="O12" s="394"/>
    </row>
    <row r="13" spans="1:15" customFormat="1" ht="15">
      <c r="A13" s="1024" t="str">
        <f>报表格式!B12</f>
        <v>应收票据</v>
      </c>
      <c r="B13" s="393">
        <f t="shared" si="0"/>
        <v>0</v>
      </c>
      <c r="C13" s="393"/>
      <c r="D13" s="393"/>
      <c r="E13" s="393"/>
      <c r="F13" s="393"/>
      <c r="G13" s="393"/>
      <c r="H13" s="393"/>
      <c r="I13" s="393"/>
      <c r="J13" s="393"/>
      <c r="K13" s="393"/>
      <c r="L13" s="393"/>
      <c r="M13" s="393"/>
      <c r="N13" s="393"/>
      <c r="O13" s="394"/>
    </row>
    <row r="14" spans="1:15" customFormat="1" ht="15">
      <c r="A14" s="1024" t="str">
        <f>报表格式!B13</f>
        <v>应收账款</v>
      </c>
      <c r="B14" s="393">
        <f t="shared" ref="B14:B15" si="2">SUM(C14:O14)</f>
        <v>0</v>
      </c>
      <c r="C14" s="393"/>
      <c r="D14" s="393"/>
      <c r="E14" s="393"/>
      <c r="F14" s="393"/>
      <c r="G14" s="393"/>
      <c r="H14" s="393"/>
      <c r="I14" s="393"/>
      <c r="J14" s="393"/>
      <c r="K14" s="393"/>
      <c r="L14" s="393"/>
      <c r="M14" s="393"/>
      <c r="N14" s="393"/>
      <c r="O14" s="394"/>
    </row>
    <row r="15" spans="1:15" customFormat="1" ht="15">
      <c r="A15" s="1024" t="str">
        <f>报表格式!B14</f>
        <v>应收款项融资</v>
      </c>
      <c r="B15" s="393">
        <f t="shared" si="2"/>
        <v>0</v>
      </c>
      <c r="C15" s="393"/>
      <c r="D15" s="393"/>
      <c r="E15" s="393"/>
      <c r="F15" s="393"/>
      <c r="G15" s="393"/>
      <c r="H15" s="393"/>
      <c r="I15" s="393"/>
      <c r="J15" s="393"/>
      <c r="K15" s="393"/>
      <c r="L15" s="393"/>
      <c r="M15" s="393"/>
      <c r="N15" s="393"/>
      <c r="O15" s="394"/>
    </row>
    <row r="16" spans="1:15" customFormat="1" ht="15">
      <c r="A16" s="1024" t="str">
        <f>报表格式!B15</f>
        <v>预付款项</v>
      </c>
      <c r="B16" s="393">
        <f>SUM(C16:O16)</f>
        <v>0</v>
      </c>
      <c r="C16" s="393"/>
      <c r="D16" s="393"/>
      <c r="E16" s="393"/>
      <c r="F16" s="393"/>
      <c r="G16" s="393"/>
      <c r="H16" s="393"/>
      <c r="I16" s="393"/>
      <c r="J16" s="393"/>
      <c r="K16" s="393"/>
      <c r="L16" s="393"/>
      <c r="M16" s="393"/>
      <c r="N16" s="393"/>
      <c r="O16" s="394"/>
    </row>
    <row r="17" spans="1:15" customFormat="1" ht="15">
      <c r="A17" s="1024" t="str">
        <f>报表格式!B16</f>
        <v>应收保费</v>
      </c>
      <c r="B17" s="393">
        <f t="shared" ref="B17:B19" si="3">SUM(C17:O17)</f>
        <v>0</v>
      </c>
      <c r="C17" s="393"/>
      <c r="D17" s="393"/>
      <c r="E17" s="393"/>
      <c r="F17" s="393"/>
      <c r="G17" s="393"/>
      <c r="H17" s="393"/>
      <c r="I17" s="393"/>
      <c r="J17" s="393"/>
      <c r="K17" s="393"/>
      <c r="L17" s="393"/>
      <c r="M17" s="393"/>
      <c r="N17" s="393"/>
      <c r="O17" s="394"/>
    </row>
    <row r="18" spans="1:15" customFormat="1" ht="15">
      <c r="A18" s="1024" t="str">
        <f>报表格式!B17</f>
        <v>应收分保账款</v>
      </c>
      <c r="B18" s="393">
        <f t="shared" si="3"/>
        <v>0</v>
      </c>
      <c r="C18" s="393"/>
      <c r="D18" s="393"/>
      <c r="E18" s="393"/>
      <c r="F18" s="393"/>
      <c r="G18" s="393"/>
      <c r="H18" s="393"/>
      <c r="I18" s="393"/>
      <c r="J18" s="393"/>
      <c r="K18" s="393"/>
      <c r="L18" s="393"/>
      <c r="M18" s="393"/>
      <c r="N18" s="393"/>
      <c r="O18" s="394"/>
    </row>
    <row r="19" spans="1:15" customFormat="1" ht="15">
      <c r="A19" s="1024" t="str">
        <f>报表格式!B18</f>
        <v>应收分保准备金</v>
      </c>
      <c r="B19" s="393">
        <f t="shared" si="3"/>
        <v>0</v>
      </c>
      <c r="C19" s="393"/>
      <c r="D19" s="393"/>
      <c r="E19" s="393"/>
      <c r="F19" s="393"/>
      <c r="G19" s="393"/>
      <c r="H19" s="393"/>
      <c r="I19" s="393"/>
      <c r="J19" s="393"/>
      <c r="K19" s="393"/>
      <c r="L19" s="393"/>
      <c r="M19" s="393"/>
      <c r="N19" s="393"/>
      <c r="O19" s="394"/>
    </row>
    <row r="20" spans="1:15" customFormat="1" ht="15">
      <c r="A20" s="1024" t="str">
        <f>报表格式!B19</f>
        <v>其他应收款</v>
      </c>
      <c r="B20" s="393">
        <f>SUM(C20:O20)</f>
        <v>0</v>
      </c>
      <c r="C20" s="393"/>
      <c r="D20" s="393"/>
      <c r="E20" s="393"/>
      <c r="F20" s="393"/>
      <c r="G20" s="393"/>
      <c r="H20" s="393"/>
      <c r="I20" s="393"/>
      <c r="J20" s="393"/>
      <c r="K20" s="393"/>
      <c r="L20" s="393"/>
      <c r="M20" s="393"/>
      <c r="N20" s="393"/>
      <c r="O20" s="394"/>
    </row>
    <row r="21" spans="1:15" customFormat="1" ht="15">
      <c r="A21" s="1024" t="str">
        <f>报表格式!B20</f>
        <v xml:space="preserve">  其中：应收利息</v>
      </c>
      <c r="B21" s="393">
        <f t="shared" ref="B21:B22" si="4">SUM(C21:O21)</f>
        <v>0</v>
      </c>
      <c r="C21" s="393"/>
      <c r="D21" s="393"/>
      <c r="E21" s="393"/>
      <c r="F21" s="393"/>
      <c r="G21" s="393"/>
      <c r="H21" s="393"/>
      <c r="I21" s="393"/>
      <c r="J21" s="393"/>
      <c r="K21" s="393"/>
      <c r="L21" s="393"/>
      <c r="M21" s="393"/>
      <c r="N21" s="393"/>
      <c r="O21" s="394"/>
    </row>
    <row r="22" spans="1:15" customFormat="1" ht="15">
      <c r="A22" s="1024" t="str">
        <f>报表格式!B21</f>
        <v xml:space="preserve">        应收股利</v>
      </c>
      <c r="B22" s="393">
        <f t="shared" si="4"/>
        <v>0</v>
      </c>
      <c r="C22" s="393"/>
      <c r="D22" s="393"/>
      <c r="E22" s="393"/>
      <c r="F22" s="393"/>
      <c r="G22" s="393"/>
      <c r="H22" s="393"/>
      <c r="I22" s="393"/>
      <c r="J22" s="393"/>
      <c r="K22" s="393"/>
      <c r="L22" s="393"/>
      <c r="M22" s="393"/>
      <c r="N22" s="393"/>
      <c r="O22" s="394"/>
    </row>
    <row r="23" spans="1:15" customFormat="1" ht="15">
      <c r="A23" s="1024" t="str">
        <f>报表格式!B22</f>
        <v>买入返售金融资产</v>
      </c>
      <c r="B23" s="393">
        <f>SUM(C23:O23)</f>
        <v>0</v>
      </c>
      <c r="C23" s="393"/>
      <c r="D23" s="393"/>
      <c r="E23" s="393"/>
      <c r="F23" s="393"/>
      <c r="G23" s="393"/>
      <c r="H23" s="393"/>
      <c r="I23" s="393"/>
      <c r="J23" s="393"/>
      <c r="K23" s="393"/>
      <c r="L23" s="393"/>
      <c r="M23" s="393"/>
      <c r="N23" s="393"/>
      <c r="O23" s="394"/>
    </row>
    <row r="24" spans="1:15" customFormat="1" ht="15">
      <c r="A24" s="1024" t="str">
        <f>报表格式!B23</f>
        <v>存货</v>
      </c>
      <c r="B24" s="393">
        <f>SUM(C24:O24)</f>
        <v>0</v>
      </c>
      <c r="C24" s="393"/>
      <c r="D24" s="393"/>
      <c r="E24" s="393"/>
      <c r="F24" s="393"/>
      <c r="G24" s="393"/>
      <c r="H24" s="393"/>
      <c r="I24" s="393"/>
      <c r="J24" s="393"/>
      <c r="K24" s="393"/>
      <c r="L24" s="393"/>
      <c r="M24" s="393"/>
      <c r="N24" s="393"/>
      <c r="O24" s="394"/>
    </row>
    <row r="25" spans="1:15" customFormat="1" ht="15">
      <c r="A25" s="1024" t="str">
        <f>报表格式!B24</f>
        <v>合同资产</v>
      </c>
      <c r="B25" s="393">
        <f t="shared" si="0"/>
        <v>0</v>
      </c>
      <c r="C25" s="393"/>
      <c r="D25" s="393"/>
      <c r="E25" s="393"/>
      <c r="F25" s="393"/>
      <c r="G25" s="393"/>
      <c r="H25" s="393"/>
      <c r="I25" s="393"/>
      <c r="J25" s="393"/>
      <c r="K25" s="393"/>
      <c r="L25" s="393"/>
      <c r="M25" s="393"/>
      <c r="N25" s="393"/>
      <c r="O25" s="394"/>
    </row>
    <row r="26" spans="1:15" customFormat="1" ht="15">
      <c r="A26" s="1024" t="str">
        <f>报表格式!B25</f>
        <v>持有待售资产</v>
      </c>
      <c r="B26" s="393">
        <f t="shared" si="0"/>
        <v>0</v>
      </c>
      <c r="C26" s="393"/>
      <c r="D26" s="393"/>
      <c r="E26" s="393"/>
      <c r="F26" s="393"/>
      <c r="G26" s="393"/>
      <c r="H26" s="393"/>
      <c r="I26" s="393"/>
      <c r="J26" s="393"/>
      <c r="K26" s="393"/>
      <c r="L26" s="393"/>
      <c r="M26" s="393"/>
      <c r="N26" s="393"/>
      <c r="O26" s="394"/>
    </row>
    <row r="27" spans="1:15" customFormat="1" ht="15">
      <c r="A27" s="1024" t="str">
        <f>报表格式!B26</f>
        <v>一年内到期的非流动资产</v>
      </c>
      <c r="B27" s="393">
        <f t="shared" si="0"/>
        <v>0</v>
      </c>
      <c r="C27" s="383"/>
      <c r="D27" s="393"/>
      <c r="E27" s="393"/>
      <c r="F27" s="393"/>
      <c r="G27" s="393"/>
      <c r="H27" s="393"/>
      <c r="I27" s="393"/>
      <c r="J27" s="393"/>
      <c r="K27" s="393"/>
      <c r="L27" s="393"/>
      <c r="M27" s="393"/>
      <c r="N27" s="393"/>
      <c r="O27" s="394"/>
    </row>
    <row r="28" spans="1:15" customFormat="1" ht="15">
      <c r="A28" s="1024" t="str">
        <f>报表格式!B27</f>
        <v>其他流动资产</v>
      </c>
      <c r="B28" s="393">
        <f t="shared" si="0"/>
        <v>0</v>
      </c>
      <c r="C28" s="393"/>
      <c r="D28" s="393"/>
      <c r="E28" s="393"/>
      <c r="F28" s="393"/>
      <c r="G28" s="393"/>
      <c r="H28" s="393"/>
      <c r="I28" s="393"/>
      <c r="J28" s="393"/>
      <c r="K28" s="393"/>
      <c r="L28" s="393"/>
      <c r="M28" s="393"/>
      <c r="N28" s="393"/>
      <c r="O28" s="394"/>
    </row>
    <row r="29" spans="1:15" customFormat="1" ht="15">
      <c r="A29" s="1024">
        <f>报表格式!B28</f>
        <v>0</v>
      </c>
      <c r="B29" s="393">
        <f t="shared" si="0"/>
        <v>0</v>
      </c>
      <c r="C29" s="393"/>
      <c r="D29" s="393"/>
      <c r="E29" s="393"/>
      <c r="F29" s="393"/>
      <c r="G29" s="393"/>
      <c r="H29" s="393"/>
      <c r="I29" s="393"/>
      <c r="J29" s="393"/>
      <c r="K29" s="393"/>
      <c r="L29" s="393"/>
      <c r="M29" s="393"/>
      <c r="N29" s="393"/>
      <c r="O29" s="394"/>
    </row>
    <row r="30" spans="1:15" customFormat="1" ht="15">
      <c r="A30" s="1024">
        <f>报表格式!B29</f>
        <v>0</v>
      </c>
      <c r="B30" s="393">
        <f t="shared" si="0"/>
        <v>0</v>
      </c>
      <c r="C30" s="383"/>
      <c r="D30" s="393"/>
      <c r="E30" s="393"/>
      <c r="F30" s="393"/>
      <c r="G30" s="393"/>
      <c r="H30" s="393"/>
      <c r="I30" s="393"/>
      <c r="J30" s="393"/>
      <c r="K30" s="393"/>
      <c r="L30" s="393"/>
      <c r="M30" s="393"/>
      <c r="N30" s="393"/>
      <c r="O30" s="394"/>
    </row>
    <row r="31" spans="1:15" s="642" customFormat="1" ht="15">
      <c r="A31" s="1025" t="str">
        <f>报表格式!B30</f>
        <v>流动资产合计</v>
      </c>
      <c r="B31" s="399">
        <f t="shared" si="0"/>
        <v>0</v>
      </c>
      <c r="C31" s="399">
        <f>SUM(C7:C30)-C21-C22</f>
        <v>0</v>
      </c>
      <c r="D31" s="399">
        <f t="shared" ref="D31:O31" si="5">SUM(D7:D29)-D21-D22</f>
        <v>0</v>
      </c>
      <c r="E31" s="399">
        <f t="shared" si="5"/>
        <v>0</v>
      </c>
      <c r="F31" s="399">
        <f t="shared" si="5"/>
        <v>0</v>
      </c>
      <c r="G31" s="399">
        <f t="shared" si="5"/>
        <v>0</v>
      </c>
      <c r="H31" s="399">
        <f t="shared" si="5"/>
        <v>0</v>
      </c>
      <c r="I31" s="399">
        <f t="shared" si="5"/>
        <v>0</v>
      </c>
      <c r="J31" s="399">
        <f t="shared" si="5"/>
        <v>0</v>
      </c>
      <c r="K31" s="399">
        <f t="shared" si="5"/>
        <v>0</v>
      </c>
      <c r="L31" s="399">
        <f t="shared" si="5"/>
        <v>0</v>
      </c>
      <c r="M31" s="399">
        <f t="shared" si="5"/>
        <v>0</v>
      </c>
      <c r="N31" s="399">
        <f t="shared" si="5"/>
        <v>0</v>
      </c>
      <c r="O31" s="399">
        <f t="shared" si="5"/>
        <v>0</v>
      </c>
    </row>
    <row r="32" spans="1:15" customFormat="1" ht="15">
      <c r="A32" s="1026" t="str">
        <f>报表格式!B31</f>
        <v>非流动资产:</v>
      </c>
      <c r="B32" s="393"/>
      <c r="C32" s="393"/>
      <c r="D32" s="393"/>
      <c r="E32" s="393"/>
      <c r="F32" s="393"/>
      <c r="G32" s="393"/>
      <c r="H32" s="393"/>
      <c r="I32" s="393"/>
      <c r="J32" s="393"/>
      <c r="K32" s="393"/>
      <c r="L32" s="393"/>
      <c r="M32" s="393"/>
      <c r="N32" s="393"/>
      <c r="O32" s="394"/>
    </row>
    <row r="33" spans="1:15" customFormat="1" ht="15">
      <c r="A33" s="1024" t="str">
        <f>报表格式!B32</f>
        <v>发放贷款及垫款</v>
      </c>
      <c r="B33" s="393">
        <f t="shared" ref="B33" si="6">SUM(C33:O33)</f>
        <v>0</v>
      </c>
      <c r="C33" s="393"/>
      <c r="D33" s="393"/>
      <c r="E33" s="393"/>
      <c r="F33" s="393"/>
      <c r="G33" s="393"/>
      <c r="H33" s="393"/>
      <c r="I33" s="393"/>
      <c r="J33" s="393"/>
      <c r="K33" s="393"/>
      <c r="L33" s="393"/>
      <c r="M33" s="393"/>
      <c r="N33" s="393"/>
      <c r="O33" s="394"/>
    </row>
    <row r="34" spans="1:15" customFormat="1" ht="15">
      <c r="A34" s="1024" t="str">
        <f>报表格式!B33</f>
        <v>债权投资</v>
      </c>
      <c r="B34" s="393">
        <f t="shared" ref="B34:B100" si="7">SUM(C34:O34)</f>
        <v>0</v>
      </c>
      <c r="C34" s="393"/>
      <c r="D34" s="393"/>
      <c r="E34" s="393"/>
      <c r="F34" s="393"/>
      <c r="G34" s="393"/>
      <c r="H34" s="393"/>
      <c r="I34" s="393"/>
      <c r="J34" s="393"/>
      <c r="K34" s="393"/>
      <c r="L34" s="393"/>
      <c r="M34" s="393"/>
      <c r="N34" s="393"/>
      <c r="O34" s="394"/>
    </row>
    <row r="35" spans="1:15" customFormat="1" ht="15">
      <c r="A35" s="1024" t="str">
        <f>报表格式!B34</f>
        <v>可供出售金融资产</v>
      </c>
      <c r="B35" s="393">
        <f t="shared" ref="B35" si="8">SUM(C35:O35)</f>
        <v>0</v>
      </c>
      <c r="C35" s="393"/>
      <c r="D35" s="393"/>
      <c r="E35" s="393"/>
      <c r="F35" s="393"/>
      <c r="G35" s="393"/>
      <c r="H35" s="393"/>
      <c r="I35" s="393"/>
      <c r="J35" s="393"/>
      <c r="K35" s="393"/>
      <c r="L35" s="393"/>
      <c r="M35" s="393"/>
      <c r="N35" s="393"/>
      <c r="O35" s="394"/>
    </row>
    <row r="36" spans="1:15" customFormat="1" ht="15">
      <c r="A36" s="1024" t="str">
        <f>报表格式!B35</f>
        <v>其他债权投资</v>
      </c>
      <c r="B36" s="393">
        <f t="shared" si="7"/>
        <v>0</v>
      </c>
      <c r="C36" s="393"/>
      <c r="D36" s="393"/>
      <c r="E36" s="393"/>
      <c r="F36" s="393"/>
      <c r="G36" s="393"/>
      <c r="H36" s="393"/>
      <c r="I36" s="393"/>
      <c r="J36" s="393"/>
      <c r="K36" s="393"/>
      <c r="L36" s="393"/>
      <c r="M36" s="393"/>
      <c r="N36" s="393"/>
      <c r="O36" s="394"/>
    </row>
    <row r="37" spans="1:15" customFormat="1" ht="15">
      <c r="A37" s="1024" t="str">
        <f>报表格式!B36</f>
        <v>持有至到期投资</v>
      </c>
      <c r="B37" s="393">
        <f t="shared" ref="B37" si="9">SUM(C37:O37)</f>
        <v>0</v>
      </c>
      <c r="C37" s="393"/>
      <c r="D37" s="393"/>
      <c r="E37" s="393"/>
      <c r="F37" s="393"/>
      <c r="G37" s="393"/>
      <c r="H37" s="393"/>
      <c r="I37" s="393"/>
      <c r="J37" s="393"/>
      <c r="K37" s="393"/>
      <c r="L37" s="393"/>
      <c r="M37" s="393"/>
      <c r="N37" s="393"/>
      <c r="O37" s="394"/>
    </row>
    <row r="38" spans="1:15" customFormat="1" ht="15">
      <c r="A38" s="1024" t="str">
        <f>报表格式!B37</f>
        <v>长期应收款</v>
      </c>
      <c r="B38" s="393">
        <f t="shared" si="7"/>
        <v>0</v>
      </c>
      <c r="C38" s="393"/>
      <c r="D38" s="393"/>
      <c r="E38" s="393"/>
      <c r="F38" s="393"/>
      <c r="G38" s="393"/>
      <c r="H38" s="393"/>
      <c r="I38" s="393"/>
      <c r="J38" s="393"/>
      <c r="K38" s="393"/>
      <c r="L38" s="393"/>
      <c r="M38" s="393"/>
      <c r="N38" s="393"/>
      <c r="O38" s="394"/>
    </row>
    <row r="39" spans="1:15" customFormat="1" ht="15">
      <c r="A39" s="1024" t="str">
        <f>报表格式!B38</f>
        <v>设定受益计划净资产</v>
      </c>
      <c r="B39" s="393">
        <f t="shared" si="7"/>
        <v>0</v>
      </c>
      <c r="C39" s="393"/>
      <c r="D39" s="393"/>
      <c r="E39" s="393"/>
      <c r="F39" s="393"/>
      <c r="G39" s="393"/>
      <c r="H39" s="393"/>
      <c r="I39" s="393"/>
      <c r="J39" s="393"/>
      <c r="K39" s="393"/>
      <c r="L39" s="393"/>
      <c r="M39" s="393"/>
      <c r="N39" s="393"/>
      <c r="O39" s="394"/>
    </row>
    <row r="40" spans="1:15" customFormat="1" ht="15">
      <c r="A40" s="1024" t="str">
        <f>报表格式!B39</f>
        <v>长期股权投资</v>
      </c>
      <c r="B40" s="393">
        <f t="shared" si="7"/>
        <v>0</v>
      </c>
      <c r="C40" s="393"/>
      <c r="D40" s="393"/>
      <c r="E40" s="393"/>
      <c r="F40" s="393"/>
      <c r="G40" s="393"/>
      <c r="H40" s="393"/>
      <c r="I40" s="393"/>
      <c r="J40" s="393"/>
      <c r="K40" s="393"/>
      <c r="L40" s="393"/>
      <c r="M40" s="393"/>
      <c r="N40" s="393"/>
      <c r="O40" s="394"/>
    </row>
    <row r="41" spans="1:15" customFormat="1" ht="15">
      <c r="A41" s="1024" t="str">
        <f>报表格式!B40</f>
        <v>其他权益工具投资</v>
      </c>
      <c r="B41" s="393">
        <f t="shared" si="7"/>
        <v>0</v>
      </c>
      <c r="C41" s="393"/>
      <c r="D41" s="393"/>
      <c r="E41" s="393"/>
      <c r="F41" s="393"/>
      <c r="G41" s="393"/>
      <c r="H41" s="393"/>
      <c r="I41" s="393"/>
      <c r="J41" s="393"/>
      <c r="K41" s="393"/>
      <c r="L41" s="393"/>
      <c r="M41" s="393"/>
      <c r="N41" s="393"/>
      <c r="O41" s="394"/>
    </row>
    <row r="42" spans="1:15" customFormat="1" ht="15">
      <c r="A42" s="1024" t="str">
        <f>报表格式!B41</f>
        <v>其他非流动金融资产</v>
      </c>
      <c r="B42" s="393">
        <f t="shared" si="7"/>
        <v>0</v>
      </c>
      <c r="C42" s="393"/>
      <c r="D42" s="393"/>
      <c r="E42" s="393"/>
      <c r="F42" s="393"/>
      <c r="G42" s="393"/>
      <c r="H42" s="393"/>
      <c r="I42" s="393"/>
      <c r="J42" s="393"/>
      <c r="K42" s="393"/>
      <c r="L42" s="393"/>
      <c r="M42" s="393"/>
      <c r="N42" s="393"/>
      <c r="O42" s="394"/>
    </row>
    <row r="43" spans="1:15" customFormat="1" ht="15">
      <c r="A43" s="1024" t="str">
        <f>报表格式!B42</f>
        <v>投资性房地产</v>
      </c>
      <c r="B43" s="393">
        <f t="shared" si="7"/>
        <v>0</v>
      </c>
      <c r="C43" s="393"/>
      <c r="D43" s="393"/>
      <c r="E43" s="393"/>
      <c r="F43" s="393"/>
      <c r="G43" s="393"/>
      <c r="H43" s="393"/>
      <c r="I43" s="393"/>
      <c r="J43" s="393"/>
      <c r="K43" s="393"/>
      <c r="L43" s="393"/>
      <c r="M43" s="393"/>
      <c r="N43" s="393"/>
      <c r="O43" s="394"/>
    </row>
    <row r="44" spans="1:15" customFormat="1" ht="15">
      <c r="A44" s="1024" t="str">
        <f>报表格式!B43</f>
        <v>固定资产</v>
      </c>
      <c r="B44" s="393">
        <f t="shared" si="7"/>
        <v>0</v>
      </c>
      <c r="C44" s="393"/>
      <c r="D44" s="393"/>
      <c r="E44" s="393"/>
      <c r="F44" s="393"/>
      <c r="G44" s="393"/>
      <c r="H44" s="393"/>
      <c r="I44" s="393"/>
      <c r="J44" s="393"/>
      <c r="K44" s="393"/>
      <c r="L44" s="393"/>
      <c r="M44" s="393"/>
      <c r="N44" s="393"/>
      <c r="O44" s="394"/>
    </row>
    <row r="45" spans="1:15" customFormat="1" ht="15">
      <c r="A45" s="1024" t="str">
        <f>报表格式!B44</f>
        <v>在建工程</v>
      </c>
      <c r="B45" s="393">
        <f t="shared" si="7"/>
        <v>0</v>
      </c>
      <c r="C45" s="393"/>
      <c r="D45" s="393"/>
      <c r="E45" s="393"/>
      <c r="F45" s="393"/>
      <c r="G45" s="393"/>
      <c r="H45" s="393"/>
      <c r="I45" s="393"/>
      <c r="J45" s="393"/>
      <c r="K45" s="393"/>
      <c r="L45" s="393"/>
      <c r="M45" s="393"/>
      <c r="N45" s="393"/>
      <c r="O45" s="394"/>
    </row>
    <row r="46" spans="1:15" customFormat="1" ht="15">
      <c r="A46" s="1024" t="str">
        <f>报表格式!B45</f>
        <v xml:space="preserve">生产性生物资产 </v>
      </c>
      <c r="B46" s="393">
        <f t="shared" si="7"/>
        <v>0</v>
      </c>
      <c r="C46" s="393"/>
      <c r="D46" s="393"/>
      <c r="E46" s="393"/>
      <c r="F46" s="393"/>
      <c r="G46" s="393"/>
      <c r="H46" s="393"/>
      <c r="I46" s="393"/>
      <c r="J46" s="393"/>
      <c r="K46" s="393"/>
      <c r="L46" s="393"/>
      <c r="M46" s="393"/>
      <c r="N46" s="393"/>
      <c r="O46" s="394"/>
    </row>
    <row r="47" spans="1:15" customFormat="1" ht="15">
      <c r="A47" s="1024" t="str">
        <f>报表格式!B46</f>
        <v>油气资产</v>
      </c>
      <c r="B47" s="393">
        <f t="shared" si="7"/>
        <v>0</v>
      </c>
      <c r="C47" s="393"/>
      <c r="D47" s="393"/>
      <c r="E47" s="393"/>
      <c r="F47" s="393"/>
      <c r="G47" s="393"/>
      <c r="H47" s="393"/>
      <c r="I47" s="393"/>
      <c r="J47" s="393"/>
      <c r="K47" s="393"/>
      <c r="L47" s="393"/>
      <c r="M47" s="393"/>
      <c r="N47" s="393"/>
      <c r="O47" s="394"/>
    </row>
    <row r="48" spans="1:15" customFormat="1" ht="15">
      <c r="A48" s="1024" t="str">
        <f>报表格式!B47</f>
        <v>使用权资产</v>
      </c>
      <c r="B48" s="393">
        <f t="shared" si="7"/>
        <v>0</v>
      </c>
      <c r="C48" s="393"/>
      <c r="D48" s="393"/>
      <c r="E48" s="393"/>
      <c r="F48" s="393"/>
      <c r="G48" s="393"/>
      <c r="H48" s="393"/>
      <c r="I48" s="393"/>
      <c r="J48" s="393"/>
      <c r="K48" s="393"/>
      <c r="L48" s="393"/>
      <c r="M48" s="393"/>
      <c r="N48" s="393"/>
      <c r="O48" s="394"/>
    </row>
    <row r="49" spans="1:15" customFormat="1" ht="15">
      <c r="A49" s="1024" t="str">
        <f>报表格式!B48</f>
        <v>无形资产</v>
      </c>
      <c r="B49" s="393">
        <f t="shared" si="7"/>
        <v>0</v>
      </c>
      <c r="C49" s="393"/>
      <c r="D49" s="393"/>
      <c r="E49" s="393"/>
      <c r="F49" s="393"/>
      <c r="G49" s="393"/>
      <c r="H49" s="393"/>
      <c r="I49" s="393"/>
      <c r="J49" s="393"/>
      <c r="K49" s="393"/>
      <c r="L49" s="393"/>
      <c r="M49" s="393"/>
      <c r="N49" s="393"/>
      <c r="O49" s="394"/>
    </row>
    <row r="50" spans="1:15" customFormat="1" ht="15">
      <c r="A50" s="1024" t="str">
        <f>报表格式!B49</f>
        <v>开发支出</v>
      </c>
      <c r="B50" s="393">
        <f t="shared" si="7"/>
        <v>0</v>
      </c>
      <c r="C50" s="393"/>
      <c r="D50" s="393"/>
      <c r="E50" s="393"/>
      <c r="F50" s="393"/>
      <c r="G50" s="393"/>
      <c r="H50" s="393"/>
      <c r="I50" s="393"/>
      <c r="J50" s="393"/>
      <c r="K50" s="393"/>
      <c r="L50" s="393"/>
      <c r="M50" s="393"/>
      <c r="N50" s="393"/>
      <c r="O50" s="394"/>
    </row>
    <row r="51" spans="1:15" customFormat="1" ht="15">
      <c r="A51" s="1024" t="str">
        <f>报表格式!B50</f>
        <v>商誉</v>
      </c>
      <c r="B51" s="393">
        <f t="shared" si="7"/>
        <v>0</v>
      </c>
      <c r="C51" s="393"/>
      <c r="D51" s="393"/>
      <c r="E51" s="393"/>
      <c r="F51" s="393"/>
      <c r="G51" s="393"/>
      <c r="H51" s="393"/>
      <c r="I51" s="393"/>
      <c r="J51" s="393"/>
      <c r="K51" s="393"/>
      <c r="L51" s="393"/>
      <c r="M51" s="393"/>
      <c r="N51" s="393"/>
      <c r="O51" s="394"/>
    </row>
    <row r="52" spans="1:15" customFormat="1" ht="15">
      <c r="A52" s="1024" t="str">
        <f>报表格式!B51</f>
        <v>长期待摊费用</v>
      </c>
      <c r="B52" s="393">
        <f t="shared" si="7"/>
        <v>0</v>
      </c>
      <c r="C52" s="393"/>
      <c r="D52" s="393"/>
      <c r="E52" s="393"/>
      <c r="F52" s="393"/>
      <c r="G52" s="393"/>
      <c r="H52" s="393"/>
      <c r="I52" s="393"/>
      <c r="J52" s="393"/>
      <c r="K52" s="393"/>
      <c r="L52" s="393"/>
      <c r="M52" s="393"/>
      <c r="N52" s="393"/>
      <c r="O52" s="394"/>
    </row>
    <row r="53" spans="1:15" customFormat="1" ht="15">
      <c r="A53" s="1024" t="str">
        <f>报表格式!B52</f>
        <v>递延所得税资产</v>
      </c>
      <c r="B53" s="393">
        <f t="shared" si="7"/>
        <v>0</v>
      </c>
      <c r="C53" s="393"/>
      <c r="D53" s="393"/>
      <c r="E53" s="393"/>
      <c r="F53" s="393"/>
      <c r="G53" s="393"/>
      <c r="H53" s="393"/>
      <c r="I53" s="393"/>
      <c r="J53" s="393"/>
      <c r="K53" s="393"/>
      <c r="L53" s="393"/>
      <c r="M53" s="393"/>
      <c r="N53" s="393"/>
      <c r="O53" s="394"/>
    </row>
    <row r="54" spans="1:15" customFormat="1" ht="15">
      <c r="A54" s="1024" t="str">
        <f>报表格式!B53</f>
        <v>其他非流动资产</v>
      </c>
      <c r="B54" s="393">
        <f t="shared" si="7"/>
        <v>0</v>
      </c>
      <c r="C54" s="393"/>
      <c r="D54" s="393"/>
      <c r="E54" s="393"/>
      <c r="F54" s="393"/>
      <c r="G54" s="393"/>
      <c r="H54" s="393"/>
      <c r="I54" s="393"/>
      <c r="J54" s="393"/>
      <c r="K54" s="393"/>
      <c r="L54" s="393"/>
      <c r="M54" s="393"/>
      <c r="N54" s="393"/>
      <c r="O54" s="394"/>
    </row>
    <row r="55" spans="1:15" customFormat="1" ht="15">
      <c r="A55" s="1024">
        <f>报表格式!B54</f>
        <v>0</v>
      </c>
      <c r="B55" s="393">
        <f t="shared" si="7"/>
        <v>0</v>
      </c>
      <c r="C55" s="393"/>
      <c r="D55" s="393"/>
      <c r="E55" s="393"/>
      <c r="F55" s="393"/>
      <c r="G55" s="393"/>
      <c r="H55" s="393"/>
      <c r="I55" s="393"/>
      <c r="J55" s="393"/>
      <c r="K55" s="393"/>
      <c r="L55" s="393"/>
      <c r="M55" s="393"/>
      <c r="N55" s="393"/>
      <c r="O55" s="394"/>
    </row>
    <row r="56" spans="1:15" customFormat="1" ht="15">
      <c r="A56" s="1024">
        <f>报表格式!B55</f>
        <v>0</v>
      </c>
      <c r="B56" s="393">
        <f t="shared" si="7"/>
        <v>0</v>
      </c>
      <c r="C56" s="393"/>
      <c r="D56" s="393"/>
      <c r="E56" s="393"/>
      <c r="F56" s="393"/>
      <c r="G56" s="393"/>
      <c r="H56" s="393"/>
      <c r="I56" s="393"/>
      <c r="J56" s="393"/>
      <c r="K56" s="393"/>
      <c r="L56" s="393"/>
      <c r="M56" s="393"/>
      <c r="N56" s="393"/>
      <c r="O56" s="394"/>
    </row>
    <row r="57" spans="1:15" customFormat="1" ht="15">
      <c r="A57" s="1024">
        <f>报表格式!B56</f>
        <v>0</v>
      </c>
      <c r="B57" s="393">
        <f t="shared" si="7"/>
        <v>0</v>
      </c>
      <c r="C57" s="393"/>
      <c r="D57" s="393"/>
      <c r="E57" s="393"/>
      <c r="F57" s="393"/>
      <c r="G57" s="393"/>
      <c r="H57" s="393"/>
      <c r="I57" s="393"/>
      <c r="J57" s="393"/>
      <c r="K57" s="393"/>
      <c r="L57" s="393"/>
      <c r="M57" s="393"/>
      <c r="N57" s="393"/>
      <c r="O57" s="394"/>
    </row>
    <row r="58" spans="1:15" s="642" customFormat="1" ht="15">
      <c r="A58" s="1027" t="str">
        <f>报表格式!B57</f>
        <v>非流动资产合计</v>
      </c>
      <c r="B58" s="505">
        <f t="shared" si="7"/>
        <v>0</v>
      </c>
      <c r="C58" s="505">
        <f>SUM(C33:C57)</f>
        <v>0</v>
      </c>
      <c r="D58" s="505">
        <f t="shared" ref="D58:O58" si="10">SUM(D34:D57)</f>
        <v>0</v>
      </c>
      <c r="E58" s="505">
        <f t="shared" si="10"/>
        <v>0</v>
      </c>
      <c r="F58" s="505">
        <f t="shared" si="10"/>
        <v>0</v>
      </c>
      <c r="G58" s="505">
        <f t="shared" si="10"/>
        <v>0</v>
      </c>
      <c r="H58" s="505">
        <f t="shared" si="10"/>
        <v>0</v>
      </c>
      <c r="I58" s="505">
        <f t="shared" si="10"/>
        <v>0</v>
      </c>
      <c r="J58" s="505">
        <f t="shared" si="10"/>
        <v>0</v>
      </c>
      <c r="K58" s="505">
        <f t="shared" si="10"/>
        <v>0</v>
      </c>
      <c r="L58" s="505">
        <f t="shared" si="10"/>
        <v>0</v>
      </c>
      <c r="M58" s="505">
        <f t="shared" si="10"/>
        <v>0</v>
      </c>
      <c r="N58" s="505">
        <f t="shared" si="10"/>
        <v>0</v>
      </c>
      <c r="O58" s="506">
        <f t="shared" si="10"/>
        <v>0</v>
      </c>
    </row>
    <row r="59" spans="1:15" customFormat="1" ht="15">
      <c r="A59" s="1028" t="str">
        <f>报表格式!B58</f>
        <v>资 产 总 计</v>
      </c>
      <c r="B59" s="505">
        <f t="shared" si="7"/>
        <v>0</v>
      </c>
      <c r="C59" s="410">
        <f t="shared" ref="C59:O59" si="11">SUM(C31,C58)</f>
        <v>0</v>
      </c>
      <c r="D59" s="410">
        <f t="shared" si="11"/>
        <v>0</v>
      </c>
      <c r="E59" s="410">
        <f t="shared" si="11"/>
        <v>0</v>
      </c>
      <c r="F59" s="410">
        <f t="shared" si="11"/>
        <v>0</v>
      </c>
      <c r="G59" s="410">
        <f t="shared" si="11"/>
        <v>0</v>
      </c>
      <c r="H59" s="410">
        <f t="shared" si="11"/>
        <v>0</v>
      </c>
      <c r="I59" s="410">
        <f t="shared" si="11"/>
        <v>0</v>
      </c>
      <c r="J59" s="410">
        <f t="shared" si="11"/>
        <v>0</v>
      </c>
      <c r="K59" s="410">
        <f t="shared" si="11"/>
        <v>0</v>
      </c>
      <c r="L59" s="410">
        <f t="shared" si="11"/>
        <v>0</v>
      </c>
      <c r="M59" s="410">
        <f t="shared" si="11"/>
        <v>0</v>
      </c>
      <c r="N59" s="410">
        <f t="shared" si="11"/>
        <v>0</v>
      </c>
      <c r="O59" s="411">
        <f t="shared" si="11"/>
        <v>0</v>
      </c>
    </row>
    <row r="60" spans="1:15" customFormat="1" ht="15">
      <c r="A60" s="1003"/>
      <c r="B60" s="383"/>
      <c r="C60" s="383"/>
      <c r="D60" s="383"/>
      <c r="E60" s="383"/>
      <c r="F60" s="383"/>
      <c r="G60" s="383"/>
      <c r="H60" s="383"/>
      <c r="I60" s="383"/>
      <c r="J60" s="383"/>
      <c r="K60" s="383"/>
      <c r="L60" s="383"/>
      <c r="M60" s="383"/>
      <c r="N60" s="383"/>
      <c r="O60" s="435"/>
    </row>
    <row r="61" spans="1:15" customFormat="1" ht="15">
      <c r="A61" s="1023" t="str">
        <f>报表格式!G5</f>
        <v>流动负债：</v>
      </c>
      <c r="B61" s="414"/>
      <c r="C61" s="414"/>
      <c r="D61" s="414"/>
      <c r="E61" s="414"/>
      <c r="F61" s="414"/>
      <c r="G61" s="414"/>
      <c r="H61" s="414"/>
      <c r="I61" s="414"/>
      <c r="J61" s="414"/>
      <c r="K61" s="414"/>
      <c r="L61" s="414"/>
      <c r="M61" s="414"/>
      <c r="N61" s="414"/>
      <c r="O61" s="415"/>
    </row>
    <row r="62" spans="1:15" customFormat="1" ht="15">
      <c r="A62" s="1024" t="str">
        <f>报表格式!G6</f>
        <v>短期借款</v>
      </c>
      <c r="B62" s="393">
        <f t="shared" si="7"/>
        <v>0</v>
      </c>
      <c r="C62" s="393"/>
      <c r="D62" s="393"/>
      <c r="E62" s="393"/>
      <c r="F62" s="393"/>
      <c r="G62" s="393"/>
      <c r="H62" s="393"/>
      <c r="I62" s="393"/>
      <c r="J62" s="393"/>
      <c r="K62" s="393"/>
      <c r="L62" s="393"/>
      <c r="M62" s="393"/>
      <c r="N62" s="393"/>
      <c r="O62" s="394"/>
    </row>
    <row r="63" spans="1:15" customFormat="1" ht="15">
      <c r="A63" s="1024" t="str">
        <f>报表格式!G7</f>
        <v>向中央银行借款</v>
      </c>
      <c r="B63" s="393">
        <f t="shared" ref="B63:B65" si="12">SUM(C63:O63)</f>
        <v>0</v>
      </c>
      <c r="C63" s="393"/>
      <c r="D63" s="393"/>
      <c r="E63" s="393"/>
      <c r="F63" s="393"/>
      <c r="G63" s="393"/>
      <c r="H63" s="393"/>
      <c r="I63" s="393"/>
      <c r="J63" s="393"/>
      <c r="K63" s="393"/>
      <c r="L63" s="393"/>
      <c r="M63" s="393"/>
      <c r="N63" s="393"/>
      <c r="O63" s="394"/>
    </row>
    <row r="64" spans="1:15" customFormat="1" ht="15">
      <c r="A64" s="1024" t="str">
        <f>报表格式!G8</f>
        <v>吸收存款及同业存放</v>
      </c>
      <c r="B64" s="393">
        <f t="shared" si="12"/>
        <v>0</v>
      </c>
      <c r="C64" s="393"/>
      <c r="D64" s="393"/>
      <c r="E64" s="393"/>
      <c r="F64" s="393"/>
      <c r="G64" s="393"/>
      <c r="H64" s="393"/>
      <c r="I64" s="393"/>
      <c r="J64" s="393"/>
      <c r="K64" s="393"/>
      <c r="L64" s="393"/>
      <c r="M64" s="393"/>
      <c r="N64" s="393"/>
      <c r="O64" s="394"/>
    </row>
    <row r="65" spans="1:15" customFormat="1" ht="15">
      <c r="A65" s="1024" t="str">
        <f>报表格式!G9</f>
        <v>拆入资金</v>
      </c>
      <c r="B65" s="393">
        <f t="shared" si="12"/>
        <v>0</v>
      </c>
      <c r="C65" s="393"/>
      <c r="D65" s="393"/>
      <c r="E65" s="393"/>
      <c r="F65" s="393"/>
      <c r="G65" s="393"/>
      <c r="H65" s="393"/>
      <c r="I65" s="393"/>
      <c r="J65" s="393"/>
      <c r="K65" s="393"/>
      <c r="L65" s="393"/>
      <c r="M65" s="393"/>
      <c r="N65" s="393"/>
      <c r="O65" s="394"/>
    </row>
    <row r="66" spans="1:15" customFormat="1" ht="15">
      <c r="A66" s="1024" t="str">
        <f>报表格式!G10</f>
        <v>交易性金融负债</v>
      </c>
      <c r="B66" s="393">
        <f t="shared" si="7"/>
        <v>0</v>
      </c>
      <c r="C66" s="393"/>
      <c r="D66" s="393"/>
      <c r="E66" s="393"/>
      <c r="F66" s="393"/>
      <c r="G66" s="393"/>
      <c r="H66" s="393"/>
      <c r="I66" s="393"/>
      <c r="J66" s="393"/>
      <c r="K66" s="393"/>
      <c r="L66" s="393"/>
      <c r="M66" s="393"/>
      <c r="N66" s="393"/>
      <c r="O66" s="394"/>
    </row>
    <row r="67" spans="1:15" customFormat="1" ht="15">
      <c r="A67" s="1024" t="str">
        <f>报表格式!G11</f>
        <v>以公允价值计量且其变动计入当期损益的金融负债</v>
      </c>
      <c r="B67" s="393">
        <f t="shared" ref="B67" si="13">SUM(C67:O67)</f>
        <v>0</v>
      </c>
      <c r="C67" s="393"/>
      <c r="D67" s="393"/>
      <c r="E67" s="393"/>
      <c r="F67" s="393"/>
      <c r="G67" s="393"/>
      <c r="H67" s="393"/>
      <c r="I67" s="393"/>
      <c r="J67" s="393"/>
      <c r="K67" s="393"/>
      <c r="L67" s="393"/>
      <c r="M67" s="393"/>
      <c r="N67" s="393"/>
      <c r="O67" s="394"/>
    </row>
    <row r="68" spans="1:15" customFormat="1" ht="15">
      <c r="A68" s="1024" t="str">
        <f>报表格式!G12</f>
        <v>衍生金融负债</v>
      </c>
      <c r="B68" s="393">
        <f>SUM(C68:O68)</f>
        <v>0</v>
      </c>
      <c r="C68" s="393"/>
      <c r="D68" s="393"/>
      <c r="E68" s="393"/>
      <c r="F68" s="393"/>
      <c r="G68" s="393"/>
      <c r="H68" s="393"/>
      <c r="I68" s="393"/>
      <c r="J68" s="393"/>
      <c r="K68" s="393"/>
      <c r="L68" s="393"/>
      <c r="M68" s="393"/>
      <c r="N68" s="393"/>
      <c r="O68" s="394"/>
    </row>
    <row r="69" spans="1:15" customFormat="1" ht="15">
      <c r="A69" s="1024" t="str">
        <f>报表格式!G13</f>
        <v>应付票据</v>
      </c>
      <c r="B69" s="393">
        <f t="shared" si="7"/>
        <v>0</v>
      </c>
      <c r="C69" s="393"/>
      <c r="D69" s="393"/>
      <c r="E69" s="393"/>
      <c r="F69" s="393"/>
      <c r="G69" s="393"/>
      <c r="H69" s="393"/>
      <c r="I69" s="393"/>
      <c r="J69" s="393"/>
      <c r="K69" s="393"/>
      <c r="L69" s="393"/>
      <c r="M69" s="393"/>
      <c r="N69" s="393"/>
      <c r="O69" s="394"/>
    </row>
    <row r="70" spans="1:15" customFormat="1" ht="15">
      <c r="A70" s="1024" t="str">
        <f>报表格式!G14</f>
        <v>应付账款</v>
      </c>
      <c r="B70" s="393">
        <f t="shared" ref="B70" si="14">SUM(C70:O70)</f>
        <v>0</v>
      </c>
      <c r="C70" s="393"/>
      <c r="D70" s="393"/>
      <c r="E70" s="393"/>
      <c r="F70" s="393"/>
      <c r="G70" s="393"/>
      <c r="H70" s="393"/>
      <c r="I70" s="393"/>
      <c r="J70" s="393"/>
      <c r="K70" s="393"/>
      <c r="L70" s="393"/>
      <c r="M70" s="393"/>
      <c r="N70" s="393"/>
      <c r="O70" s="394"/>
    </row>
    <row r="71" spans="1:15" customFormat="1" ht="15">
      <c r="A71" s="1024" t="str">
        <f>报表格式!G15</f>
        <v>预收款项</v>
      </c>
      <c r="B71" s="393">
        <f t="shared" si="7"/>
        <v>0</v>
      </c>
      <c r="C71" s="393"/>
      <c r="D71" s="393"/>
      <c r="E71" s="393"/>
      <c r="F71" s="393"/>
      <c r="G71" s="393"/>
      <c r="H71" s="393"/>
      <c r="I71" s="393"/>
      <c r="J71" s="393"/>
      <c r="K71" s="393"/>
      <c r="L71" s="393"/>
      <c r="M71" s="393"/>
      <c r="N71" s="393"/>
      <c r="O71" s="394"/>
    </row>
    <row r="72" spans="1:15" customFormat="1" ht="15">
      <c r="A72" s="1024" t="str">
        <f>报表格式!G16</f>
        <v>卖出回购金融资产款</v>
      </c>
      <c r="B72" s="393">
        <f t="shared" ref="B72:B73" si="15">SUM(C72:O72)</f>
        <v>0</v>
      </c>
      <c r="C72" s="393"/>
      <c r="D72" s="393"/>
      <c r="E72" s="393"/>
      <c r="F72" s="393"/>
      <c r="G72" s="393"/>
      <c r="H72" s="393"/>
      <c r="I72" s="393"/>
      <c r="J72" s="393"/>
      <c r="K72" s="393"/>
      <c r="L72" s="393"/>
      <c r="M72" s="393"/>
      <c r="N72" s="393"/>
      <c r="O72" s="394"/>
    </row>
    <row r="73" spans="1:15" customFormat="1" ht="15">
      <c r="A73" s="1024" t="str">
        <f>报表格式!G17</f>
        <v>应付手续费及佣金</v>
      </c>
      <c r="B73" s="393">
        <f t="shared" si="15"/>
        <v>0</v>
      </c>
      <c r="C73" s="393"/>
      <c r="D73" s="393"/>
      <c r="E73" s="393"/>
      <c r="F73" s="393"/>
      <c r="G73" s="393"/>
      <c r="H73" s="393"/>
      <c r="I73" s="393"/>
      <c r="J73" s="393"/>
      <c r="K73" s="393"/>
      <c r="L73" s="393"/>
      <c r="M73" s="393"/>
      <c r="N73" s="393"/>
      <c r="O73" s="394"/>
    </row>
    <row r="74" spans="1:15" customFormat="1" ht="15">
      <c r="A74" s="1024" t="str">
        <f>报表格式!G18</f>
        <v>合同负债</v>
      </c>
      <c r="B74" s="393">
        <f t="shared" si="7"/>
        <v>0</v>
      </c>
      <c r="C74" s="393"/>
      <c r="D74" s="393"/>
      <c r="E74" s="393"/>
      <c r="F74" s="393"/>
      <c r="G74" s="393"/>
      <c r="H74" s="393"/>
      <c r="I74" s="393"/>
      <c r="J74" s="393"/>
      <c r="K74" s="393"/>
      <c r="L74" s="393"/>
      <c r="M74" s="393"/>
      <c r="N74" s="393"/>
      <c r="O74" s="394"/>
    </row>
    <row r="75" spans="1:15" customFormat="1" ht="15">
      <c r="A75" s="1024" t="str">
        <f>报表格式!G19</f>
        <v>应付职工薪酬</v>
      </c>
      <c r="B75" s="393">
        <f t="shared" si="7"/>
        <v>0</v>
      </c>
      <c r="C75" s="393"/>
      <c r="D75" s="393"/>
      <c r="E75" s="393"/>
      <c r="F75" s="393"/>
      <c r="G75" s="393"/>
      <c r="H75" s="393"/>
      <c r="I75" s="393"/>
      <c r="J75" s="393"/>
      <c r="K75" s="393"/>
      <c r="L75" s="393"/>
      <c r="M75" s="393"/>
      <c r="N75" s="393"/>
      <c r="O75" s="394"/>
    </row>
    <row r="76" spans="1:15" customFormat="1" ht="15">
      <c r="A76" s="1024" t="str">
        <f>报表格式!G20</f>
        <v>应交税费</v>
      </c>
      <c r="B76" s="393">
        <f t="shared" si="7"/>
        <v>0</v>
      </c>
      <c r="C76" s="393"/>
      <c r="D76" s="393"/>
      <c r="E76" s="393"/>
      <c r="F76" s="393"/>
      <c r="G76" s="393"/>
      <c r="H76" s="393"/>
      <c r="I76" s="393"/>
      <c r="J76" s="393"/>
      <c r="K76" s="393"/>
      <c r="L76" s="393"/>
      <c r="M76" s="393"/>
      <c r="N76" s="393"/>
      <c r="O76" s="394"/>
    </row>
    <row r="77" spans="1:15" customFormat="1" ht="15">
      <c r="A77" s="1024" t="str">
        <f>报表格式!G21</f>
        <v>其他应付款</v>
      </c>
      <c r="B77" s="393">
        <f t="shared" si="7"/>
        <v>0</v>
      </c>
      <c r="C77" s="393"/>
      <c r="D77" s="393"/>
      <c r="E77" s="393"/>
      <c r="F77" s="393"/>
      <c r="G77" s="393"/>
      <c r="H77" s="393"/>
      <c r="I77" s="393"/>
      <c r="J77" s="393"/>
      <c r="K77" s="393"/>
      <c r="L77" s="393"/>
      <c r="M77" s="393"/>
      <c r="N77" s="393"/>
      <c r="O77" s="394"/>
    </row>
    <row r="78" spans="1:15" customFormat="1" ht="15">
      <c r="A78" s="1024" t="str">
        <f>报表格式!G22</f>
        <v xml:space="preserve">  其中：应付利息</v>
      </c>
      <c r="B78" s="393">
        <f t="shared" ref="B78:B83" si="16">SUM(C78:O78)</f>
        <v>0</v>
      </c>
      <c r="C78" s="393"/>
      <c r="D78" s="393"/>
      <c r="E78" s="393"/>
      <c r="F78" s="393"/>
      <c r="G78" s="393"/>
      <c r="H78" s="393"/>
      <c r="I78" s="393"/>
      <c r="J78" s="393"/>
      <c r="K78" s="393"/>
      <c r="L78" s="393"/>
      <c r="M78" s="393"/>
      <c r="N78" s="393"/>
      <c r="O78" s="394"/>
    </row>
    <row r="79" spans="1:15" customFormat="1" ht="15">
      <c r="A79" s="1024" t="str">
        <f>报表格式!G23</f>
        <v xml:space="preserve">        应付股利</v>
      </c>
      <c r="B79" s="393">
        <f t="shared" si="16"/>
        <v>0</v>
      </c>
      <c r="C79" s="393"/>
      <c r="D79" s="393"/>
      <c r="E79" s="393"/>
      <c r="F79" s="393"/>
      <c r="G79" s="393"/>
      <c r="H79" s="393"/>
      <c r="I79" s="393"/>
      <c r="J79" s="393"/>
      <c r="K79" s="393"/>
      <c r="L79" s="393"/>
      <c r="M79" s="393"/>
      <c r="N79" s="393"/>
      <c r="O79" s="394"/>
    </row>
    <row r="80" spans="1:15" customFormat="1" ht="15">
      <c r="A80" s="1024" t="str">
        <f>报表格式!G24</f>
        <v>应付分保账款</v>
      </c>
      <c r="B80" s="393">
        <f t="shared" si="16"/>
        <v>0</v>
      </c>
      <c r="C80" s="393"/>
      <c r="D80" s="393"/>
      <c r="E80" s="393"/>
      <c r="F80" s="393"/>
      <c r="G80" s="393"/>
      <c r="H80" s="393"/>
      <c r="I80" s="393"/>
      <c r="J80" s="393"/>
      <c r="K80" s="393"/>
      <c r="L80" s="393"/>
      <c r="M80" s="393"/>
      <c r="N80" s="393"/>
      <c r="O80" s="394"/>
    </row>
    <row r="81" spans="1:15" customFormat="1" ht="15">
      <c r="A81" s="1024" t="str">
        <f>报表格式!G25</f>
        <v>保险合同准备金</v>
      </c>
      <c r="B81" s="393">
        <f t="shared" si="16"/>
        <v>0</v>
      </c>
      <c r="C81" s="393"/>
      <c r="D81" s="393"/>
      <c r="E81" s="393"/>
      <c r="F81" s="393"/>
      <c r="G81" s="393"/>
      <c r="H81" s="393"/>
      <c r="I81" s="393"/>
      <c r="J81" s="393"/>
      <c r="K81" s="393"/>
      <c r="L81" s="393"/>
      <c r="M81" s="393"/>
      <c r="N81" s="393"/>
      <c r="O81" s="394"/>
    </row>
    <row r="82" spans="1:15" customFormat="1" ht="15">
      <c r="A82" s="1024" t="str">
        <f>报表格式!G26</f>
        <v>代理买卖证券款</v>
      </c>
      <c r="B82" s="393">
        <f t="shared" si="16"/>
        <v>0</v>
      </c>
      <c r="C82" s="393"/>
      <c r="D82" s="393"/>
      <c r="E82" s="393"/>
      <c r="F82" s="393"/>
      <c r="G82" s="393"/>
      <c r="H82" s="393"/>
      <c r="I82" s="393"/>
      <c r="J82" s="393"/>
      <c r="K82" s="393"/>
      <c r="L82" s="393"/>
      <c r="M82" s="393"/>
      <c r="N82" s="393"/>
      <c r="O82" s="394"/>
    </row>
    <row r="83" spans="1:15" customFormat="1" ht="15">
      <c r="A83" s="1024" t="str">
        <f>报表格式!G27</f>
        <v>代理承销证券款</v>
      </c>
      <c r="B83" s="393">
        <f t="shared" si="16"/>
        <v>0</v>
      </c>
      <c r="C83" s="393"/>
      <c r="D83" s="393"/>
      <c r="E83" s="393"/>
      <c r="F83" s="393"/>
      <c r="G83" s="393"/>
      <c r="H83" s="393"/>
      <c r="I83" s="393"/>
      <c r="J83" s="393"/>
      <c r="K83" s="393"/>
      <c r="L83" s="393"/>
      <c r="M83" s="393"/>
      <c r="N83" s="393"/>
      <c r="O83" s="394"/>
    </row>
    <row r="84" spans="1:15" customFormat="1" ht="15">
      <c r="A84" s="1024" t="str">
        <f>报表格式!G28</f>
        <v>持有待售负债</v>
      </c>
      <c r="B84" s="393">
        <f>SUM(C84:O84)</f>
        <v>0</v>
      </c>
      <c r="C84" s="393"/>
      <c r="D84" s="393"/>
      <c r="E84" s="393"/>
      <c r="F84" s="393"/>
      <c r="G84" s="393"/>
      <c r="H84" s="393"/>
      <c r="I84" s="393"/>
      <c r="J84" s="393"/>
      <c r="K84" s="393"/>
      <c r="L84" s="393"/>
      <c r="M84" s="393"/>
      <c r="N84" s="393"/>
      <c r="O84" s="394"/>
    </row>
    <row r="85" spans="1:15" customFormat="1" ht="15">
      <c r="A85" s="1024" t="str">
        <f>报表格式!G29</f>
        <v>一年内到期的非流动负债</v>
      </c>
      <c r="B85" s="393">
        <f t="shared" si="7"/>
        <v>0</v>
      </c>
      <c r="C85" s="393"/>
      <c r="D85" s="393"/>
      <c r="E85" s="393"/>
      <c r="F85" s="393"/>
      <c r="G85" s="393"/>
      <c r="H85" s="393"/>
      <c r="I85" s="393"/>
      <c r="J85" s="393"/>
      <c r="K85" s="393"/>
      <c r="L85" s="393"/>
      <c r="M85" s="393"/>
      <c r="N85" s="393"/>
      <c r="O85" s="394"/>
    </row>
    <row r="86" spans="1:15" customFormat="1" ht="15">
      <c r="A86" s="1024" t="str">
        <f>报表格式!G30</f>
        <v>其他流动负债</v>
      </c>
      <c r="B86" s="393">
        <f t="shared" si="7"/>
        <v>0</v>
      </c>
      <c r="C86" s="393"/>
      <c r="D86" s="393"/>
      <c r="E86" s="393"/>
      <c r="F86" s="393"/>
      <c r="G86" s="393"/>
      <c r="H86" s="393"/>
      <c r="I86" s="393"/>
      <c r="J86" s="393"/>
      <c r="K86" s="393"/>
      <c r="L86" s="393"/>
      <c r="M86" s="393"/>
      <c r="N86" s="393"/>
      <c r="O86" s="394"/>
    </row>
    <row r="87" spans="1:15" s="642" customFormat="1" ht="15">
      <c r="A87" s="1025" t="str">
        <f>报表格式!G31</f>
        <v>流动负债合计</v>
      </c>
      <c r="B87" s="399">
        <f t="shared" si="7"/>
        <v>0</v>
      </c>
      <c r="C87" s="399">
        <f>SUM(C62:C86)-C78-C79</f>
        <v>0</v>
      </c>
      <c r="D87" s="399">
        <f t="shared" ref="D87:O87" si="17">SUM(D62:D86)-D78-D79</f>
        <v>0</v>
      </c>
      <c r="E87" s="399">
        <f t="shared" si="17"/>
        <v>0</v>
      </c>
      <c r="F87" s="399">
        <f t="shared" si="17"/>
        <v>0</v>
      </c>
      <c r="G87" s="399">
        <f t="shared" si="17"/>
        <v>0</v>
      </c>
      <c r="H87" s="399">
        <f t="shared" si="17"/>
        <v>0</v>
      </c>
      <c r="I87" s="399">
        <f t="shared" si="17"/>
        <v>0</v>
      </c>
      <c r="J87" s="399">
        <f t="shared" si="17"/>
        <v>0</v>
      </c>
      <c r="K87" s="399">
        <f t="shared" si="17"/>
        <v>0</v>
      </c>
      <c r="L87" s="399">
        <f t="shared" si="17"/>
        <v>0</v>
      </c>
      <c r="M87" s="399">
        <f t="shared" si="17"/>
        <v>0</v>
      </c>
      <c r="N87" s="399">
        <f t="shared" si="17"/>
        <v>0</v>
      </c>
      <c r="O87" s="399">
        <f t="shared" si="17"/>
        <v>0</v>
      </c>
    </row>
    <row r="88" spans="1:15" customFormat="1" ht="15">
      <c r="A88" s="1026" t="str">
        <f>报表格式!G32</f>
        <v>非流动负债:</v>
      </c>
      <c r="B88" s="393"/>
      <c r="C88" s="393"/>
      <c r="D88" s="393"/>
      <c r="E88" s="393"/>
      <c r="F88" s="393"/>
      <c r="G88" s="393"/>
      <c r="H88" s="393"/>
      <c r="I88" s="393"/>
      <c r="J88" s="393"/>
      <c r="K88" s="393"/>
      <c r="L88" s="393"/>
      <c r="M88" s="393"/>
      <c r="N88" s="393"/>
      <c r="O88" s="394"/>
    </row>
    <row r="89" spans="1:15" customFormat="1" ht="15">
      <c r="A89" s="1024" t="str">
        <f>报表格式!G33</f>
        <v>长期借款</v>
      </c>
      <c r="B89" s="393">
        <f t="shared" si="7"/>
        <v>0</v>
      </c>
      <c r="C89" s="393"/>
      <c r="D89" s="393"/>
      <c r="E89" s="393"/>
      <c r="F89" s="393"/>
      <c r="G89" s="393"/>
      <c r="H89" s="393"/>
      <c r="I89" s="393"/>
      <c r="J89" s="393"/>
      <c r="K89" s="393"/>
      <c r="L89" s="393"/>
      <c r="M89" s="393"/>
      <c r="N89" s="393"/>
      <c r="O89" s="394"/>
    </row>
    <row r="90" spans="1:15" customFormat="1" ht="15">
      <c r="A90" s="1024" t="str">
        <f>报表格式!G34</f>
        <v>应付债券</v>
      </c>
      <c r="B90" s="393">
        <f t="shared" si="7"/>
        <v>0</v>
      </c>
      <c r="C90" s="393"/>
      <c r="D90" s="393"/>
      <c r="E90" s="393"/>
      <c r="F90" s="393"/>
      <c r="G90" s="393"/>
      <c r="H90" s="393"/>
      <c r="I90" s="393"/>
      <c r="J90" s="393"/>
      <c r="K90" s="393"/>
      <c r="L90" s="393"/>
      <c r="M90" s="393"/>
      <c r="N90" s="393"/>
      <c r="O90" s="394"/>
    </row>
    <row r="91" spans="1:15" customFormat="1" ht="15">
      <c r="A91" s="1024" t="str">
        <f>报表格式!G35</f>
        <v xml:space="preserve">  其中：优先股</v>
      </c>
      <c r="B91" s="393">
        <f>SUM(C91:O91)</f>
        <v>0</v>
      </c>
      <c r="C91" s="393"/>
      <c r="D91" s="393"/>
      <c r="E91" s="393"/>
      <c r="F91" s="393"/>
      <c r="G91" s="393"/>
      <c r="H91" s="393"/>
      <c r="I91" s="393"/>
      <c r="J91" s="393"/>
      <c r="K91" s="393"/>
      <c r="L91" s="393"/>
      <c r="M91" s="393"/>
      <c r="N91" s="393"/>
      <c r="O91" s="394"/>
    </row>
    <row r="92" spans="1:15" customFormat="1" ht="15">
      <c r="A92" s="1029" t="str">
        <f>报表格式!G36</f>
        <v xml:space="preserve">        永续债</v>
      </c>
      <c r="B92" s="393">
        <f>SUM(C92:O92)</f>
        <v>0</v>
      </c>
      <c r="C92" s="393"/>
      <c r="D92" s="393"/>
      <c r="E92" s="393"/>
      <c r="F92" s="393"/>
      <c r="G92" s="393"/>
      <c r="H92" s="393"/>
      <c r="I92" s="393"/>
      <c r="J92" s="393"/>
      <c r="K92" s="393"/>
      <c r="L92" s="393"/>
      <c r="M92" s="393"/>
      <c r="N92" s="393"/>
      <c r="O92" s="394"/>
    </row>
    <row r="93" spans="1:15" customFormat="1" ht="15">
      <c r="A93" s="1024" t="str">
        <f>报表格式!G37</f>
        <v>租赁负债</v>
      </c>
      <c r="B93" s="393">
        <f>SUM(C93:O93)</f>
        <v>0</v>
      </c>
      <c r="C93" s="393"/>
      <c r="D93" s="393"/>
      <c r="E93" s="393"/>
      <c r="F93" s="393"/>
      <c r="G93" s="393"/>
      <c r="H93" s="393"/>
      <c r="I93" s="393"/>
      <c r="J93" s="393"/>
      <c r="K93" s="393"/>
      <c r="L93" s="393"/>
      <c r="M93" s="393"/>
      <c r="N93" s="393"/>
      <c r="O93" s="394"/>
    </row>
    <row r="94" spans="1:15" customFormat="1" ht="15">
      <c r="A94" s="1024" t="str">
        <f>报表格式!G38</f>
        <v>长期应付款</v>
      </c>
      <c r="B94" s="393">
        <f t="shared" si="7"/>
        <v>0</v>
      </c>
      <c r="C94" s="393"/>
      <c r="D94" s="393"/>
      <c r="E94" s="393"/>
      <c r="F94" s="393"/>
      <c r="G94" s="393"/>
      <c r="H94" s="393"/>
      <c r="I94" s="393"/>
      <c r="J94" s="393"/>
      <c r="K94" s="393"/>
      <c r="L94" s="393"/>
      <c r="M94" s="393"/>
      <c r="N94" s="393"/>
      <c r="O94" s="394"/>
    </row>
    <row r="95" spans="1:15" customFormat="1" ht="15">
      <c r="A95" s="1024" t="str">
        <f>报表格式!G39</f>
        <v>长期应付职工薪酬</v>
      </c>
      <c r="B95" s="393">
        <f>SUM(C95:O95)</f>
        <v>0</v>
      </c>
      <c r="C95" s="393"/>
      <c r="D95" s="393"/>
      <c r="E95" s="393"/>
      <c r="F95" s="393"/>
      <c r="G95" s="393"/>
      <c r="H95" s="393"/>
      <c r="I95" s="393"/>
      <c r="J95" s="393"/>
      <c r="K95" s="393"/>
      <c r="L95" s="393"/>
      <c r="M95" s="393"/>
      <c r="N95" s="393"/>
      <c r="O95" s="394"/>
    </row>
    <row r="96" spans="1:15" customFormat="1" ht="15">
      <c r="A96" s="1024" t="str">
        <f>报表格式!G40</f>
        <v>预计负债</v>
      </c>
      <c r="B96" s="393">
        <f t="shared" si="7"/>
        <v>0</v>
      </c>
      <c r="C96" s="393"/>
      <c r="D96" s="393"/>
      <c r="E96" s="393"/>
      <c r="F96" s="393"/>
      <c r="G96" s="393"/>
      <c r="H96" s="393"/>
      <c r="I96" s="393"/>
      <c r="J96" s="393"/>
      <c r="K96" s="393"/>
      <c r="L96" s="393"/>
      <c r="M96" s="393"/>
      <c r="N96" s="393"/>
      <c r="O96" s="394"/>
    </row>
    <row r="97" spans="1:15" customFormat="1" ht="15">
      <c r="A97" s="1024" t="str">
        <f>报表格式!G41</f>
        <v>递延收益</v>
      </c>
      <c r="B97" s="393">
        <f>SUM(C97:O97)</f>
        <v>0</v>
      </c>
      <c r="C97" s="393"/>
      <c r="D97" s="393"/>
      <c r="E97" s="393"/>
      <c r="F97" s="393"/>
      <c r="G97" s="393"/>
      <c r="H97" s="393"/>
      <c r="I97" s="393"/>
      <c r="J97" s="393"/>
      <c r="K97" s="393"/>
      <c r="L97" s="393"/>
      <c r="M97" s="393"/>
      <c r="N97" s="393"/>
      <c r="O97" s="394"/>
    </row>
    <row r="98" spans="1:15" customFormat="1" ht="15">
      <c r="A98" s="1024" t="str">
        <f>报表格式!G42</f>
        <v>递延所得税负债</v>
      </c>
      <c r="B98" s="393">
        <f t="shared" si="7"/>
        <v>0</v>
      </c>
      <c r="C98" s="393"/>
      <c r="D98" s="393"/>
      <c r="E98" s="393"/>
      <c r="F98" s="393"/>
      <c r="G98" s="393"/>
      <c r="H98" s="393"/>
      <c r="I98" s="393"/>
      <c r="J98" s="393"/>
      <c r="K98" s="393"/>
      <c r="L98" s="393"/>
      <c r="M98" s="393"/>
      <c r="N98" s="393"/>
      <c r="O98" s="394"/>
    </row>
    <row r="99" spans="1:15" customFormat="1" ht="15">
      <c r="A99" s="1024" t="str">
        <f>报表格式!G43</f>
        <v>其他非流动负债</v>
      </c>
      <c r="B99" s="393">
        <f t="shared" si="7"/>
        <v>0</v>
      </c>
      <c r="C99" s="393"/>
      <c r="D99" s="393"/>
      <c r="E99" s="393"/>
      <c r="F99" s="393"/>
      <c r="G99" s="393"/>
      <c r="H99" s="393"/>
      <c r="I99" s="393"/>
      <c r="J99" s="393"/>
      <c r="K99" s="393"/>
      <c r="L99" s="393"/>
      <c r="M99" s="393"/>
      <c r="N99" s="393"/>
      <c r="O99" s="394"/>
    </row>
    <row r="100" spans="1:15" s="642" customFormat="1" ht="15">
      <c r="A100" s="1025" t="str">
        <f>报表格式!G44</f>
        <v>非流动负债合计</v>
      </c>
      <c r="B100" s="505">
        <f t="shared" si="7"/>
        <v>0</v>
      </c>
      <c r="C100" s="399">
        <f t="shared" ref="C100:O100" si="18">SUM(C89:C99)-C91-C92</f>
        <v>0</v>
      </c>
      <c r="D100" s="399">
        <f t="shared" si="18"/>
        <v>0</v>
      </c>
      <c r="E100" s="399">
        <f t="shared" si="18"/>
        <v>0</v>
      </c>
      <c r="F100" s="399">
        <f t="shared" si="18"/>
        <v>0</v>
      </c>
      <c r="G100" s="399">
        <f t="shared" si="18"/>
        <v>0</v>
      </c>
      <c r="H100" s="399">
        <f t="shared" si="18"/>
        <v>0</v>
      </c>
      <c r="I100" s="399">
        <f t="shared" si="18"/>
        <v>0</v>
      </c>
      <c r="J100" s="399">
        <f t="shared" si="18"/>
        <v>0</v>
      </c>
      <c r="K100" s="399">
        <f t="shared" si="18"/>
        <v>0</v>
      </c>
      <c r="L100" s="399">
        <f t="shared" si="18"/>
        <v>0</v>
      </c>
      <c r="M100" s="399">
        <f t="shared" si="18"/>
        <v>0</v>
      </c>
      <c r="N100" s="399">
        <f t="shared" si="18"/>
        <v>0</v>
      </c>
      <c r="O100" s="400">
        <f t="shared" si="18"/>
        <v>0</v>
      </c>
    </row>
    <row r="101" spans="1:15" s="642" customFormat="1" ht="15">
      <c r="A101" s="1025" t="str">
        <f>报表格式!G45</f>
        <v>负 债 合 计</v>
      </c>
      <c r="B101" s="410">
        <f>SUM(C101:O101)</f>
        <v>0</v>
      </c>
      <c r="C101" s="399">
        <f t="shared" ref="C101:O101" si="19">SUM(C87,C100)</f>
        <v>0</v>
      </c>
      <c r="D101" s="399">
        <f t="shared" si="19"/>
        <v>0</v>
      </c>
      <c r="E101" s="399">
        <f t="shared" si="19"/>
        <v>0</v>
      </c>
      <c r="F101" s="399">
        <f t="shared" si="19"/>
        <v>0</v>
      </c>
      <c r="G101" s="399">
        <f t="shared" si="19"/>
        <v>0</v>
      </c>
      <c r="H101" s="399">
        <f t="shared" si="19"/>
        <v>0</v>
      </c>
      <c r="I101" s="399">
        <f t="shared" si="19"/>
        <v>0</v>
      </c>
      <c r="J101" s="399">
        <f t="shared" si="19"/>
        <v>0</v>
      </c>
      <c r="K101" s="399">
        <f t="shared" si="19"/>
        <v>0</v>
      </c>
      <c r="L101" s="399">
        <f t="shared" si="19"/>
        <v>0</v>
      </c>
      <c r="M101" s="399">
        <f t="shared" si="19"/>
        <v>0</v>
      </c>
      <c r="N101" s="399">
        <f t="shared" si="19"/>
        <v>0</v>
      </c>
      <c r="O101" s="400">
        <f t="shared" si="19"/>
        <v>0</v>
      </c>
    </row>
    <row r="102" spans="1:15" customFormat="1" ht="15">
      <c r="A102" s="1026" t="str">
        <f>报表格式!G46</f>
        <v>股东权益：</v>
      </c>
      <c r="B102" s="862">
        <f t="shared" ref="B102:B117" si="20">SUM(C102:O102)</f>
        <v>0</v>
      </c>
      <c r="C102" s="393"/>
      <c r="D102" s="393"/>
      <c r="E102" s="393"/>
      <c r="F102" s="393"/>
      <c r="G102" s="393"/>
      <c r="H102" s="393"/>
      <c r="I102" s="393"/>
      <c r="J102" s="393"/>
      <c r="K102" s="393"/>
      <c r="L102" s="393"/>
      <c r="M102" s="393"/>
      <c r="N102" s="393"/>
      <c r="O102" s="394"/>
    </row>
    <row r="103" spans="1:15" customFormat="1" ht="15">
      <c r="A103" s="1024" t="str">
        <f>报表格式!G47</f>
        <v>股本</v>
      </c>
      <c r="B103" s="393">
        <f t="shared" si="20"/>
        <v>0</v>
      </c>
      <c r="C103" s="393"/>
      <c r="D103" s="393"/>
      <c r="E103" s="393"/>
      <c r="F103" s="393"/>
      <c r="G103" s="393"/>
      <c r="H103" s="393"/>
      <c r="I103" s="393"/>
      <c r="J103" s="393"/>
      <c r="K103" s="393"/>
      <c r="L103" s="393"/>
      <c r="M103" s="393"/>
      <c r="N103" s="393"/>
      <c r="O103" s="394"/>
    </row>
    <row r="104" spans="1:15" customFormat="1" ht="15">
      <c r="A104" s="1024" t="str">
        <f>报表格式!G48</f>
        <v>其他权益工具</v>
      </c>
      <c r="B104" s="393">
        <f>SUM(C104:O104)</f>
        <v>0</v>
      </c>
      <c r="C104" s="393"/>
      <c r="D104" s="393"/>
      <c r="E104" s="393"/>
      <c r="F104" s="393"/>
      <c r="G104" s="393"/>
      <c r="H104" s="393"/>
      <c r="I104" s="393"/>
      <c r="J104" s="393"/>
      <c r="K104" s="393"/>
      <c r="L104" s="393"/>
      <c r="M104" s="393"/>
      <c r="N104" s="393"/>
      <c r="O104" s="394"/>
    </row>
    <row r="105" spans="1:15" customFormat="1" ht="15">
      <c r="A105" s="1024" t="str">
        <f>报表格式!G49</f>
        <v xml:space="preserve">  其中：优先股</v>
      </c>
      <c r="B105" s="393">
        <f>SUM(C105:O105)</f>
        <v>0</v>
      </c>
      <c r="C105" s="393"/>
      <c r="D105" s="393"/>
      <c r="E105" s="393"/>
      <c r="F105" s="393"/>
      <c r="G105" s="393"/>
      <c r="H105" s="393"/>
      <c r="I105" s="393"/>
      <c r="J105" s="393"/>
      <c r="K105" s="393"/>
      <c r="L105" s="393"/>
      <c r="M105" s="393"/>
      <c r="N105" s="393"/>
      <c r="O105" s="394"/>
    </row>
    <row r="106" spans="1:15" customFormat="1" ht="15">
      <c r="A106" s="1029" t="str">
        <f>报表格式!G50</f>
        <v xml:space="preserve">        永续债</v>
      </c>
      <c r="B106" s="393">
        <f>SUM(C106:O106)</f>
        <v>0</v>
      </c>
      <c r="C106" s="393"/>
      <c r="D106" s="393"/>
      <c r="E106" s="393"/>
      <c r="F106" s="393"/>
      <c r="G106" s="393"/>
      <c r="H106" s="393"/>
      <c r="I106" s="393"/>
      <c r="J106" s="393"/>
      <c r="K106" s="393"/>
      <c r="L106" s="393"/>
      <c r="M106" s="393"/>
      <c r="N106" s="393"/>
      <c r="O106" s="394"/>
    </row>
    <row r="107" spans="1:15" customFormat="1" ht="15">
      <c r="A107" s="1024" t="str">
        <f>报表格式!G51</f>
        <v>资本公积</v>
      </c>
      <c r="B107" s="393">
        <f t="shared" si="20"/>
        <v>0</v>
      </c>
      <c r="C107" s="393"/>
      <c r="D107" s="393"/>
      <c r="E107" s="393"/>
      <c r="F107" s="393"/>
      <c r="G107" s="393"/>
      <c r="H107" s="393"/>
      <c r="I107" s="393"/>
      <c r="J107" s="393"/>
      <c r="K107" s="393"/>
      <c r="L107" s="393"/>
      <c r="M107" s="393"/>
      <c r="N107" s="393"/>
      <c r="O107" s="394"/>
    </row>
    <row r="108" spans="1:15" customFormat="1" ht="15">
      <c r="A108" s="1024" t="str">
        <f>报表格式!G52</f>
        <v>减：库存股</v>
      </c>
      <c r="B108" s="393">
        <f t="shared" si="20"/>
        <v>0</v>
      </c>
      <c r="C108" s="393"/>
      <c r="D108" s="393"/>
      <c r="E108" s="393"/>
      <c r="F108" s="393"/>
      <c r="G108" s="393"/>
      <c r="H108" s="393"/>
      <c r="I108" s="393"/>
      <c r="J108" s="393"/>
      <c r="K108" s="393"/>
      <c r="L108" s="393"/>
      <c r="M108" s="393"/>
      <c r="N108" s="393"/>
      <c r="O108" s="394"/>
    </row>
    <row r="109" spans="1:15" customFormat="1" ht="15">
      <c r="A109" s="1024" t="str">
        <f>报表格式!G53</f>
        <v>其他综合收益</v>
      </c>
      <c r="B109" s="393">
        <f>SUM(C109:O109)</f>
        <v>0</v>
      </c>
      <c r="C109" s="393"/>
      <c r="D109" s="393"/>
      <c r="E109" s="393"/>
      <c r="F109" s="393"/>
      <c r="G109" s="393"/>
      <c r="H109" s="393"/>
      <c r="I109" s="393"/>
      <c r="J109" s="393"/>
      <c r="K109" s="393"/>
      <c r="L109" s="393"/>
      <c r="M109" s="393"/>
      <c r="N109" s="393"/>
      <c r="O109" s="394"/>
    </row>
    <row r="110" spans="1:15" customFormat="1" ht="15">
      <c r="A110" s="1024" t="str">
        <f>报表格式!G54</f>
        <v>专项储备</v>
      </c>
      <c r="B110" s="393">
        <f t="shared" si="20"/>
        <v>0</v>
      </c>
      <c r="C110" s="393"/>
      <c r="D110" s="393"/>
      <c r="E110" s="393"/>
      <c r="F110" s="393"/>
      <c r="G110" s="393"/>
      <c r="H110" s="393"/>
      <c r="I110" s="393"/>
      <c r="J110" s="393"/>
      <c r="K110" s="393"/>
      <c r="L110" s="393"/>
      <c r="M110" s="393"/>
      <c r="N110" s="393"/>
      <c r="O110" s="394"/>
    </row>
    <row r="111" spans="1:15" customFormat="1" ht="15">
      <c r="A111" s="1024" t="str">
        <f>报表格式!G55</f>
        <v>盈余公积</v>
      </c>
      <c r="B111" s="393">
        <f t="shared" si="20"/>
        <v>0</v>
      </c>
      <c r="C111" s="393"/>
      <c r="D111" s="393"/>
      <c r="E111" s="393"/>
      <c r="F111" s="393"/>
      <c r="G111" s="393"/>
      <c r="H111" s="393"/>
      <c r="I111" s="393"/>
      <c r="J111" s="393"/>
      <c r="K111" s="393"/>
      <c r="L111" s="393"/>
      <c r="M111" s="393"/>
      <c r="N111" s="393"/>
      <c r="O111" s="394"/>
    </row>
    <row r="112" spans="1:15" customFormat="1" ht="15">
      <c r="A112" s="1024" t="str">
        <f>报表格式!G56</f>
        <v>一般风险准备</v>
      </c>
      <c r="B112" s="393">
        <f t="shared" ref="B112" si="21">SUM(C112:O112)</f>
        <v>0</v>
      </c>
      <c r="C112" s="393"/>
      <c r="D112" s="393"/>
      <c r="E112" s="393"/>
      <c r="F112" s="393"/>
      <c r="G112" s="393"/>
      <c r="H112" s="393"/>
      <c r="I112" s="393"/>
      <c r="J112" s="393"/>
      <c r="K112" s="393"/>
      <c r="L112" s="393"/>
      <c r="M112" s="393"/>
      <c r="N112" s="393"/>
      <c r="O112" s="394"/>
    </row>
    <row r="113" spans="1:15" customFormat="1" ht="15">
      <c r="A113" s="1024" t="str">
        <f>报表格式!G57</f>
        <v>未分配利润</v>
      </c>
      <c r="B113" s="393">
        <f t="shared" si="20"/>
        <v>0</v>
      </c>
      <c r="C113" s="393"/>
      <c r="D113" s="393"/>
      <c r="E113" s="393"/>
      <c r="F113" s="393"/>
      <c r="G113" s="393"/>
      <c r="H113" s="393"/>
      <c r="I113" s="393"/>
      <c r="J113" s="393"/>
      <c r="K113" s="393"/>
      <c r="L113" s="393"/>
      <c r="M113" s="393"/>
      <c r="N113" s="393"/>
      <c r="O113" s="394"/>
    </row>
    <row r="114" spans="1:15" customFormat="1" ht="15">
      <c r="A114" s="1030" t="str">
        <f>报表格式!G58</f>
        <v>归属于母公司股东权益合计</v>
      </c>
      <c r="B114" s="399">
        <f t="shared" si="20"/>
        <v>0</v>
      </c>
      <c r="C114" s="812">
        <f>SUM(C103:C104,C107,-C108,C109:C113)</f>
        <v>0</v>
      </c>
      <c r="D114" s="812">
        <f t="shared" ref="D114:O114" si="22">SUM(D103:D104,D107,-D108,D109:D113)</f>
        <v>0</v>
      </c>
      <c r="E114" s="812">
        <f t="shared" si="22"/>
        <v>0</v>
      </c>
      <c r="F114" s="812">
        <f t="shared" si="22"/>
        <v>0</v>
      </c>
      <c r="G114" s="812">
        <f t="shared" si="22"/>
        <v>0</v>
      </c>
      <c r="H114" s="812">
        <f t="shared" si="22"/>
        <v>0</v>
      </c>
      <c r="I114" s="812">
        <f t="shared" si="22"/>
        <v>0</v>
      </c>
      <c r="J114" s="812">
        <f t="shared" si="22"/>
        <v>0</v>
      </c>
      <c r="K114" s="812">
        <f t="shared" si="22"/>
        <v>0</v>
      </c>
      <c r="L114" s="812">
        <f t="shared" si="22"/>
        <v>0</v>
      </c>
      <c r="M114" s="812">
        <f t="shared" si="22"/>
        <v>0</v>
      </c>
      <c r="N114" s="812">
        <f t="shared" si="22"/>
        <v>0</v>
      </c>
      <c r="O114" s="813">
        <f t="shared" si="22"/>
        <v>0</v>
      </c>
    </row>
    <row r="115" spans="1:15" customFormat="1" ht="15">
      <c r="A115" s="1024" t="str">
        <f>报表格式!G59</f>
        <v>少数股东权益</v>
      </c>
      <c r="B115" s="393">
        <f t="shared" si="20"/>
        <v>0</v>
      </c>
      <c r="C115" s="393"/>
      <c r="D115" s="393"/>
      <c r="E115" s="393"/>
      <c r="F115" s="393"/>
      <c r="G115" s="393"/>
      <c r="H115" s="393"/>
      <c r="I115" s="393"/>
      <c r="J115" s="393"/>
      <c r="K115" s="393"/>
      <c r="L115" s="393"/>
      <c r="M115" s="393"/>
      <c r="N115" s="393"/>
      <c r="O115" s="394"/>
    </row>
    <row r="116" spans="1:15" customFormat="1" ht="15">
      <c r="A116" s="1008" t="str">
        <f>报表格式!G60</f>
        <v>股东权益合计</v>
      </c>
      <c r="B116" s="505">
        <f t="shared" si="20"/>
        <v>0</v>
      </c>
      <c r="C116" s="399">
        <f t="shared" ref="C116:O116" si="23">SUM(C114:C115)</f>
        <v>0</v>
      </c>
      <c r="D116" s="399">
        <f t="shared" si="23"/>
        <v>0</v>
      </c>
      <c r="E116" s="399">
        <f t="shared" si="23"/>
        <v>0</v>
      </c>
      <c r="F116" s="399">
        <f t="shared" si="23"/>
        <v>0</v>
      </c>
      <c r="G116" s="399">
        <f t="shared" si="23"/>
        <v>0</v>
      </c>
      <c r="H116" s="399">
        <f t="shared" si="23"/>
        <v>0</v>
      </c>
      <c r="I116" s="399">
        <f t="shared" si="23"/>
        <v>0</v>
      </c>
      <c r="J116" s="399">
        <f t="shared" si="23"/>
        <v>0</v>
      </c>
      <c r="K116" s="399">
        <f t="shared" si="23"/>
        <v>0</v>
      </c>
      <c r="L116" s="399">
        <f t="shared" si="23"/>
        <v>0</v>
      </c>
      <c r="M116" s="399">
        <f t="shared" si="23"/>
        <v>0</v>
      </c>
      <c r="N116" s="399">
        <f t="shared" si="23"/>
        <v>0</v>
      </c>
      <c r="O116" s="400">
        <f t="shared" si="23"/>
        <v>0</v>
      </c>
    </row>
    <row r="117" spans="1:15" customFormat="1" ht="15">
      <c r="A117" s="1031" t="str">
        <f>报表格式!G61</f>
        <v>负债和股东权益合计</v>
      </c>
      <c r="B117" s="419">
        <f t="shared" si="20"/>
        <v>0</v>
      </c>
      <c r="C117" s="419">
        <f t="shared" ref="C117:O117" si="24">SUM(C101,C116)</f>
        <v>0</v>
      </c>
      <c r="D117" s="419">
        <f t="shared" si="24"/>
        <v>0</v>
      </c>
      <c r="E117" s="419">
        <f t="shared" si="24"/>
        <v>0</v>
      </c>
      <c r="F117" s="419">
        <f t="shared" si="24"/>
        <v>0</v>
      </c>
      <c r="G117" s="419">
        <f t="shared" si="24"/>
        <v>0</v>
      </c>
      <c r="H117" s="419">
        <f t="shared" si="24"/>
        <v>0</v>
      </c>
      <c r="I117" s="419">
        <f t="shared" si="24"/>
        <v>0</v>
      </c>
      <c r="J117" s="419">
        <f t="shared" si="24"/>
        <v>0</v>
      </c>
      <c r="K117" s="419">
        <f t="shared" si="24"/>
        <v>0</v>
      </c>
      <c r="L117" s="419">
        <f t="shared" si="24"/>
        <v>0</v>
      </c>
      <c r="M117" s="419">
        <f t="shared" si="24"/>
        <v>0</v>
      </c>
      <c r="N117" s="419">
        <f t="shared" si="24"/>
        <v>0</v>
      </c>
      <c r="O117" s="420">
        <f t="shared" si="24"/>
        <v>0</v>
      </c>
    </row>
    <row r="118" spans="1:15" customFormat="1" ht="15">
      <c r="A118" s="1003"/>
      <c r="B118" s="383"/>
      <c r="C118" s="383"/>
      <c r="D118" s="383"/>
      <c r="E118" s="383"/>
      <c r="F118" s="383"/>
      <c r="G118" s="383"/>
      <c r="H118" s="383"/>
      <c r="I118" s="383"/>
      <c r="J118" s="383"/>
      <c r="K118" s="383"/>
      <c r="L118" s="383"/>
      <c r="M118" s="383"/>
      <c r="N118" s="383"/>
      <c r="O118" s="435"/>
    </row>
    <row r="119" spans="1:15" customFormat="1" ht="15">
      <c r="A119" s="1003"/>
      <c r="B119" s="383"/>
      <c r="C119" s="383"/>
      <c r="D119" s="383"/>
      <c r="E119" s="383"/>
      <c r="F119" s="383"/>
      <c r="G119" s="383"/>
      <c r="H119" s="383"/>
      <c r="I119" s="383"/>
      <c r="J119" s="383"/>
      <c r="K119" s="383"/>
      <c r="L119" s="383"/>
      <c r="M119" s="383"/>
      <c r="N119" s="383"/>
      <c r="O119" s="435"/>
    </row>
    <row r="120" spans="1:15" customFormat="1" ht="15">
      <c r="A120" s="1016" t="s">
        <v>101</v>
      </c>
      <c r="B120" s="388"/>
      <c r="C120" s="383"/>
      <c r="D120" s="383"/>
      <c r="E120" s="383"/>
      <c r="F120" s="383"/>
      <c r="G120" s="383"/>
      <c r="H120" s="383"/>
      <c r="I120" s="383"/>
      <c r="J120" s="383"/>
      <c r="K120" s="383"/>
      <c r="L120" s="383"/>
      <c r="M120" s="383"/>
      <c r="N120" s="383"/>
      <c r="O120" s="435"/>
    </row>
    <row r="121" spans="1:15" customFormat="1" ht="15">
      <c r="A121" s="1017" t="s">
        <v>102</v>
      </c>
      <c r="B121" s="432">
        <f>B59-B117</f>
        <v>0</v>
      </c>
      <c r="C121" s="643">
        <f t="shared" ref="C121:O121" si="25">C59-C117</f>
        <v>0</v>
      </c>
      <c r="D121" s="643">
        <f t="shared" si="25"/>
        <v>0</v>
      </c>
      <c r="E121" s="643">
        <f t="shared" si="25"/>
        <v>0</v>
      </c>
      <c r="F121" s="643">
        <f t="shared" si="25"/>
        <v>0</v>
      </c>
      <c r="G121" s="643">
        <f t="shared" si="25"/>
        <v>0</v>
      </c>
      <c r="H121" s="643">
        <f t="shared" si="25"/>
        <v>0</v>
      </c>
      <c r="I121" s="643">
        <f t="shared" si="25"/>
        <v>0</v>
      </c>
      <c r="J121" s="643">
        <f t="shared" si="25"/>
        <v>0</v>
      </c>
      <c r="K121" s="643">
        <f t="shared" si="25"/>
        <v>0</v>
      </c>
      <c r="L121" s="643">
        <f t="shared" si="25"/>
        <v>0</v>
      </c>
      <c r="M121" s="643">
        <f t="shared" si="25"/>
        <v>0</v>
      </c>
      <c r="N121" s="643">
        <f t="shared" si="25"/>
        <v>0</v>
      </c>
      <c r="O121" s="643">
        <f t="shared" si="25"/>
        <v>0</v>
      </c>
    </row>
    <row r="122" spans="1:15" customFormat="1" ht="15">
      <c r="A122" s="1018" t="s">
        <v>542</v>
      </c>
      <c r="B122" s="432">
        <f t="shared" ref="B122:O122" si="26">SUM(B7:B30)-B21-B22-B31</f>
        <v>0</v>
      </c>
      <c r="C122" s="432">
        <f t="shared" si="26"/>
        <v>0</v>
      </c>
      <c r="D122" s="432">
        <f t="shared" si="26"/>
        <v>0</v>
      </c>
      <c r="E122" s="432">
        <f t="shared" si="26"/>
        <v>0</v>
      </c>
      <c r="F122" s="432">
        <f t="shared" si="26"/>
        <v>0</v>
      </c>
      <c r="G122" s="432">
        <f t="shared" si="26"/>
        <v>0</v>
      </c>
      <c r="H122" s="432">
        <f t="shared" si="26"/>
        <v>0</v>
      </c>
      <c r="I122" s="432">
        <f t="shared" si="26"/>
        <v>0</v>
      </c>
      <c r="J122" s="432">
        <f t="shared" si="26"/>
        <v>0</v>
      </c>
      <c r="K122" s="432">
        <f t="shared" si="26"/>
        <v>0</v>
      </c>
      <c r="L122" s="432">
        <f t="shared" si="26"/>
        <v>0</v>
      </c>
      <c r="M122" s="432">
        <f t="shared" si="26"/>
        <v>0</v>
      </c>
      <c r="N122" s="432">
        <f t="shared" si="26"/>
        <v>0</v>
      </c>
      <c r="O122" s="432">
        <f t="shared" si="26"/>
        <v>0</v>
      </c>
    </row>
    <row r="123" spans="1:15" customFormat="1" ht="15">
      <c r="A123" s="1017" t="s">
        <v>104</v>
      </c>
      <c r="B123" s="432">
        <f>SUM(B33:B57)-B58</f>
        <v>0</v>
      </c>
      <c r="C123" s="432">
        <f t="shared" ref="C123:O123" si="27">SUM(C33:C57)-C58</f>
        <v>0</v>
      </c>
      <c r="D123" s="432">
        <f t="shared" si="27"/>
        <v>0</v>
      </c>
      <c r="E123" s="432">
        <f t="shared" si="27"/>
        <v>0</v>
      </c>
      <c r="F123" s="432">
        <f t="shared" si="27"/>
        <v>0</v>
      </c>
      <c r="G123" s="432">
        <f t="shared" si="27"/>
        <v>0</v>
      </c>
      <c r="H123" s="432">
        <f t="shared" si="27"/>
        <v>0</v>
      </c>
      <c r="I123" s="432">
        <f t="shared" si="27"/>
        <v>0</v>
      </c>
      <c r="J123" s="432">
        <f t="shared" si="27"/>
        <v>0</v>
      </c>
      <c r="K123" s="432">
        <f t="shared" si="27"/>
        <v>0</v>
      </c>
      <c r="L123" s="432">
        <f t="shared" si="27"/>
        <v>0</v>
      </c>
      <c r="M123" s="432">
        <f t="shared" si="27"/>
        <v>0</v>
      </c>
      <c r="N123" s="432">
        <f t="shared" si="27"/>
        <v>0</v>
      </c>
      <c r="O123" s="432">
        <f t="shared" si="27"/>
        <v>0</v>
      </c>
    </row>
    <row r="124" spans="1:15" customFormat="1" ht="15">
      <c r="A124" s="1018" t="s">
        <v>543</v>
      </c>
      <c r="B124" s="432">
        <f>B31+B58-B59</f>
        <v>0</v>
      </c>
      <c r="C124" s="643">
        <f t="shared" ref="C124:O124" si="28">C31+C58-C59</f>
        <v>0</v>
      </c>
      <c r="D124" s="643">
        <f t="shared" si="28"/>
        <v>0</v>
      </c>
      <c r="E124" s="643">
        <f t="shared" si="28"/>
        <v>0</v>
      </c>
      <c r="F124" s="643">
        <f t="shared" si="28"/>
        <v>0</v>
      </c>
      <c r="G124" s="643">
        <f t="shared" si="28"/>
        <v>0</v>
      </c>
      <c r="H124" s="643">
        <f t="shared" si="28"/>
        <v>0</v>
      </c>
      <c r="I124" s="643">
        <f t="shared" si="28"/>
        <v>0</v>
      </c>
      <c r="J124" s="643">
        <f t="shared" si="28"/>
        <v>0</v>
      </c>
      <c r="K124" s="643">
        <f t="shared" si="28"/>
        <v>0</v>
      </c>
      <c r="L124" s="643">
        <f t="shared" si="28"/>
        <v>0</v>
      </c>
      <c r="M124" s="643">
        <f t="shared" si="28"/>
        <v>0</v>
      </c>
      <c r="N124" s="643">
        <f t="shared" si="28"/>
        <v>0</v>
      </c>
      <c r="O124" s="643">
        <f t="shared" si="28"/>
        <v>0</v>
      </c>
    </row>
    <row r="125" spans="1:15" customFormat="1" ht="15">
      <c r="A125" s="1018" t="s">
        <v>544</v>
      </c>
      <c r="B125" s="432">
        <f>SUM(B62:B86)-B78-B79-B87</f>
        <v>0</v>
      </c>
      <c r="C125" s="432">
        <f t="shared" ref="C125:O125" si="29">SUM(C62:C86)-C78-C79-C87</f>
        <v>0</v>
      </c>
      <c r="D125" s="432">
        <f t="shared" si="29"/>
        <v>0</v>
      </c>
      <c r="E125" s="432">
        <f t="shared" si="29"/>
        <v>0</v>
      </c>
      <c r="F125" s="432">
        <f t="shared" si="29"/>
        <v>0</v>
      </c>
      <c r="G125" s="432">
        <f t="shared" si="29"/>
        <v>0</v>
      </c>
      <c r="H125" s="432">
        <f t="shared" si="29"/>
        <v>0</v>
      </c>
      <c r="I125" s="432">
        <f t="shared" si="29"/>
        <v>0</v>
      </c>
      <c r="J125" s="432">
        <f t="shared" si="29"/>
        <v>0</v>
      </c>
      <c r="K125" s="432">
        <f t="shared" si="29"/>
        <v>0</v>
      </c>
      <c r="L125" s="432">
        <f t="shared" si="29"/>
        <v>0</v>
      </c>
      <c r="M125" s="432">
        <f t="shared" si="29"/>
        <v>0</v>
      </c>
      <c r="N125" s="432">
        <f t="shared" si="29"/>
        <v>0</v>
      </c>
      <c r="O125" s="432">
        <f t="shared" si="29"/>
        <v>0</v>
      </c>
    </row>
    <row r="126" spans="1:15" customFormat="1" ht="15">
      <c r="A126" s="1017" t="s">
        <v>106</v>
      </c>
      <c r="B126" s="432">
        <f>SUM(B89:B99)-B91-B92-B100</f>
        <v>0</v>
      </c>
      <c r="C126" s="432">
        <f t="shared" ref="C126:O126" si="30">SUM(C89:C99)-C91-C92-C100</f>
        <v>0</v>
      </c>
      <c r="D126" s="432">
        <f t="shared" si="30"/>
        <v>0</v>
      </c>
      <c r="E126" s="432">
        <f t="shared" si="30"/>
        <v>0</v>
      </c>
      <c r="F126" s="432">
        <f t="shared" si="30"/>
        <v>0</v>
      </c>
      <c r="G126" s="432">
        <f t="shared" si="30"/>
        <v>0</v>
      </c>
      <c r="H126" s="432">
        <f t="shared" si="30"/>
        <v>0</v>
      </c>
      <c r="I126" s="432">
        <f t="shared" si="30"/>
        <v>0</v>
      </c>
      <c r="J126" s="432">
        <f t="shared" si="30"/>
        <v>0</v>
      </c>
      <c r="K126" s="432">
        <f t="shared" si="30"/>
        <v>0</v>
      </c>
      <c r="L126" s="432">
        <f t="shared" si="30"/>
        <v>0</v>
      </c>
      <c r="M126" s="432">
        <f t="shared" si="30"/>
        <v>0</v>
      </c>
      <c r="N126" s="432">
        <f t="shared" si="30"/>
        <v>0</v>
      </c>
      <c r="O126" s="432">
        <f t="shared" si="30"/>
        <v>0</v>
      </c>
    </row>
    <row r="127" spans="1:15" customFormat="1" ht="15">
      <c r="A127" s="1018" t="s">
        <v>545</v>
      </c>
      <c r="B127" s="432">
        <f>B87+B100-B101</f>
        <v>0</v>
      </c>
      <c r="C127" s="643">
        <f t="shared" ref="C127:O127" si="31">C87+C100-C101</f>
        <v>0</v>
      </c>
      <c r="D127" s="643">
        <f t="shared" si="31"/>
        <v>0</v>
      </c>
      <c r="E127" s="643">
        <f t="shared" si="31"/>
        <v>0</v>
      </c>
      <c r="F127" s="643">
        <f t="shared" si="31"/>
        <v>0</v>
      </c>
      <c r="G127" s="643">
        <f t="shared" si="31"/>
        <v>0</v>
      </c>
      <c r="H127" s="643">
        <f t="shared" si="31"/>
        <v>0</v>
      </c>
      <c r="I127" s="643">
        <f t="shared" si="31"/>
        <v>0</v>
      </c>
      <c r="J127" s="643">
        <f t="shared" si="31"/>
        <v>0</v>
      </c>
      <c r="K127" s="643">
        <f t="shared" si="31"/>
        <v>0</v>
      </c>
      <c r="L127" s="643">
        <f t="shared" si="31"/>
        <v>0</v>
      </c>
      <c r="M127" s="643">
        <f t="shared" si="31"/>
        <v>0</v>
      </c>
      <c r="N127" s="643">
        <f t="shared" si="31"/>
        <v>0</v>
      </c>
      <c r="O127" s="643">
        <f t="shared" si="31"/>
        <v>0</v>
      </c>
    </row>
    <row r="128" spans="1:15" customFormat="1" ht="15">
      <c r="A128" s="1017" t="s">
        <v>108</v>
      </c>
      <c r="B128" s="822">
        <f>SUM(B103:B104,B107,-B108,B109:B113)-B114</f>
        <v>0</v>
      </c>
      <c r="C128" s="822">
        <f t="shared" ref="C128:O128" si="32">SUM(C103:C104,C107,-C108,C109:C113)-C114</f>
        <v>0</v>
      </c>
      <c r="D128" s="822">
        <f t="shared" si="32"/>
        <v>0</v>
      </c>
      <c r="E128" s="822">
        <f t="shared" si="32"/>
        <v>0</v>
      </c>
      <c r="F128" s="822">
        <f t="shared" si="32"/>
        <v>0</v>
      </c>
      <c r="G128" s="822">
        <f t="shared" si="32"/>
        <v>0</v>
      </c>
      <c r="H128" s="822">
        <f t="shared" si="32"/>
        <v>0</v>
      </c>
      <c r="I128" s="822">
        <f t="shared" si="32"/>
        <v>0</v>
      </c>
      <c r="J128" s="822">
        <f t="shared" si="32"/>
        <v>0</v>
      </c>
      <c r="K128" s="822">
        <f t="shared" si="32"/>
        <v>0</v>
      </c>
      <c r="L128" s="822">
        <f t="shared" si="32"/>
        <v>0</v>
      </c>
      <c r="M128" s="822">
        <f t="shared" si="32"/>
        <v>0</v>
      </c>
      <c r="N128" s="822">
        <f t="shared" si="32"/>
        <v>0</v>
      </c>
      <c r="O128" s="822">
        <f t="shared" si="32"/>
        <v>0</v>
      </c>
    </row>
    <row r="129" spans="1:15" customFormat="1" ht="15">
      <c r="A129" s="1017" t="s">
        <v>110</v>
      </c>
      <c r="B129" s="432">
        <f>B114+B115-B116</f>
        <v>0</v>
      </c>
      <c r="C129" s="643">
        <f>C114+C115-C116</f>
        <v>0</v>
      </c>
      <c r="D129" s="643">
        <f t="shared" ref="D129:O129" si="33">D114+D115-D116</f>
        <v>0</v>
      </c>
      <c r="E129" s="643">
        <f t="shared" si="33"/>
        <v>0</v>
      </c>
      <c r="F129" s="643">
        <f t="shared" si="33"/>
        <v>0</v>
      </c>
      <c r="G129" s="643">
        <f t="shared" si="33"/>
        <v>0</v>
      </c>
      <c r="H129" s="643">
        <f t="shared" si="33"/>
        <v>0</v>
      </c>
      <c r="I129" s="643">
        <f t="shared" si="33"/>
        <v>0</v>
      </c>
      <c r="J129" s="643">
        <f t="shared" si="33"/>
        <v>0</v>
      </c>
      <c r="K129" s="643">
        <f t="shared" si="33"/>
        <v>0</v>
      </c>
      <c r="L129" s="643">
        <f t="shared" si="33"/>
        <v>0</v>
      </c>
      <c r="M129" s="643">
        <f t="shared" si="33"/>
        <v>0</v>
      </c>
      <c r="N129" s="643">
        <f t="shared" si="33"/>
        <v>0</v>
      </c>
      <c r="O129" s="643">
        <f t="shared" si="33"/>
        <v>0</v>
      </c>
    </row>
    <row r="130" spans="1:15" customFormat="1" ht="15">
      <c r="A130" s="1018" t="s">
        <v>546</v>
      </c>
      <c r="B130" s="432">
        <f>B101+B116-B117</f>
        <v>0</v>
      </c>
      <c r="C130" s="643">
        <f t="shared" ref="C130:O130" si="34">C101+C116-C117</f>
        <v>0</v>
      </c>
      <c r="D130" s="643">
        <f t="shared" si="34"/>
        <v>0</v>
      </c>
      <c r="E130" s="643">
        <f t="shared" si="34"/>
        <v>0</v>
      </c>
      <c r="F130" s="643">
        <f t="shared" si="34"/>
        <v>0</v>
      </c>
      <c r="G130" s="643">
        <f t="shared" si="34"/>
        <v>0</v>
      </c>
      <c r="H130" s="643">
        <f t="shared" si="34"/>
        <v>0</v>
      </c>
      <c r="I130" s="643">
        <f t="shared" si="34"/>
        <v>0</v>
      </c>
      <c r="J130" s="643">
        <f t="shared" si="34"/>
        <v>0</v>
      </c>
      <c r="K130" s="643">
        <f t="shared" si="34"/>
        <v>0</v>
      </c>
      <c r="L130" s="643">
        <f t="shared" si="34"/>
        <v>0</v>
      </c>
      <c r="M130" s="643">
        <f t="shared" si="34"/>
        <v>0</v>
      </c>
      <c r="N130" s="643">
        <f t="shared" si="34"/>
        <v>0</v>
      </c>
      <c r="O130" s="643">
        <f t="shared" si="34"/>
        <v>0</v>
      </c>
    </row>
    <row r="131" spans="1:15" customFormat="1" ht="15">
      <c r="A131" s="1003"/>
      <c r="B131" s="383"/>
      <c r="C131" s="383"/>
      <c r="D131" s="383"/>
      <c r="E131" s="383"/>
      <c r="F131" s="383"/>
      <c r="G131" s="383"/>
      <c r="H131" s="383"/>
      <c r="I131" s="383"/>
      <c r="J131" s="383"/>
      <c r="K131" s="383"/>
      <c r="L131" s="383"/>
      <c r="M131" s="383"/>
      <c r="N131" s="383"/>
      <c r="O131" s="435"/>
    </row>
    <row r="132" spans="1:15">
      <c r="A132" s="1019"/>
    </row>
  </sheetData>
  <phoneticPr fontId="13" type="noConversion"/>
  <printOptions horizontalCentered="1"/>
  <pageMargins left="0.74803149606299202" right="0.74803149606299202" top="0.98425196850393704" bottom="0.98425196850393704" header="0.511811023622047" footer="0.511811023622047"/>
  <pageSetup paperSize="9" scale="44" orientation="portrait" cellComments="asDisplayed" r:id="rId1"/>
  <headerFooter alignWithMargins="0">
    <oddHeader>&amp;C&amp;F/&amp;A&amp;R
&amp;T  &amp;D</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indexed="38"/>
    <pageSetUpPr fitToPage="1"/>
  </sheetPr>
  <dimension ref="A1:O101"/>
  <sheetViews>
    <sheetView showZeros="0" workbookViewId="0">
      <pane xSplit="2" ySplit="5" topLeftCell="C6" activePane="bottomRight" state="frozen"/>
      <selection activeCell="H6" sqref="H6"/>
      <selection pane="topRight" activeCell="H6" sqref="H6"/>
      <selection pane="bottomLeft" activeCell="H6" sqref="H6"/>
      <selection pane="bottomRight" activeCell="D77" sqref="D77"/>
    </sheetView>
  </sheetViews>
  <sheetFormatPr defaultColWidth="9" defaultRowHeight="12.75"/>
  <cols>
    <col min="1" max="1" width="33.5" style="1003" customWidth="1"/>
    <col min="2" max="2" width="12.5" style="383" customWidth="1"/>
    <col min="3" max="3" width="12.875" style="383" bestFit="1" customWidth="1"/>
    <col min="4" max="12" width="7.875" style="383" customWidth="1"/>
    <col min="13" max="13" width="8.625" style="383" customWidth="1"/>
    <col min="14" max="14" width="9" style="383"/>
    <col min="15" max="15" width="8.875" style="383" customWidth="1"/>
    <col min="16" max="16384" width="9" style="383"/>
  </cols>
  <sheetData>
    <row r="1" spans="1:15" ht="18.75">
      <c r="A1" s="1002" t="s">
        <v>945</v>
      </c>
    </row>
    <row r="2" spans="1:15">
      <c r="A2" s="1003" t="str">
        <f>CONCATENATE("客户名称：",说明!E23)</f>
        <v>客户名称：</v>
      </c>
    </row>
    <row r="3" spans="1:15">
      <c r="A3" s="1003" t="str">
        <f>CONCATENATE("会计期间：",说明!E30)</f>
        <v>会计期间：2019年度</v>
      </c>
    </row>
    <row r="4" spans="1:15" s="1004" customFormat="1">
      <c r="D4" s="1004">
        <v>1</v>
      </c>
      <c r="E4" s="1004">
        <v>2</v>
      </c>
      <c r="F4" s="1004">
        <v>3</v>
      </c>
      <c r="G4" s="1004">
        <v>4</v>
      </c>
      <c r="H4" s="1004">
        <v>5</v>
      </c>
      <c r="I4" s="1004">
        <v>6</v>
      </c>
      <c r="J4" s="1004">
        <v>7</v>
      </c>
      <c r="K4" s="1004">
        <v>8</v>
      </c>
      <c r="L4" s="1004">
        <v>9</v>
      </c>
      <c r="M4" s="1004">
        <v>10</v>
      </c>
    </row>
    <row r="5" spans="1:15" s="385" customFormat="1">
      <c r="A5" s="1031" t="str">
        <f>报表格式!L4</f>
        <v>报表项目</v>
      </c>
      <c r="B5" s="426" t="s">
        <v>524</v>
      </c>
      <c r="C5" s="427" t="s">
        <v>525</v>
      </c>
      <c r="D5" s="428" t="s">
        <v>526</v>
      </c>
      <c r="E5" s="428" t="s">
        <v>486</v>
      </c>
      <c r="F5" s="428" t="s">
        <v>487</v>
      </c>
      <c r="G5" s="428" t="s">
        <v>488</v>
      </c>
      <c r="H5" s="428" t="s">
        <v>489</v>
      </c>
      <c r="I5" s="428" t="s">
        <v>490</v>
      </c>
      <c r="J5" s="428" t="s">
        <v>491</v>
      </c>
      <c r="K5" s="428" t="s">
        <v>492</v>
      </c>
      <c r="L5" s="428" t="s">
        <v>493</v>
      </c>
      <c r="M5" s="428" t="s">
        <v>494</v>
      </c>
      <c r="N5" s="428"/>
      <c r="O5" s="765" t="s">
        <v>527</v>
      </c>
    </row>
    <row r="6" spans="1:15" s="389" customFormat="1">
      <c r="A6" s="1032" t="str">
        <f>报表格式!L5</f>
        <v>一、营业收入</v>
      </c>
      <c r="B6" s="422">
        <f>SUM(C6:O6)</f>
        <v>0</v>
      </c>
      <c r="C6" s="422"/>
      <c r="D6" s="422"/>
      <c r="E6" s="422"/>
      <c r="F6" s="422"/>
      <c r="G6" s="422"/>
      <c r="H6" s="422"/>
      <c r="I6" s="422"/>
      <c r="J6" s="422"/>
      <c r="K6" s="422"/>
      <c r="L6" s="422"/>
      <c r="M6" s="422"/>
      <c r="N6" s="422"/>
      <c r="O6" s="423"/>
    </row>
    <row r="7" spans="1:15">
      <c r="A7" s="1024" t="str">
        <f>报表格式!L6</f>
        <v xml:space="preserve">        其中：主营业务收入</v>
      </c>
      <c r="B7" s="393">
        <f t="shared" ref="B7:B77" si="0">SUM(C7:O7)</f>
        <v>0</v>
      </c>
      <c r="C7" s="393"/>
      <c r="D7" s="393"/>
      <c r="E7" s="393"/>
      <c r="F7" s="393"/>
      <c r="G7" s="393"/>
      <c r="H7" s="393"/>
      <c r="I7" s="393"/>
      <c r="J7" s="393"/>
      <c r="K7" s="393"/>
      <c r="L7" s="393"/>
      <c r="M7" s="393"/>
      <c r="N7" s="393"/>
      <c r="O7" s="394"/>
    </row>
    <row r="8" spans="1:15">
      <c r="A8" s="1024" t="str">
        <f>报表格式!L7</f>
        <v xml:space="preserve">              利息收入</v>
      </c>
      <c r="B8" s="393">
        <f t="shared" ref="B8:B10" si="1">SUM(C8:O8)</f>
        <v>0</v>
      </c>
      <c r="C8" s="393"/>
      <c r="D8" s="393"/>
      <c r="E8" s="393"/>
      <c r="F8" s="393"/>
      <c r="G8" s="393"/>
      <c r="H8" s="393"/>
      <c r="I8" s="393"/>
      <c r="J8" s="393"/>
      <c r="K8" s="393"/>
      <c r="L8" s="393"/>
      <c r="M8" s="393"/>
      <c r="N8" s="393"/>
      <c r="O8" s="394"/>
    </row>
    <row r="9" spans="1:15">
      <c r="A9" s="1024" t="str">
        <f>报表格式!L8</f>
        <v xml:space="preserve">              已赚保费</v>
      </c>
      <c r="B9" s="393">
        <f t="shared" si="1"/>
        <v>0</v>
      </c>
      <c r="C9" s="393"/>
      <c r="D9" s="393"/>
      <c r="E9" s="393"/>
      <c r="F9" s="393"/>
      <c r="G9" s="393"/>
      <c r="H9" s="393"/>
      <c r="I9" s="393"/>
      <c r="J9" s="393"/>
      <c r="K9" s="393"/>
      <c r="L9" s="393"/>
      <c r="M9" s="393"/>
      <c r="N9" s="393"/>
      <c r="O9" s="394"/>
    </row>
    <row r="10" spans="1:15">
      <c r="A10" s="1024" t="str">
        <f>报表格式!L9</f>
        <v xml:space="preserve">              手续费及佣金收入</v>
      </c>
      <c r="B10" s="393">
        <f t="shared" si="1"/>
        <v>0</v>
      </c>
      <c r="C10" s="393"/>
      <c r="D10" s="393"/>
      <c r="E10" s="393"/>
      <c r="F10" s="393"/>
      <c r="G10" s="393"/>
      <c r="H10" s="393"/>
      <c r="I10" s="393"/>
      <c r="J10" s="393"/>
      <c r="K10" s="393"/>
      <c r="L10" s="393"/>
      <c r="M10" s="393"/>
      <c r="N10" s="393"/>
      <c r="O10" s="394"/>
    </row>
    <row r="11" spans="1:15">
      <c r="A11" s="1024" t="str">
        <f>报表格式!L10</f>
        <v xml:space="preserve">              其他业务收入</v>
      </c>
      <c r="B11" s="393">
        <f t="shared" si="0"/>
        <v>0</v>
      </c>
      <c r="C11" s="393"/>
      <c r="D11" s="393"/>
      <c r="E11" s="393"/>
      <c r="F11" s="393"/>
      <c r="G11" s="393"/>
      <c r="H11" s="393"/>
      <c r="I11" s="393"/>
      <c r="J11" s="393"/>
      <c r="K11" s="393"/>
      <c r="L11" s="393"/>
      <c r="M11" s="393"/>
      <c r="N11" s="393"/>
      <c r="O11" s="394"/>
    </row>
    <row r="12" spans="1:15">
      <c r="A12" s="1024" t="str">
        <f>报表格式!L11</f>
        <v xml:space="preserve">    减：营业成本</v>
      </c>
      <c r="B12" s="393">
        <f t="shared" si="0"/>
        <v>0</v>
      </c>
      <c r="C12" s="393"/>
      <c r="D12" s="393"/>
      <c r="E12" s="393"/>
      <c r="F12" s="393"/>
      <c r="G12" s="393"/>
      <c r="H12" s="393"/>
      <c r="I12" s="393"/>
      <c r="J12" s="393"/>
      <c r="K12" s="393"/>
      <c r="L12" s="393"/>
      <c r="M12" s="393"/>
      <c r="N12" s="393"/>
      <c r="O12" s="394"/>
    </row>
    <row r="13" spans="1:15" s="389" customFormat="1">
      <c r="A13" s="1024" t="str">
        <f>报表格式!L12</f>
        <v xml:space="preserve">        其中：主营业务成本</v>
      </c>
      <c r="B13" s="393">
        <f t="shared" si="0"/>
        <v>0</v>
      </c>
      <c r="C13" s="393"/>
      <c r="D13" s="393"/>
      <c r="E13" s="393"/>
      <c r="F13" s="393"/>
      <c r="G13" s="393"/>
      <c r="H13" s="393"/>
      <c r="I13" s="393"/>
      <c r="J13" s="393"/>
      <c r="K13" s="393"/>
      <c r="L13" s="393"/>
      <c r="M13" s="393"/>
      <c r="N13" s="393"/>
      <c r="O13" s="394"/>
    </row>
    <row r="14" spans="1:15" s="389" customFormat="1">
      <c r="A14" s="1024" t="str">
        <f>报表格式!L13</f>
        <v xml:space="preserve">              利息支出</v>
      </c>
      <c r="B14" s="393">
        <f t="shared" ref="B14:B20" si="2">SUM(C14:O14)</f>
        <v>0</v>
      </c>
      <c r="C14" s="393"/>
      <c r="D14" s="393"/>
      <c r="E14" s="393"/>
      <c r="F14" s="393"/>
      <c r="G14" s="393"/>
      <c r="H14" s="393"/>
      <c r="I14" s="393"/>
      <c r="J14" s="393"/>
      <c r="K14" s="393"/>
      <c r="L14" s="393"/>
      <c r="M14" s="393"/>
      <c r="N14" s="393"/>
      <c r="O14" s="394"/>
    </row>
    <row r="15" spans="1:15" s="389" customFormat="1">
      <c r="A15" s="1024" t="str">
        <f>报表格式!L14</f>
        <v xml:space="preserve">              手续费及佣金支出</v>
      </c>
      <c r="B15" s="393">
        <f t="shared" si="2"/>
        <v>0</v>
      </c>
      <c r="C15" s="393"/>
      <c r="D15" s="393"/>
      <c r="E15" s="393"/>
      <c r="F15" s="393"/>
      <c r="G15" s="393"/>
      <c r="H15" s="393"/>
      <c r="I15" s="393"/>
      <c r="J15" s="393"/>
      <c r="K15" s="393"/>
      <c r="L15" s="393"/>
      <c r="M15" s="393"/>
      <c r="N15" s="393"/>
      <c r="O15" s="394"/>
    </row>
    <row r="16" spans="1:15" s="389" customFormat="1">
      <c r="A16" s="1024" t="str">
        <f>报表格式!L15</f>
        <v xml:space="preserve">              退保金</v>
      </c>
      <c r="B16" s="393">
        <f t="shared" si="2"/>
        <v>0</v>
      </c>
      <c r="C16" s="393"/>
      <c r="D16" s="393"/>
      <c r="E16" s="393"/>
      <c r="F16" s="393"/>
      <c r="G16" s="393"/>
      <c r="H16" s="393"/>
      <c r="I16" s="393"/>
      <c r="J16" s="393"/>
      <c r="K16" s="393"/>
      <c r="L16" s="393"/>
      <c r="M16" s="393"/>
      <c r="N16" s="393"/>
      <c r="O16" s="394"/>
    </row>
    <row r="17" spans="1:15" s="389" customFormat="1">
      <c r="A17" s="1024" t="str">
        <f>报表格式!L16</f>
        <v xml:space="preserve">              赔付支出净额</v>
      </c>
      <c r="B17" s="393">
        <f t="shared" si="2"/>
        <v>0</v>
      </c>
      <c r="C17" s="393"/>
      <c r="D17" s="393"/>
      <c r="E17" s="393"/>
      <c r="F17" s="393"/>
      <c r="G17" s="393"/>
      <c r="H17" s="393"/>
      <c r="I17" s="393"/>
      <c r="J17" s="393"/>
      <c r="K17" s="393"/>
      <c r="L17" s="393"/>
      <c r="M17" s="393"/>
      <c r="N17" s="393"/>
      <c r="O17" s="394"/>
    </row>
    <row r="18" spans="1:15" s="389" customFormat="1">
      <c r="A18" s="1024" t="str">
        <f>报表格式!L17</f>
        <v xml:space="preserve">              提取保险合同准备金净额</v>
      </c>
      <c r="B18" s="393">
        <f t="shared" si="2"/>
        <v>0</v>
      </c>
      <c r="C18" s="393"/>
      <c r="D18" s="393"/>
      <c r="E18" s="393"/>
      <c r="F18" s="393"/>
      <c r="G18" s="393"/>
      <c r="H18" s="393"/>
      <c r="I18" s="393"/>
      <c r="J18" s="393"/>
      <c r="K18" s="393"/>
      <c r="L18" s="393"/>
      <c r="M18" s="393"/>
      <c r="N18" s="393"/>
      <c r="O18" s="394"/>
    </row>
    <row r="19" spans="1:15" s="389" customFormat="1">
      <c r="A19" s="1024" t="str">
        <f>报表格式!L18</f>
        <v xml:space="preserve">              保单红利支出</v>
      </c>
      <c r="B19" s="393">
        <f t="shared" si="2"/>
        <v>0</v>
      </c>
      <c r="C19" s="393"/>
      <c r="D19" s="393"/>
      <c r="E19" s="393"/>
      <c r="F19" s="393"/>
      <c r="G19" s="393"/>
      <c r="H19" s="393"/>
      <c r="I19" s="393"/>
      <c r="J19" s="393"/>
      <c r="K19" s="393"/>
      <c r="L19" s="393"/>
      <c r="M19" s="393"/>
      <c r="N19" s="393"/>
      <c r="O19" s="394"/>
    </row>
    <row r="20" spans="1:15" s="389" customFormat="1">
      <c r="A20" s="1024" t="str">
        <f>报表格式!L19</f>
        <v xml:space="preserve">              分保费用</v>
      </c>
      <c r="B20" s="393">
        <f t="shared" si="2"/>
        <v>0</v>
      </c>
      <c r="C20" s="393"/>
      <c r="D20" s="393"/>
      <c r="E20" s="393"/>
      <c r="F20" s="393"/>
      <c r="G20" s="393"/>
      <c r="H20" s="393"/>
      <c r="I20" s="393"/>
      <c r="J20" s="393"/>
      <c r="K20" s="393"/>
      <c r="L20" s="393"/>
      <c r="M20" s="393"/>
      <c r="N20" s="393"/>
      <c r="O20" s="394"/>
    </row>
    <row r="21" spans="1:15">
      <c r="A21" s="1024" t="str">
        <f>报表格式!L20</f>
        <v xml:space="preserve">              其他业务成本</v>
      </c>
      <c r="B21" s="393">
        <f t="shared" si="0"/>
        <v>0</v>
      </c>
      <c r="C21" s="393"/>
      <c r="D21" s="393"/>
      <c r="E21" s="393"/>
      <c r="F21" s="393"/>
      <c r="G21" s="393"/>
      <c r="H21" s="393"/>
      <c r="I21" s="393"/>
      <c r="J21" s="393"/>
      <c r="K21" s="393"/>
      <c r="L21" s="393"/>
      <c r="M21" s="393"/>
      <c r="N21" s="393"/>
      <c r="O21" s="394"/>
    </row>
    <row r="22" spans="1:15">
      <c r="A22" s="1024" t="str">
        <f>报表格式!L21</f>
        <v xml:space="preserve">        税金及附加</v>
      </c>
      <c r="B22" s="393">
        <f t="shared" si="0"/>
        <v>0</v>
      </c>
      <c r="C22" s="393"/>
      <c r="D22" s="393"/>
      <c r="E22" s="393"/>
      <c r="F22" s="393"/>
      <c r="G22" s="393"/>
      <c r="H22" s="393"/>
      <c r="I22" s="393"/>
      <c r="J22" s="393"/>
      <c r="K22" s="393"/>
      <c r="L22" s="393"/>
      <c r="M22" s="393"/>
      <c r="N22" s="393"/>
      <c r="O22" s="394"/>
    </row>
    <row r="23" spans="1:15">
      <c r="A23" s="1024" t="str">
        <f>报表格式!L22</f>
        <v xml:space="preserve">        销售费用</v>
      </c>
      <c r="B23" s="393">
        <f t="shared" si="0"/>
        <v>0</v>
      </c>
      <c r="C23" s="393"/>
      <c r="D23" s="393"/>
      <c r="E23" s="393"/>
      <c r="F23" s="393"/>
      <c r="G23" s="393"/>
      <c r="H23" s="393"/>
      <c r="I23" s="393"/>
      <c r="J23" s="393"/>
      <c r="K23" s="393"/>
      <c r="L23" s="393"/>
      <c r="M23" s="393"/>
      <c r="N23" s="393"/>
      <c r="O23" s="394"/>
    </row>
    <row r="24" spans="1:15">
      <c r="A24" s="1024" t="str">
        <f>报表格式!L23</f>
        <v xml:space="preserve">        管理费用</v>
      </c>
      <c r="B24" s="393">
        <f t="shared" si="0"/>
        <v>0</v>
      </c>
      <c r="C24" s="393"/>
      <c r="D24" s="393"/>
      <c r="E24" s="393"/>
      <c r="F24" s="393"/>
      <c r="G24" s="393"/>
      <c r="H24" s="393"/>
      <c r="I24" s="393"/>
      <c r="J24" s="393"/>
      <c r="K24" s="393"/>
      <c r="L24" s="393"/>
      <c r="M24" s="393"/>
      <c r="N24" s="393"/>
      <c r="O24" s="394"/>
    </row>
    <row r="25" spans="1:15">
      <c r="A25" s="1024" t="str">
        <f>报表格式!L24</f>
        <v xml:space="preserve">        研发费用</v>
      </c>
      <c r="B25" s="393">
        <f t="shared" si="0"/>
        <v>0</v>
      </c>
      <c r="C25" s="393"/>
      <c r="D25" s="393"/>
      <c r="E25" s="393"/>
      <c r="F25" s="393"/>
      <c r="G25" s="393"/>
      <c r="H25" s="393"/>
      <c r="I25" s="393"/>
      <c r="J25" s="393"/>
      <c r="K25" s="393"/>
      <c r="L25" s="393"/>
      <c r="M25" s="393"/>
      <c r="N25" s="393"/>
      <c r="O25" s="394"/>
    </row>
    <row r="26" spans="1:15">
      <c r="A26" s="1024" t="str">
        <f>报表格式!L25</f>
        <v xml:space="preserve">        财务费用</v>
      </c>
      <c r="B26" s="393">
        <f t="shared" si="0"/>
        <v>0</v>
      </c>
      <c r="C26" s="393"/>
      <c r="D26" s="393"/>
      <c r="E26" s="393"/>
      <c r="F26" s="393"/>
      <c r="G26" s="393"/>
      <c r="H26" s="393"/>
      <c r="I26" s="393"/>
      <c r="J26" s="393"/>
      <c r="K26" s="393"/>
      <c r="L26" s="393"/>
      <c r="M26" s="393"/>
      <c r="N26" s="393"/>
      <c r="O26" s="394"/>
    </row>
    <row r="27" spans="1:15">
      <c r="A27" s="1024" t="str">
        <f>报表格式!L26</f>
        <v xml:space="preserve">        其中：利息费用</v>
      </c>
      <c r="B27" s="393">
        <f t="shared" si="0"/>
        <v>0</v>
      </c>
      <c r="C27" s="393"/>
      <c r="D27" s="393"/>
      <c r="E27" s="393"/>
      <c r="F27" s="393"/>
      <c r="G27" s="393"/>
      <c r="H27" s="393"/>
      <c r="I27" s="393"/>
      <c r="J27" s="393"/>
      <c r="K27" s="393"/>
      <c r="L27" s="393"/>
      <c r="M27" s="393"/>
      <c r="N27" s="393"/>
      <c r="O27" s="394"/>
    </row>
    <row r="28" spans="1:15" s="389" customFormat="1">
      <c r="A28" s="1024" t="str">
        <f>报表格式!L27</f>
        <v xml:space="preserve">              利息收入</v>
      </c>
      <c r="B28" s="393">
        <f t="shared" si="0"/>
        <v>0</v>
      </c>
      <c r="C28" s="393"/>
      <c r="D28" s="393"/>
      <c r="E28" s="393"/>
      <c r="F28" s="393"/>
      <c r="G28" s="393"/>
      <c r="H28" s="393"/>
      <c r="I28" s="393"/>
      <c r="J28" s="393"/>
      <c r="K28" s="393"/>
      <c r="L28" s="393"/>
      <c r="M28" s="393"/>
      <c r="N28" s="393"/>
      <c r="O28" s="394"/>
    </row>
    <row r="29" spans="1:15">
      <c r="A29" s="1024" t="str">
        <f>报表格式!L28</f>
        <v xml:space="preserve">    加：其他收益</v>
      </c>
      <c r="B29" s="393">
        <f t="shared" si="0"/>
        <v>0</v>
      </c>
      <c r="C29" s="393"/>
      <c r="D29" s="393"/>
      <c r="E29" s="393"/>
      <c r="F29" s="393"/>
      <c r="G29" s="393"/>
      <c r="H29" s="393"/>
      <c r="I29" s="393"/>
      <c r="J29" s="393"/>
      <c r="K29" s="393"/>
      <c r="L29" s="393"/>
      <c r="M29" s="393"/>
      <c r="N29" s="393"/>
      <c r="O29" s="394"/>
    </row>
    <row r="30" spans="1:15">
      <c r="A30" s="1024" t="str">
        <f>报表格式!L29</f>
        <v xml:space="preserve">        投资收益（损失以“－”号填列）</v>
      </c>
      <c r="B30" s="393">
        <f t="shared" si="0"/>
        <v>0</v>
      </c>
      <c r="C30" s="393"/>
      <c r="D30" s="393"/>
      <c r="E30" s="393"/>
      <c r="F30" s="393"/>
      <c r="G30" s="393"/>
      <c r="H30" s="393"/>
      <c r="I30" s="393"/>
      <c r="J30" s="393"/>
      <c r="K30" s="393"/>
      <c r="L30" s="393"/>
      <c r="M30" s="393"/>
      <c r="N30" s="393"/>
      <c r="O30" s="394"/>
    </row>
    <row r="31" spans="1:15">
      <c r="A31" s="1024" t="str">
        <f>报表格式!L30</f>
        <v xml:space="preserve">        其中：对联营企业和合营企业的投资收益</v>
      </c>
      <c r="B31" s="393">
        <f t="shared" si="0"/>
        <v>0</v>
      </c>
      <c r="C31" s="393"/>
      <c r="D31" s="393"/>
      <c r="E31" s="393"/>
      <c r="F31" s="393"/>
      <c r="G31" s="393"/>
      <c r="H31" s="393"/>
      <c r="I31" s="393"/>
      <c r="J31" s="393"/>
      <c r="K31" s="393"/>
      <c r="L31" s="393"/>
      <c r="M31" s="393"/>
      <c r="N31" s="393"/>
      <c r="O31" s="394"/>
    </row>
    <row r="32" spans="1:15">
      <c r="A32" s="1024" t="str">
        <f>报表格式!L31</f>
        <v xml:space="preserve">              以摊余成本计量的金融资产终止确认收益（损失以“-”号填列）</v>
      </c>
      <c r="B32" s="393">
        <f t="shared" si="0"/>
        <v>0</v>
      </c>
      <c r="C32" s="393"/>
      <c r="D32" s="393"/>
      <c r="E32" s="393"/>
      <c r="F32" s="393"/>
      <c r="G32" s="393"/>
      <c r="H32" s="393"/>
      <c r="I32" s="393"/>
      <c r="J32" s="393"/>
      <c r="K32" s="393"/>
      <c r="L32" s="393"/>
      <c r="M32" s="393"/>
      <c r="N32" s="393"/>
      <c r="O32" s="394"/>
    </row>
    <row r="33" spans="1:15">
      <c r="A33" s="1024" t="str">
        <f>报表格式!L32</f>
        <v xml:space="preserve">        净敞口套期收益（损失以“-”号填列）</v>
      </c>
      <c r="B33" s="393">
        <f t="shared" si="0"/>
        <v>0</v>
      </c>
      <c r="C33" s="393"/>
      <c r="D33" s="393"/>
      <c r="E33" s="393"/>
      <c r="F33" s="393"/>
      <c r="G33" s="393"/>
      <c r="H33" s="393"/>
      <c r="I33" s="393"/>
      <c r="J33" s="393"/>
      <c r="K33" s="393"/>
      <c r="L33" s="393"/>
      <c r="M33" s="393"/>
      <c r="N33" s="393"/>
      <c r="O33" s="394"/>
    </row>
    <row r="34" spans="1:15">
      <c r="A34" s="1024" t="str">
        <f>报表格式!L33</f>
        <v xml:space="preserve">        公允价值变动收益（损失以“－”号填列）</v>
      </c>
      <c r="B34" s="393">
        <f t="shared" si="0"/>
        <v>0</v>
      </c>
      <c r="C34" s="393"/>
      <c r="D34" s="393"/>
      <c r="E34" s="393"/>
      <c r="F34" s="393"/>
      <c r="G34" s="393"/>
      <c r="H34" s="393"/>
      <c r="I34" s="393"/>
      <c r="J34" s="393"/>
      <c r="K34" s="393"/>
      <c r="L34" s="393"/>
      <c r="M34" s="393"/>
      <c r="N34" s="393"/>
      <c r="O34" s="394"/>
    </row>
    <row r="35" spans="1:15">
      <c r="A35" s="1024" t="str">
        <f>报表格式!L34</f>
        <v xml:space="preserve">        信用减值损失(损失以“-”号填列）</v>
      </c>
      <c r="B35" s="393">
        <f t="shared" si="0"/>
        <v>0</v>
      </c>
      <c r="C35" s="393"/>
      <c r="D35" s="393"/>
      <c r="E35" s="393"/>
      <c r="F35" s="393"/>
      <c r="G35" s="393"/>
      <c r="H35" s="393"/>
      <c r="I35" s="393"/>
      <c r="J35" s="393"/>
      <c r="K35" s="393"/>
      <c r="L35" s="393"/>
      <c r="M35" s="393"/>
      <c r="N35" s="393"/>
      <c r="O35" s="394"/>
    </row>
    <row r="36" spans="1:15">
      <c r="A36" s="1024" t="str">
        <f>报表格式!L35</f>
        <v xml:space="preserve">        资产减值损失(损失以“-”号填列）</v>
      </c>
      <c r="B36" s="393">
        <f t="shared" si="0"/>
        <v>0</v>
      </c>
      <c r="C36" s="393"/>
      <c r="D36" s="393"/>
      <c r="E36" s="393"/>
      <c r="F36" s="393"/>
      <c r="G36" s="393"/>
      <c r="H36" s="393"/>
      <c r="I36" s="393"/>
      <c r="J36" s="393"/>
      <c r="K36" s="393"/>
      <c r="L36" s="393"/>
      <c r="M36" s="393"/>
      <c r="N36" s="393"/>
      <c r="O36" s="394"/>
    </row>
    <row r="37" spans="1:15">
      <c r="A37" s="1024" t="str">
        <f>报表格式!L36</f>
        <v xml:space="preserve">        资产处置收益(损失以“-”号填列）</v>
      </c>
      <c r="B37" s="393">
        <f t="shared" si="0"/>
        <v>0</v>
      </c>
      <c r="C37" s="393"/>
      <c r="D37" s="393"/>
      <c r="E37" s="393"/>
      <c r="F37" s="393"/>
      <c r="G37" s="393"/>
      <c r="H37" s="393"/>
      <c r="I37" s="393"/>
      <c r="J37" s="393"/>
      <c r="K37" s="393"/>
      <c r="L37" s="393"/>
      <c r="M37" s="393"/>
      <c r="N37" s="393"/>
      <c r="O37" s="394"/>
    </row>
    <row r="38" spans="1:15" s="389" customFormat="1">
      <c r="A38" s="1033" t="str">
        <f>报表格式!L37</f>
        <v>二、营业利润（亏损以“－”号填列）</v>
      </c>
      <c r="B38" s="399">
        <f t="shared" si="0"/>
        <v>0</v>
      </c>
      <c r="C38" s="812">
        <f>SUM(C6)-SUM(C12,C22:C26)+SUM(C29:C30,C33:C37)</f>
        <v>0</v>
      </c>
      <c r="D38" s="812">
        <f t="shared" ref="D38:O38" si="3">SUM(D6)-SUM(D12,D22:D26)+SUM(D29:D30,D33:D37)</f>
        <v>0</v>
      </c>
      <c r="E38" s="812">
        <f t="shared" si="3"/>
        <v>0</v>
      </c>
      <c r="F38" s="812">
        <f t="shared" si="3"/>
        <v>0</v>
      </c>
      <c r="G38" s="812">
        <f t="shared" si="3"/>
        <v>0</v>
      </c>
      <c r="H38" s="812">
        <f t="shared" si="3"/>
        <v>0</v>
      </c>
      <c r="I38" s="812">
        <f t="shared" si="3"/>
        <v>0</v>
      </c>
      <c r="J38" s="812">
        <f t="shared" si="3"/>
        <v>0</v>
      </c>
      <c r="K38" s="812">
        <f t="shared" si="3"/>
        <v>0</v>
      </c>
      <c r="L38" s="812">
        <f t="shared" si="3"/>
        <v>0</v>
      </c>
      <c r="M38" s="812">
        <f t="shared" si="3"/>
        <v>0</v>
      </c>
      <c r="N38" s="812">
        <f t="shared" si="3"/>
        <v>0</v>
      </c>
      <c r="O38" s="812">
        <f t="shared" si="3"/>
        <v>0</v>
      </c>
    </row>
    <row r="39" spans="1:15">
      <c r="A39" s="1024" t="str">
        <f>报表格式!L38</f>
        <v xml:space="preserve">    加：营业外收入</v>
      </c>
      <c r="B39" s="393">
        <f t="shared" si="0"/>
        <v>0</v>
      </c>
      <c r="C39" s="393"/>
      <c r="D39" s="393"/>
      <c r="E39" s="393"/>
      <c r="F39" s="393"/>
      <c r="G39" s="393"/>
      <c r="H39" s="393"/>
      <c r="I39" s="393"/>
      <c r="J39" s="393"/>
      <c r="K39" s="393"/>
      <c r="L39" s="393"/>
      <c r="M39" s="393"/>
      <c r="N39" s="393"/>
      <c r="O39" s="394"/>
    </row>
    <row r="40" spans="1:15">
      <c r="A40" s="1024" t="str">
        <f>报表格式!L39</f>
        <v xml:space="preserve">    减：营业外支出</v>
      </c>
      <c r="B40" s="393">
        <f t="shared" si="0"/>
        <v>0</v>
      </c>
      <c r="C40" s="393"/>
      <c r="D40" s="393"/>
      <c r="E40" s="393"/>
      <c r="F40" s="393"/>
      <c r="G40" s="393"/>
      <c r="H40" s="393"/>
      <c r="I40" s="393"/>
      <c r="J40" s="393"/>
      <c r="K40" s="393"/>
      <c r="L40" s="393"/>
      <c r="M40" s="393"/>
      <c r="N40" s="393"/>
      <c r="O40" s="394"/>
    </row>
    <row r="41" spans="1:15" s="389" customFormat="1">
      <c r="A41" s="1033" t="str">
        <f>报表格式!L40</f>
        <v>三、利润总额（亏损总额以“－”号填列）</v>
      </c>
      <c r="B41" s="399">
        <f t="shared" si="0"/>
        <v>0</v>
      </c>
      <c r="C41" s="399">
        <f t="shared" ref="C41:O41" si="4">SUM(C38)+SUM(C39)-SUM(C40)</f>
        <v>0</v>
      </c>
      <c r="D41" s="399">
        <f t="shared" si="4"/>
        <v>0</v>
      </c>
      <c r="E41" s="399">
        <f t="shared" si="4"/>
        <v>0</v>
      </c>
      <c r="F41" s="399">
        <f t="shared" si="4"/>
        <v>0</v>
      </c>
      <c r="G41" s="399">
        <f t="shared" si="4"/>
        <v>0</v>
      </c>
      <c r="H41" s="399">
        <f t="shared" si="4"/>
        <v>0</v>
      </c>
      <c r="I41" s="399">
        <f t="shared" si="4"/>
        <v>0</v>
      </c>
      <c r="J41" s="399">
        <f t="shared" si="4"/>
        <v>0</v>
      </c>
      <c r="K41" s="399">
        <f t="shared" si="4"/>
        <v>0</v>
      </c>
      <c r="L41" s="399">
        <f t="shared" si="4"/>
        <v>0</v>
      </c>
      <c r="M41" s="399">
        <f t="shared" si="4"/>
        <v>0</v>
      </c>
      <c r="N41" s="399">
        <f t="shared" si="4"/>
        <v>0</v>
      </c>
      <c r="O41" s="400">
        <f t="shared" si="4"/>
        <v>0</v>
      </c>
    </row>
    <row r="42" spans="1:15">
      <c r="A42" s="1024" t="str">
        <f>报表格式!L41</f>
        <v xml:space="preserve">    减：所得税费用</v>
      </c>
      <c r="B42" s="393">
        <f t="shared" si="0"/>
        <v>0</v>
      </c>
      <c r="C42" s="393"/>
      <c r="D42" s="393"/>
      <c r="E42" s="393"/>
      <c r="F42" s="393"/>
      <c r="G42" s="393"/>
      <c r="H42" s="393"/>
      <c r="I42" s="393"/>
      <c r="J42" s="393"/>
      <c r="K42" s="393"/>
      <c r="L42" s="393"/>
      <c r="M42" s="393"/>
      <c r="N42" s="393"/>
      <c r="O42" s="394"/>
    </row>
    <row r="43" spans="1:15">
      <c r="A43" s="1024">
        <f>报表格式!L42</f>
        <v>0</v>
      </c>
      <c r="B43" s="393">
        <f t="shared" si="0"/>
        <v>0</v>
      </c>
      <c r="C43" s="393"/>
      <c r="D43" s="393"/>
      <c r="E43" s="393"/>
      <c r="F43" s="393"/>
      <c r="G43" s="393"/>
      <c r="H43" s="393"/>
      <c r="I43" s="393"/>
      <c r="J43" s="393"/>
      <c r="K43" s="393"/>
      <c r="L43" s="393"/>
      <c r="M43" s="393"/>
      <c r="N43" s="393"/>
      <c r="O43" s="394"/>
    </row>
    <row r="44" spans="1:15" s="389" customFormat="1">
      <c r="A44" s="1033" t="str">
        <f>报表格式!L43</f>
        <v>四、净利润（净亏损以“－”号填列）</v>
      </c>
      <c r="B44" s="399">
        <f t="shared" si="0"/>
        <v>0</v>
      </c>
      <c r="C44" s="399">
        <f t="shared" ref="C44:O44" si="5">C41-C42-C43</f>
        <v>0</v>
      </c>
      <c r="D44" s="399">
        <f t="shared" si="5"/>
        <v>0</v>
      </c>
      <c r="E44" s="399">
        <f t="shared" si="5"/>
        <v>0</v>
      </c>
      <c r="F44" s="399">
        <f t="shared" si="5"/>
        <v>0</v>
      </c>
      <c r="G44" s="399">
        <f t="shared" si="5"/>
        <v>0</v>
      </c>
      <c r="H44" s="399">
        <f t="shared" si="5"/>
        <v>0</v>
      </c>
      <c r="I44" s="399">
        <f t="shared" si="5"/>
        <v>0</v>
      </c>
      <c r="J44" s="399">
        <f t="shared" si="5"/>
        <v>0</v>
      </c>
      <c r="K44" s="399">
        <f t="shared" si="5"/>
        <v>0</v>
      </c>
      <c r="L44" s="399">
        <f t="shared" si="5"/>
        <v>0</v>
      </c>
      <c r="M44" s="399">
        <f t="shared" si="5"/>
        <v>0</v>
      </c>
      <c r="N44" s="399">
        <f t="shared" si="5"/>
        <v>0</v>
      </c>
      <c r="O44" s="400">
        <f t="shared" si="5"/>
        <v>0</v>
      </c>
    </row>
    <row r="45" spans="1:15">
      <c r="A45" s="1024" t="str">
        <f>报表格式!L44</f>
        <v xml:space="preserve"> （一）按经营持续性分类</v>
      </c>
      <c r="B45" s="393">
        <f t="shared" si="0"/>
        <v>0</v>
      </c>
      <c r="C45" s="393"/>
      <c r="D45" s="393"/>
      <c r="E45" s="393"/>
      <c r="F45" s="393"/>
      <c r="G45" s="393"/>
      <c r="H45" s="393"/>
      <c r="I45" s="393"/>
      <c r="J45" s="393"/>
      <c r="K45" s="393"/>
      <c r="L45" s="393"/>
      <c r="M45" s="393"/>
      <c r="N45" s="393"/>
      <c r="O45" s="394"/>
    </row>
    <row r="46" spans="1:15">
      <c r="A46" s="1024" t="str">
        <f>报表格式!L45</f>
        <v xml:space="preserve">     其中：持续经营净利润（净亏损以“-”号填列）</v>
      </c>
      <c r="B46" s="393">
        <f t="shared" si="0"/>
        <v>0</v>
      </c>
      <c r="C46" s="393"/>
      <c r="D46" s="393"/>
      <c r="E46" s="393"/>
      <c r="F46" s="393"/>
      <c r="G46" s="393"/>
      <c r="H46" s="393"/>
      <c r="I46" s="393"/>
      <c r="J46" s="393"/>
      <c r="K46" s="393"/>
      <c r="L46" s="393"/>
      <c r="M46" s="393"/>
      <c r="N46" s="393"/>
      <c r="O46" s="394"/>
    </row>
    <row r="47" spans="1:15">
      <c r="A47" s="1024" t="str">
        <f>报表格式!L46</f>
        <v xml:space="preserve">                 终止经营净利润（净亏损以“-”号填列）</v>
      </c>
      <c r="B47" s="393">
        <f t="shared" si="0"/>
        <v>0</v>
      </c>
      <c r="C47" s="393"/>
      <c r="D47" s="393"/>
      <c r="E47" s="393"/>
      <c r="F47" s="393"/>
      <c r="G47" s="393"/>
      <c r="H47" s="393"/>
      <c r="I47" s="393"/>
      <c r="J47" s="393"/>
      <c r="K47" s="393"/>
      <c r="L47" s="393"/>
      <c r="M47" s="393"/>
      <c r="N47" s="393"/>
      <c r="O47" s="394"/>
    </row>
    <row r="48" spans="1:15">
      <c r="A48" s="1024" t="str">
        <f>报表格式!L47</f>
        <v xml:space="preserve"> （二）按所有权归属分类</v>
      </c>
      <c r="B48" s="393">
        <f t="shared" si="0"/>
        <v>0</v>
      </c>
      <c r="C48" s="393"/>
      <c r="D48" s="393"/>
      <c r="E48" s="393"/>
      <c r="F48" s="393"/>
      <c r="G48" s="393"/>
      <c r="H48" s="393"/>
      <c r="I48" s="393"/>
      <c r="J48" s="393"/>
      <c r="K48" s="393"/>
      <c r="L48" s="393"/>
      <c r="M48" s="393"/>
      <c r="N48" s="393"/>
      <c r="O48" s="394"/>
    </row>
    <row r="49" spans="1:15">
      <c r="A49" s="1024" t="str">
        <f>报表格式!L48</f>
        <v xml:space="preserve">     其中：归属于母公司股东的净利润（净亏损以“-”号填列）</v>
      </c>
      <c r="B49" s="393">
        <f t="shared" si="0"/>
        <v>0</v>
      </c>
      <c r="C49" s="393">
        <f t="shared" ref="C49:O49" si="6">C44-C50</f>
        <v>0</v>
      </c>
      <c r="D49" s="393">
        <f t="shared" si="6"/>
        <v>0</v>
      </c>
      <c r="E49" s="393">
        <f t="shared" si="6"/>
        <v>0</v>
      </c>
      <c r="F49" s="393">
        <f t="shared" si="6"/>
        <v>0</v>
      </c>
      <c r="G49" s="393">
        <f t="shared" si="6"/>
        <v>0</v>
      </c>
      <c r="H49" s="393">
        <f t="shared" si="6"/>
        <v>0</v>
      </c>
      <c r="I49" s="393">
        <f t="shared" si="6"/>
        <v>0</v>
      </c>
      <c r="J49" s="393">
        <f t="shared" si="6"/>
        <v>0</v>
      </c>
      <c r="K49" s="393">
        <f t="shared" si="6"/>
        <v>0</v>
      </c>
      <c r="L49" s="393">
        <f t="shared" si="6"/>
        <v>0</v>
      </c>
      <c r="M49" s="393">
        <f t="shared" si="6"/>
        <v>0</v>
      </c>
      <c r="N49" s="393">
        <f t="shared" si="6"/>
        <v>0</v>
      </c>
      <c r="O49" s="394">
        <f t="shared" si="6"/>
        <v>0</v>
      </c>
    </row>
    <row r="50" spans="1:15" s="389" customFormat="1">
      <c r="A50" s="1024" t="str">
        <f>报表格式!L49</f>
        <v xml:space="preserve">                少数股东损益（净亏损以“-”号填列）</v>
      </c>
      <c r="B50" s="393">
        <f t="shared" si="0"/>
        <v>0</v>
      </c>
      <c r="C50" s="393"/>
      <c r="D50" s="393"/>
      <c r="E50" s="393"/>
      <c r="F50" s="393"/>
      <c r="G50" s="393"/>
      <c r="H50" s="393"/>
      <c r="I50" s="393"/>
      <c r="J50" s="393"/>
      <c r="K50" s="393"/>
      <c r="L50" s="393"/>
      <c r="M50" s="393"/>
      <c r="N50" s="393"/>
      <c r="O50" s="394"/>
    </row>
    <row r="51" spans="1:15">
      <c r="A51" s="1033" t="str">
        <f>报表格式!L50</f>
        <v>五、其他综合收益的税后净额</v>
      </c>
      <c r="B51" s="399">
        <f t="shared" si="0"/>
        <v>0</v>
      </c>
      <c r="C51" s="399">
        <f>C52+C71</f>
        <v>0</v>
      </c>
      <c r="D51" s="399">
        <f t="shared" ref="D51:O51" si="7">D52+D71</f>
        <v>0</v>
      </c>
      <c r="E51" s="399">
        <f t="shared" si="7"/>
        <v>0</v>
      </c>
      <c r="F51" s="399">
        <f t="shared" si="7"/>
        <v>0</v>
      </c>
      <c r="G51" s="399">
        <f t="shared" si="7"/>
        <v>0</v>
      </c>
      <c r="H51" s="399">
        <f t="shared" si="7"/>
        <v>0</v>
      </c>
      <c r="I51" s="399">
        <f t="shared" si="7"/>
        <v>0</v>
      </c>
      <c r="J51" s="399">
        <f t="shared" si="7"/>
        <v>0</v>
      </c>
      <c r="K51" s="399">
        <f t="shared" si="7"/>
        <v>0</v>
      </c>
      <c r="L51" s="399">
        <f t="shared" si="7"/>
        <v>0</v>
      </c>
      <c r="M51" s="399">
        <f t="shared" si="7"/>
        <v>0</v>
      </c>
      <c r="N51" s="399">
        <f t="shared" si="7"/>
        <v>0</v>
      </c>
      <c r="O51" s="400">
        <f t="shared" si="7"/>
        <v>0</v>
      </c>
    </row>
    <row r="52" spans="1:15">
      <c r="A52" s="1024" t="str">
        <f>报表格式!L51</f>
        <v>归属于母公司股东的其他综合收益的税后净额</v>
      </c>
      <c r="B52" s="393">
        <f t="shared" si="0"/>
        <v>0</v>
      </c>
      <c r="C52" s="393">
        <f>C53+C59</f>
        <v>0</v>
      </c>
      <c r="D52" s="393">
        <f t="shared" ref="D52:O52" si="8">D53+D59</f>
        <v>0</v>
      </c>
      <c r="E52" s="393">
        <f t="shared" si="8"/>
        <v>0</v>
      </c>
      <c r="F52" s="393">
        <f t="shared" si="8"/>
        <v>0</v>
      </c>
      <c r="G52" s="393">
        <f t="shared" si="8"/>
        <v>0</v>
      </c>
      <c r="H52" s="393">
        <f t="shared" si="8"/>
        <v>0</v>
      </c>
      <c r="I52" s="393">
        <f t="shared" si="8"/>
        <v>0</v>
      </c>
      <c r="J52" s="393">
        <f t="shared" si="8"/>
        <v>0</v>
      </c>
      <c r="K52" s="393">
        <f t="shared" si="8"/>
        <v>0</v>
      </c>
      <c r="L52" s="393">
        <f t="shared" si="8"/>
        <v>0</v>
      </c>
      <c r="M52" s="393">
        <f t="shared" si="8"/>
        <v>0</v>
      </c>
      <c r="N52" s="393">
        <f t="shared" si="8"/>
        <v>0</v>
      </c>
      <c r="O52" s="394">
        <f t="shared" si="8"/>
        <v>0</v>
      </c>
    </row>
    <row r="53" spans="1:15" s="389" customFormat="1">
      <c r="A53" s="1024" t="str">
        <f>报表格式!L52</f>
        <v xml:space="preserve">  （一）不能重分类进损益的其他综合收益</v>
      </c>
      <c r="B53" s="393">
        <f t="shared" si="0"/>
        <v>0</v>
      </c>
      <c r="C53" s="393">
        <f>SUM(C54:C58)</f>
        <v>0</v>
      </c>
      <c r="D53" s="393">
        <f t="shared" ref="D53:O53" si="9">SUM(D54:D58)</f>
        <v>0</v>
      </c>
      <c r="E53" s="393">
        <f t="shared" si="9"/>
        <v>0</v>
      </c>
      <c r="F53" s="393">
        <f t="shared" si="9"/>
        <v>0</v>
      </c>
      <c r="G53" s="393">
        <f t="shared" si="9"/>
        <v>0</v>
      </c>
      <c r="H53" s="393">
        <f t="shared" si="9"/>
        <v>0</v>
      </c>
      <c r="I53" s="393">
        <f t="shared" si="9"/>
        <v>0</v>
      </c>
      <c r="J53" s="393">
        <f t="shared" si="9"/>
        <v>0</v>
      </c>
      <c r="K53" s="393">
        <f t="shared" si="9"/>
        <v>0</v>
      </c>
      <c r="L53" s="393">
        <f t="shared" si="9"/>
        <v>0</v>
      </c>
      <c r="M53" s="393">
        <f t="shared" si="9"/>
        <v>0</v>
      </c>
      <c r="N53" s="393">
        <f t="shared" si="9"/>
        <v>0</v>
      </c>
      <c r="O53" s="394">
        <f t="shared" si="9"/>
        <v>0</v>
      </c>
    </row>
    <row r="54" spans="1:15">
      <c r="A54" s="1029" t="str">
        <f>报表格式!L53</f>
        <v>1.重新计量设定受益计划变动额</v>
      </c>
      <c r="B54" s="393">
        <f t="shared" si="0"/>
        <v>0</v>
      </c>
      <c r="C54" s="399"/>
      <c r="D54" s="399"/>
      <c r="E54" s="399"/>
      <c r="F54" s="399"/>
      <c r="G54" s="399"/>
      <c r="H54" s="399"/>
      <c r="I54" s="399"/>
      <c r="J54" s="399"/>
      <c r="K54" s="399"/>
      <c r="L54" s="399"/>
      <c r="M54" s="399"/>
      <c r="N54" s="399"/>
      <c r="O54" s="400"/>
    </row>
    <row r="55" spans="1:15">
      <c r="A55" s="1029" t="str">
        <f>报表格式!L54</f>
        <v>2.权益法下不能转损益的其他综合收益</v>
      </c>
      <c r="B55" s="393">
        <f t="shared" si="0"/>
        <v>0</v>
      </c>
      <c r="C55" s="399"/>
      <c r="D55" s="399"/>
      <c r="E55" s="399"/>
      <c r="F55" s="399"/>
      <c r="G55" s="399"/>
      <c r="H55" s="399"/>
      <c r="I55" s="399"/>
      <c r="J55" s="399"/>
      <c r="K55" s="399"/>
      <c r="L55" s="399"/>
      <c r="M55" s="399"/>
      <c r="N55" s="399"/>
      <c r="O55" s="400"/>
    </row>
    <row r="56" spans="1:15">
      <c r="A56" s="1029" t="str">
        <f>报表格式!L55</f>
        <v xml:space="preserve">3.其他权益工具投资公允价值变动 </v>
      </c>
      <c r="B56" s="393">
        <f t="shared" si="0"/>
        <v>0</v>
      </c>
      <c r="C56" s="399"/>
      <c r="D56" s="399"/>
      <c r="E56" s="399"/>
      <c r="F56" s="399"/>
      <c r="G56" s="399"/>
      <c r="H56" s="399"/>
      <c r="I56" s="399"/>
      <c r="J56" s="399"/>
      <c r="K56" s="399"/>
      <c r="L56" s="399"/>
      <c r="M56" s="399"/>
      <c r="N56" s="399"/>
      <c r="O56" s="400"/>
    </row>
    <row r="57" spans="1:15">
      <c r="A57" s="1029" t="str">
        <f>报表格式!L56</f>
        <v xml:space="preserve">4.企业自身信用风险公允价值变动 </v>
      </c>
      <c r="B57" s="393">
        <f t="shared" si="0"/>
        <v>0</v>
      </c>
      <c r="C57" s="399"/>
      <c r="D57" s="399"/>
      <c r="E57" s="399"/>
      <c r="F57" s="399"/>
      <c r="G57" s="399"/>
      <c r="H57" s="399"/>
      <c r="I57" s="399"/>
      <c r="J57" s="399"/>
      <c r="K57" s="399"/>
      <c r="L57" s="399"/>
      <c r="M57" s="399"/>
      <c r="N57" s="399"/>
      <c r="O57" s="400"/>
    </row>
    <row r="58" spans="1:15">
      <c r="A58" s="1029" t="str">
        <f>报表格式!L57</f>
        <v>5.其他</v>
      </c>
      <c r="B58" s="393">
        <f t="shared" si="0"/>
        <v>0</v>
      </c>
      <c r="C58" s="393"/>
      <c r="D58" s="393"/>
      <c r="E58" s="393"/>
      <c r="F58" s="393"/>
      <c r="G58" s="393"/>
      <c r="H58" s="393"/>
      <c r="I58" s="393"/>
      <c r="J58" s="393"/>
      <c r="K58" s="393"/>
      <c r="L58" s="393"/>
      <c r="M58" s="393"/>
      <c r="N58" s="393"/>
      <c r="O58" s="394"/>
    </row>
    <row r="59" spans="1:15" s="389" customFormat="1">
      <c r="A59" s="1024" t="str">
        <f>报表格式!L58</f>
        <v xml:space="preserve">  （二）将重分类进损益的其他综合收益</v>
      </c>
      <c r="B59" s="393">
        <f t="shared" si="0"/>
        <v>0</v>
      </c>
      <c r="C59" s="393">
        <f>SUM(C60:C70)</f>
        <v>0</v>
      </c>
      <c r="D59" s="393">
        <f t="shared" ref="D59:O59" si="10">SUM(D60:D70)</f>
        <v>0</v>
      </c>
      <c r="E59" s="393">
        <f t="shared" si="10"/>
        <v>0</v>
      </c>
      <c r="F59" s="393">
        <f t="shared" si="10"/>
        <v>0</v>
      </c>
      <c r="G59" s="393">
        <f t="shared" si="10"/>
        <v>0</v>
      </c>
      <c r="H59" s="393">
        <f t="shared" si="10"/>
        <v>0</v>
      </c>
      <c r="I59" s="393">
        <f t="shared" si="10"/>
        <v>0</v>
      </c>
      <c r="J59" s="393">
        <f t="shared" si="10"/>
        <v>0</v>
      </c>
      <c r="K59" s="393">
        <f t="shared" si="10"/>
        <v>0</v>
      </c>
      <c r="L59" s="393">
        <f t="shared" si="10"/>
        <v>0</v>
      </c>
      <c r="M59" s="393">
        <f t="shared" si="10"/>
        <v>0</v>
      </c>
      <c r="N59" s="393">
        <f t="shared" si="10"/>
        <v>0</v>
      </c>
      <c r="O59" s="394">
        <f t="shared" si="10"/>
        <v>0</v>
      </c>
    </row>
    <row r="60" spans="1:15">
      <c r="A60" s="1029" t="str">
        <f>报表格式!L59</f>
        <v>1.权益法下可转损益的其他综合收益</v>
      </c>
      <c r="B60" s="393">
        <f t="shared" si="0"/>
        <v>0</v>
      </c>
      <c r="C60" s="393"/>
      <c r="D60" s="393"/>
      <c r="E60" s="393"/>
      <c r="F60" s="393"/>
      <c r="G60" s="393"/>
      <c r="H60" s="393"/>
      <c r="I60" s="393"/>
      <c r="J60" s="393"/>
      <c r="K60" s="393"/>
      <c r="L60" s="393"/>
      <c r="M60" s="393"/>
      <c r="N60" s="393"/>
      <c r="O60" s="394"/>
    </row>
    <row r="61" spans="1:15">
      <c r="A61" s="1029" t="str">
        <f>报表格式!L60</f>
        <v xml:space="preserve">2.其他债权投资公允价值变动 </v>
      </c>
      <c r="B61" s="393">
        <f t="shared" si="0"/>
        <v>0</v>
      </c>
      <c r="C61" s="393"/>
      <c r="D61" s="393"/>
      <c r="E61" s="393"/>
      <c r="F61" s="393"/>
      <c r="G61" s="393"/>
      <c r="H61" s="393"/>
      <c r="I61" s="393"/>
      <c r="J61" s="393"/>
      <c r="K61" s="393"/>
      <c r="L61" s="393"/>
      <c r="M61" s="393"/>
      <c r="N61" s="393"/>
      <c r="O61" s="394"/>
    </row>
    <row r="62" spans="1:15">
      <c r="A62" s="1029" t="str">
        <f>报表格式!L61</f>
        <v>3.可供出售金融资产公允价值变动损益</v>
      </c>
      <c r="B62" s="393">
        <f t="shared" si="0"/>
        <v>0</v>
      </c>
      <c r="C62" s="393"/>
      <c r="D62" s="393"/>
      <c r="E62" s="393"/>
      <c r="F62" s="393"/>
      <c r="G62" s="393"/>
      <c r="H62" s="393"/>
      <c r="I62" s="393"/>
      <c r="J62" s="393"/>
      <c r="K62" s="393"/>
      <c r="L62" s="393"/>
      <c r="M62" s="393"/>
      <c r="N62" s="393"/>
      <c r="O62" s="394"/>
    </row>
    <row r="63" spans="1:15">
      <c r="A63" s="1029" t="str">
        <f>报表格式!L62</f>
        <v xml:space="preserve">4.金融资产重分类计入其他综合收益的金额 </v>
      </c>
      <c r="B63" s="393">
        <f t="shared" si="0"/>
        <v>0</v>
      </c>
      <c r="C63" s="393"/>
      <c r="D63" s="393"/>
      <c r="E63" s="393"/>
      <c r="F63" s="393"/>
      <c r="G63" s="393"/>
      <c r="H63" s="393"/>
      <c r="I63" s="393"/>
      <c r="J63" s="393"/>
      <c r="K63" s="393"/>
      <c r="L63" s="393"/>
      <c r="M63" s="393"/>
      <c r="N63" s="393"/>
      <c r="O63" s="394"/>
    </row>
    <row r="64" spans="1:15">
      <c r="A64" s="1029" t="str">
        <f>报表格式!L63</f>
        <v>5.持有至到期投资重分类为可供出售金融资产损益</v>
      </c>
      <c r="B64" s="393">
        <f t="shared" si="0"/>
        <v>0</v>
      </c>
      <c r="C64" s="393"/>
      <c r="D64" s="393"/>
      <c r="E64" s="393"/>
      <c r="F64" s="393"/>
      <c r="G64" s="393"/>
      <c r="H64" s="393"/>
      <c r="I64" s="393"/>
      <c r="J64" s="393"/>
      <c r="K64" s="393"/>
      <c r="L64" s="393"/>
      <c r="M64" s="393"/>
      <c r="N64" s="393"/>
      <c r="O64" s="394"/>
    </row>
    <row r="65" spans="1:15">
      <c r="A65" s="1029" t="str">
        <f>报表格式!L64</f>
        <v>6.其他债权投资信用减值准备</v>
      </c>
      <c r="B65" s="393">
        <f t="shared" si="0"/>
        <v>0</v>
      </c>
      <c r="C65" s="393"/>
      <c r="D65" s="393"/>
      <c r="E65" s="393"/>
      <c r="F65" s="393"/>
      <c r="G65" s="393"/>
      <c r="H65" s="393"/>
      <c r="I65" s="393"/>
      <c r="J65" s="393"/>
      <c r="K65" s="393"/>
      <c r="L65" s="393"/>
      <c r="M65" s="393"/>
      <c r="N65" s="393"/>
      <c r="O65" s="394"/>
    </row>
    <row r="66" spans="1:15" s="389" customFormat="1">
      <c r="A66" s="1029" t="str">
        <f>报表格式!L65</f>
        <v>7.现金流量套期储备</v>
      </c>
      <c r="B66" s="393">
        <f t="shared" si="0"/>
        <v>0</v>
      </c>
      <c r="C66" s="393"/>
      <c r="D66" s="393"/>
      <c r="E66" s="393"/>
      <c r="F66" s="393"/>
      <c r="G66" s="393"/>
      <c r="H66" s="393"/>
      <c r="I66" s="393"/>
      <c r="J66" s="393"/>
      <c r="K66" s="393"/>
      <c r="L66" s="393"/>
      <c r="M66" s="393"/>
      <c r="N66" s="393"/>
      <c r="O66" s="394"/>
    </row>
    <row r="67" spans="1:15">
      <c r="A67" s="1029" t="str">
        <f>报表格式!L66</f>
        <v>8.外币财务报表折算差额</v>
      </c>
      <c r="B67" s="393">
        <f t="shared" si="0"/>
        <v>0</v>
      </c>
      <c r="C67" s="393"/>
      <c r="D67" s="393"/>
      <c r="E67" s="393"/>
      <c r="F67" s="393"/>
      <c r="G67" s="393"/>
      <c r="H67" s="393"/>
      <c r="I67" s="393"/>
      <c r="J67" s="393"/>
      <c r="K67" s="393"/>
      <c r="L67" s="393"/>
      <c r="M67" s="393"/>
      <c r="N67" s="393"/>
      <c r="O67" s="394"/>
    </row>
    <row r="68" spans="1:15">
      <c r="A68" s="1029" t="str">
        <f>报表格式!L67</f>
        <v>9.自用房地产或作为存货的房地产转换为以公允价值计量的投资性房地产在转换日公允价值大于账面价值部分</v>
      </c>
      <c r="B68" s="393">
        <f t="shared" si="0"/>
        <v>0</v>
      </c>
      <c r="C68" s="393"/>
      <c r="D68" s="393"/>
      <c r="E68" s="393"/>
      <c r="F68" s="393"/>
      <c r="G68" s="393"/>
      <c r="H68" s="393"/>
      <c r="I68" s="393"/>
      <c r="J68" s="393"/>
      <c r="K68" s="393"/>
      <c r="L68" s="393"/>
      <c r="M68" s="393"/>
      <c r="N68" s="393"/>
      <c r="O68" s="394"/>
    </row>
    <row r="69" spans="1:15" s="389" customFormat="1">
      <c r="A69" s="1029" t="str">
        <f>报表格式!L68</f>
        <v>10.多次交易分步处置子公司股权构成一揽子交易的，丧失控制权之前各次交易处置价款与对应净资产账面价值份额的差额</v>
      </c>
      <c r="B69" s="393">
        <f t="shared" si="0"/>
        <v>0</v>
      </c>
      <c r="C69" s="393"/>
      <c r="D69" s="393"/>
      <c r="E69" s="393"/>
      <c r="F69" s="393"/>
      <c r="G69" s="393"/>
      <c r="H69" s="393"/>
      <c r="I69" s="393"/>
      <c r="J69" s="393"/>
      <c r="K69" s="393"/>
      <c r="L69" s="393"/>
      <c r="M69" s="393"/>
      <c r="N69" s="393"/>
      <c r="O69" s="394"/>
    </row>
    <row r="70" spans="1:15">
      <c r="A70" s="1029" t="str">
        <f>报表格式!L69</f>
        <v>11.其他</v>
      </c>
      <c r="B70" s="393">
        <f t="shared" si="0"/>
        <v>0</v>
      </c>
      <c r="C70" s="393"/>
      <c r="D70" s="393"/>
      <c r="E70" s="393"/>
      <c r="F70" s="393"/>
      <c r="G70" s="393"/>
      <c r="H70" s="393"/>
      <c r="I70" s="393"/>
      <c r="J70" s="393"/>
      <c r="K70" s="393"/>
      <c r="L70" s="393"/>
      <c r="M70" s="393"/>
      <c r="N70" s="393"/>
      <c r="O70" s="394"/>
    </row>
    <row r="71" spans="1:15">
      <c r="A71" s="1024" t="str">
        <f>报表格式!L70</f>
        <v>归属于少数股东的其他综合收益的税后净额</v>
      </c>
      <c r="B71" s="393">
        <f t="shared" si="0"/>
        <v>0</v>
      </c>
      <c r="C71" s="393"/>
      <c r="D71" s="393"/>
      <c r="E71" s="393"/>
      <c r="F71" s="393"/>
      <c r="G71" s="393"/>
      <c r="H71" s="393"/>
      <c r="I71" s="393"/>
      <c r="J71" s="393"/>
      <c r="K71" s="393"/>
      <c r="L71" s="393"/>
      <c r="M71" s="393"/>
      <c r="N71" s="393"/>
      <c r="O71" s="394"/>
    </row>
    <row r="72" spans="1:15">
      <c r="A72" s="1033" t="str">
        <f>报表格式!L71</f>
        <v>六、综合收益总额</v>
      </c>
      <c r="B72" s="393">
        <f t="shared" si="0"/>
        <v>0</v>
      </c>
      <c r="C72" s="393">
        <f t="shared" ref="C72:O72" si="11">C44+C51</f>
        <v>0</v>
      </c>
      <c r="D72" s="393">
        <f t="shared" si="11"/>
        <v>0</v>
      </c>
      <c r="E72" s="393">
        <f t="shared" si="11"/>
        <v>0</v>
      </c>
      <c r="F72" s="393">
        <f t="shared" si="11"/>
        <v>0</v>
      </c>
      <c r="G72" s="393">
        <f t="shared" si="11"/>
        <v>0</v>
      </c>
      <c r="H72" s="393">
        <f t="shared" si="11"/>
        <v>0</v>
      </c>
      <c r="I72" s="393">
        <f t="shared" si="11"/>
        <v>0</v>
      </c>
      <c r="J72" s="393">
        <f t="shared" si="11"/>
        <v>0</v>
      </c>
      <c r="K72" s="393">
        <f t="shared" si="11"/>
        <v>0</v>
      </c>
      <c r="L72" s="393">
        <f t="shared" si="11"/>
        <v>0</v>
      </c>
      <c r="M72" s="393">
        <f t="shared" si="11"/>
        <v>0</v>
      </c>
      <c r="N72" s="393">
        <f t="shared" si="11"/>
        <v>0</v>
      </c>
      <c r="O72" s="394">
        <f t="shared" si="11"/>
        <v>0</v>
      </c>
    </row>
    <row r="73" spans="1:15">
      <c r="A73" s="1024" t="str">
        <f>报表格式!L72</f>
        <v xml:space="preserve">     归属于母公司股东的综合收益总额</v>
      </c>
      <c r="B73" s="393">
        <f t="shared" si="0"/>
        <v>0</v>
      </c>
      <c r="C73" s="393">
        <f>C49+C52</f>
        <v>0</v>
      </c>
      <c r="D73" s="393">
        <f t="shared" ref="D73:O73" si="12">D49+D52</f>
        <v>0</v>
      </c>
      <c r="E73" s="393">
        <f t="shared" si="12"/>
        <v>0</v>
      </c>
      <c r="F73" s="393">
        <f t="shared" si="12"/>
        <v>0</v>
      </c>
      <c r="G73" s="393">
        <f t="shared" si="12"/>
        <v>0</v>
      </c>
      <c r="H73" s="393">
        <f t="shared" si="12"/>
        <v>0</v>
      </c>
      <c r="I73" s="393">
        <f t="shared" si="12"/>
        <v>0</v>
      </c>
      <c r="J73" s="393">
        <f t="shared" si="12"/>
        <v>0</v>
      </c>
      <c r="K73" s="393">
        <f t="shared" si="12"/>
        <v>0</v>
      </c>
      <c r="L73" s="393">
        <f t="shared" si="12"/>
        <v>0</v>
      </c>
      <c r="M73" s="393">
        <f t="shared" si="12"/>
        <v>0</v>
      </c>
      <c r="N73" s="393">
        <f t="shared" si="12"/>
        <v>0</v>
      </c>
      <c r="O73" s="394">
        <f t="shared" si="12"/>
        <v>0</v>
      </c>
    </row>
    <row r="74" spans="1:15">
      <c r="A74" s="1024" t="str">
        <f>报表格式!L73</f>
        <v xml:space="preserve">     归属于少数股东的综合收益总额</v>
      </c>
      <c r="B74" s="393">
        <f t="shared" si="0"/>
        <v>0</v>
      </c>
      <c r="C74" s="393">
        <f>C50+C71</f>
        <v>0</v>
      </c>
      <c r="D74" s="393">
        <f t="shared" ref="D74:O74" si="13">D50+D71</f>
        <v>0</v>
      </c>
      <c r="E74" s="393">
        <f t="shared" si="13"/>
        <v>0</v>
      </c>
      <c r="F74" s="393">
        <f t="shared" si="13"/>
        <v>0</v>
      </c>
      <c r="G74" s="393">
        <f t="shared" si="13"/>
        <v>0</v>
      </c>
      <c r="H74" s="393">
        <f t="shared" si="13"/>
        <v>0</v>
      </c>
      <c r="I74" s="393">
        <f t="shared" si="13"/>
        <v>0</v>
      </c>
      <c r="J74" s="393">
        <f t="shared" si="13"/>
        <v>0</v>
      </c>
      <c r="K74" s="393">
        <f t="shared" si="13"/>
        <v>0</v>
      </c>
      <c r="L74" s="393">
        <f t="shared" si="13"/>
        <v>0</v>
      </c>
      <c r="M74" s="393">
        <f t="shared" si="13"/>
        <v>0</v>
      </c>
      <c r="N74" s="393">
        <f t="shared" si="13"/>
        <v>0</v>
      </c>
      <c r="O74" s="394">
        <f t="shared" si="13"/>
        <v>0</v>
      </c>
    </row>
    <row r="75" spans="1:15">
      <c r="A75" s="1033" t="str">
        <f>报表格式!L74</f>
        <v>七、每股收益</v>
      </c>
      <c r="B75" s="393">
        <f t="shared" si="0"/>
        <v>0</v>
      </c>
      <c r="C75" s="393"/>
      <c r="D75" s="393"/>
      <c r="E75" s="393"/>
      <c r="F75" s="393"/>
      <c r="G75" s="393"/>
      <c r="H75" s="393"/>
      <c r="I75" s="393"/>
      <c r="J75" s="393"/>
      <c r="K75" s="393"/>
      <c r="L75" s="393"/>
      <c r="M75" s="393"/>
      <c r="N75" s="393"/>
      <c r="O75" s="394"/>
    </row>
    <row r="76" spans="1:15">
      <c r="A76" s="1024" t="str">
        <f>报表格式!L75</f>
        <v xml:space="preserve">   （一）基本每股收益</v>
      </c>
      <c r="B76" s="393">
        <f t="shared" si="0"/>
        <v>0</v>
      </c>
      <c r="C76" s="393"/>
      <c r="D76" s="393"/>
      <c r="E76" s="393"/>
      <c r="F76" s="393"/>
      <c r="G76" s="393"/>
      <c r="H76" s="393"/>
      <c r="I76" s="393"/>
      <c r="J76" s="393"/>
      <c r="K76" s="393"/>
      <c r="L76" s="393"/>
      <c r="M76" s="393"/>
      <c r="N76" s="393"/>
      <c r="O76" s="394"/>
    </row>
    <row r="77" spans="1:15">
      <c r="A77" s="1024" t="str">
        <f>报表格式!L76</f>
        <v xml:space="preserve">   （二）稀释每股收益</v>
      </c>
      <c r="B77" s="393">
        <f t="shared" si="0"/>
        <v>0</v>
      </c>
      <c r="C77" s="393"/>
      <c r="D77" s="393"/>
      <c r="E77" s="393"/>
      <c r="F77" s="393"/>
      <c r="G77" s="393"/>
      <c r="H77" s="393"/>
      <c r="I77" s="393"/>
      <c r="J77" s="393"/>
      <c r="K77" s="393"/>
      <c r="L77" s="393"/>
      <c r="M77" s="393"/>
      <c r="N77" s="393"/>
      <c r="O77" s="394"/>
    </row>
    <row r="78" spans="1:15">
      <c r="A78" s="1033" t="str">
        <f>报表格式!L77</f>
        <v>八、利润分配</v>
      </c>
      <c r="B78" s="393">
        <f t="shared" ref="B78:B89" si="14">SUM(C78:O78)</f>
        <v>0</v>
      </c>
      <c r="C78" s="393"/>
      <c r="D78" s="393"/>
      <c r="E78" s="393"/>
      <c r="F78" s="393"/>
      <c r="G78" s="393"/>
      <c r="H78" s="393"/>
      <c r="I78" s="393"/>
      <c r="J78" s="393"/>
      <c r="K78" s="393"/>
      <c r="L78" s="393"/>
      <c r="M78" s="393"/>
      <c r="N78" s="393"/>
      <c r="O78" s="394"/>
    </row>
    <row r="79" spans="1:15">
      <c r="A79" s="1024" t="str">
        <f>报表格式!L78</f>
        <v xml:space="preserve">   （一）年初未分配利润</v>
      </c>
      <c r="B79" s="393">
        <f t="shared" si="14"/>
        <v>0</v>
      </c>
      <c r="C79" s="393"/>
      <c r="D79" s="393"/>
      <c r="E79" s="393"/>
      <c r="F79" s="393"/>
      <c r="G79" s="393"/>
      <c r="H79" s="393"/>
      <c r="I79" s="393"/>
      <c r="J79" s="393"/>
      <c r="K79" s="393"/>
      <c r="L79" s="393"/>
      <c r="M79" s="393"/>
      <c r="N79" s="393"/>
      <c r="O79" s="394"/>
    </row>
    <row r="80" spans="1:15">
      <c r="A80" s="1024" t="str">
        <f>报表格式!L79</f>
        <v xml:space="preserve">   （二）可供分配的利润</v>
      </c>
      <c r="B80" s="393">
        <f t="shared" si="14"/>
        <v>0</v>
      </c>
      <c r="C80" s="393">
        <f>C49+C79</f>
        <v>0</v>
      </c>
      <c r="D80" s="393">
        <f t="shared" ref="D80:O80" si="15">D49+D79</f>
        <v>0</v>
      </c>
      <c r="E80" s="393">
        <f t="shared" si="15"/>
        <v>0</v>
      </c>
      <c r="F80" s="393">
        <f t="shared" si="15"/>
        <v>0</v>
      </c>
      <c r="G80" s="393">
        <f t="shared" si="15"/>
        <v>0</v>
      </c>
      <c r="H80" s="393">
        <f t="shared" si="15"/>
        <v>0</v>
      </c>
      <c r="I80" s="393">
        <f t="shared" si="15"/>
        <v>0</v>
      </c>
      <c r="J80" s="393">
        <f t="shared" si="15"/>
        <v>0</v>
      </c>
      <c r="K80" s="393">
        <f t="shared" si="15"/>
        <v>0</v>
      </c>
      <c r="L80" s="393">
        <f t="shared" si="15"/>
        <v>0</v>
      </c>
      <c r="M80" s="393">
        <f t="shared" si="15"/>
        <v>0</v>
      </c>
      <c r="N80" s="393">
        <f t="shared" si="15"/>
        <v>0</v>
      </c>
      <c r="O80" s="394">
        <f t="shared" si="15"/>
        <v>0</v>
      </c>
    </row>
    <row r="81" spans="1:15">
      <c r="A81" s="1024" t="str">
        <f>报表格式!L80</f>
        <v xml:space="preserve">    1、提取法定盈余公积</v>
      </c>
      <c r="B81" s="393">
        <f t="shared" si="14"/>
        <v>0</v>
      </c>
      <c r="C81" s="393"/>
      <c r="D81" s="393"/>
      <c r="E81" s="393"/>
      <c r="F81" s="393"/>
      <c r="G81" s="393"/>
      <c r="H81" s="393"/>
      <c r="I81" s="393"/>
      <c r="J81" s="393"/>
      <c r="K81" s="393"/>
      <c r="L81" s="393"/>
      <c r="M81" s="393"/>
      <c r="N81" s="393"/>
      <c r="O81" s="394"/>
    </row>
    <row r="82" spans="1:15">
      <c r="A82" s="1024" t="str">
        <f>报表格式!L81</f>
        <v xml:space="preserve">    2、其他</v>
      </c>
      <c r="B82" s="393">
        <f t="shared" si="14"/>
        <v>0</v>
      </c>
      <c r="C82" s="393"/>
      <c r="D82" s="393"/>
      <c r="E82" s="393"/>
      <c r="F82" s="393"/>
      <c r="G82" s="393"/>
      <c r="H82" s="393"/>
      <c r="I82" s="393"/>
      <c r="J82" s="393"/>
      <c r="K82" s="393"/>
      <c r="L82" s="393"/>
      <c r="M82" s="393"/>
      <c r="N82" s="393"/>
      <c r="O82" s="394"/>
    </row>
    <row r="83" spans="1:15">
      <c r="A83" s="1024" t="str">
        <f>报表格式!L82</f>
        <v xml:space="preserve">   （三）可供投资者分配的利润</v>
      </c>
      <c r="B83" s="393">
        <f t="shared" si="14"/>
        <v>0</v>
      </c>
      <c r="C83" s="393">
        <f>C80-C81-C82</f>
        <v>0</v>
      </c>
      <c r="D83" s="393">
        <f t="shared" ref="D83:O83" si="16">D80-D81-D82</f>
        <v>0</v>
      </c>
      <c r="E83" s="393">
        <f t="shared" si="16"/>
        <v>0</v>
      </c>
      <c r="F83" s="393">
        <f t="shared" si="16"/>
        <v>0</v>
      </c>
      <c r="G83" s="393">
        <f t="shared" si="16"/>
        <v>0</v>
      </c>
      <c r="H83" s="393">
        <f t="shared" si="16"/>
        <v>0</v>
      </c>
      <c r="I83" s="393">
        <f t="shared" si="16"/>
        <v>0</v>
      </c>
      <c r="J83" s="393">
        <f t="shared" si="16"/>
        <v>0</v>
      </c>
      <c r="K83" s="393">
        <f t="shared" si="16"/>
        <v>0</v>
      </c>
      <c r="L83" s="393">
        <f t="shared" si="16"/>
        <v>0</v>
      </c>
      <c r="M83" s="393">
        <f t="shared" si="16"/>
        <v>0</v>
      </c>
      <c r="N83" s="393">
        <f t="shared" si="16"/>
        <v>0</v>
      </c>
      <c r="O83" s="394">
        <f t="shared" si="16"/>
        <v>0</v>
      </c>
    </row>
    <row r="84" spans="1:15">
      <c r="A84" s="1024" t="str">
        <f>报表格式!L83</f>
        <v xml:space="preserve">    1、应付优先股股利</v>
      </c>
      <c r="B84" s="393">
        <f t="shared" si="14"/>
        <v>0</v>
      </c>
      <c r="C84" s="393"/>
      <c r="D84" s="393"/>
      <c r="E84" s="393"/>
      <c r="F84" s="393"/>
      <c r="G84" s="393"/>
      <c r="H84" s="393"/>
      <c r="I84" s="393"/>
      <c r="J84" s="393"/>
      <c r="K84" s="393"/>
      <c r="L84" s="393"/>
      <c r="M84" s="393"/>
      <c r="N84" s="393"/>
      <c r="O84" s="394"/>
    </row>
    <row r="85" spans="1:15">
      <c r="A85" s="1024" t="str">
        <f>报表格式!L84</f>
        <v xml:space="preserve">    2、提取任意盈余公积</v>
      </c>
      <c r="B85" s="393">
        <f t="shared" si="14"/>
        <v>0</v>
      </c>
      <c r="C85" s="393"/>
      <c r="D85" s="393"/>
      <c r="E85" s="393"/>
      <c r="F85" s="393"/>
      <c r="G85" s="393"/>
      <c r="H85" s="393"/>
      <c r="I85" s="393"/>
      <c r="J85" s="393"/>
      <c r="K85" s="393"/>
      <c r="L85" s="393"/>
      <c r="M85" s="393"/>
      <c r="N85" s="393"/>
      <c r="O85" s="394"/>
    </row>
    <row r="86" spans="1:15">
      <c r="A86" s="1024" t="str">
        <f>报表格式!L85</f>
        <v xml:space="preserve">    3、应付普通股股利（应付利润）</v>
      </c>
      <c r="B86" s="393">
        <f t="shared" si="14"/>
        <v>0</v>
      </c>
      <c r="C86" s="393"/>
      <c r="D86" s="393"/>
      <c r="E86" s="393"/>
      <c r="F86" s="393"/>
      <c r="G86" s="393"/>
      <c r="H86" s="393"/>
      <c r="I86" s="393"/>
      <c r="J86" s="393"/>
      <c r="K86" s="393"/>
      <c r="L86" s="393"/>
      <c r="M86" s="393"/>
      <c r="N86" s="393"/>
      <c r="O86" s="394"/>
    </row>
    <row r="87" spans="1:15">
      <c r="A87" s="1024" t="str">
        <f>报表格式!L86</f>
        <v xml:space="preserve">    4、转作资本（或股本）的普通股股利</v>
      </c>
      <c r="B87" s="393">
        <f t="shared" si="14"/>
        <v>0</v>
      </c>
      <c r="C87" s="393"/>
      <c r="D87" s="393"/>
      <c r="E87" s="393"/>
      <c r="F87" s="393"/>
      <c r="G87" s="393"/>
      <c r="H87" s="393"/>
      <c r="I87" s="393"/>
      <c r="J87" s="393"/>
      <c r="K87" s="393"/>
      <c r="L87" s="393"/>
      <c r="M87" s="393"/>
      <c r="N87" s="393"/>
      <c r="O87" s="394"/>
    </row>
    <row r="88" spans="1:15">
      <c r="A88" s="1024" t="str">
        <f>报表格式!L87</f>
        <v xml:space="preserve">    5、其他</v>
      </c>
      <c r="B88" s="393">
        <f t="shared" si="14"/>
        <v>0</v>
      </c>
      <c r="C88" s="393"/>
      <c r="D88" s="393"/>
      <c r="E88" s="393"/>
      <c r="F88" s="393"/>
      <c r="G88" s="393"/>
      <c r="H88" s="393"/>
      <c r="I88" s="393"/>
      <c r="J88" s="393"/>
      <c r="K88" s="393"/>
      <c r="L88" s="393"/>
      <c r="M88" s="393"/>
      <c r="N88" s="393"/>
      <c r="O88" s="394"/>
    </row>
    <row r="89" spans="1:15" s="389" customFormat="1">
      <c r="A89" s="1034" t="str">
        <f>报表格式!L88</f>
        <v>九、未分配利润</v>
      </c>
      <c r="B89" s="505">
        <f t="shared" si="14"/>
        <v>0</v>
      </c>
      <c r="C89" s="505">
        <f>C83-SUM(C84:C88)</f>
        <v>0</v>
      </c>
      <c r="D89" s="505">
        <f t="shared" ref="D89:O89" si="17">D83-SUM(D84:D88)</f>
        <v>0</v>
      </c>
      <c r="E89" s="505">
        <f t="shared" si="17"/>
        <v>0</v>
      </c>
      <c r="F89" s="505">
        <f t="shared" si="17"/>
        <v>0</v>
      </c>
      <c r="G89" s="505">
        <f t="shared" si="17"/>
        <v>0</v>
      </c>
      <c r="H89" s="505">
        <f t="shared" si="17"/>
        <v>0</v>
      </c>
      <c r="I89" s="505">
        <f t="shared" si="17"/>
        <v>0</v>
      </c>
      <c r="J89" s="505">
        <f t="shared" si="17"/>
        <v>0</v>
      </c>
      <c r="K89" s="505">
        <f t="shared" si="17"/>
        <v>0</v>
      </c>
      <c r="L89" s="505">
        <f t="shared" si="17"/>
        <v>0</v>
      </c>
      <c r="M89" s="505">
        <f t="shared" si="17"/>
        <v>0</v>
      </c>
      <c r="N89" s="505">
        <f t="shared" si="17"/>
        <v>0</v>
      </c>
      <c r="O89" s="506">
        <f t="shared" si="17"/>
        <v>0</v>
      </c>
    </row>
    <row r="92" spans="1:15">
      <c r="A92" s="1016" t="s">
        <v>101</v>
      </c>
    </row>
    <row r="93" spans="1:15" s="587" customFormat="1">
      <c r="A93" s="1018" t="s">
        <v>547</v>
      </c>
      <c r="B93" s="823">
        <f>SUM(B6)-SUM(B12,B22:B26)+SUM(B29:B30,B33:B37)-B38</f>
        <v>0</v>
      </c>
      <c r="C93" s="823">
        <f t="shared" ref="C93:O93" si="18">SUM(C6)-SUM(C12,C22:C26)+SUM(C29:C30,C33:C37)-C38</f>
        <v>0</v>
      </c>
      <c r="D93" s="823">
        <f t="shared" si="18"/>
        <v>0</v>
      </c>
      <c r="E93" s="823">
        <f t="shared" si="18"/>
        <v>0</v>
      </c>
      <c r="F93" s="823">
        <f t="shared" si="18"/>
        <v>0</v>
      </c>
      <c r="G93" s="823">
        <f t="shared" si="18"/>
        <v>0</v>
      </c>
      <c r="H93" s="823">
        <f t="shared" si="18"/>
        <v>0</v>
      </c>
      <c r="I93" s="823">
        <f t="shared" si="18"/>
        <v>0</v>
      </c>
      <c r="J93" s="823">
        <f t="shared" si="18"/>
        <v>0</v>
      </c>
      <c r="K93" s="823">
        <f t="shared" si="18"/>
        <v>0</v>
      </c>
      <c r="L93" s="823">
        <f t="shared" si="18"/>
        <v>0</v>
      </c>
      <c r="M93" s="823">
        <f t="shared" si="18"/>
        <v>0</v>
      </c>
      <c r="N93" s="823">
        <f t="shared" si="18"/>
        <v>0</v>
      </c>
      <c r="O93" s="823">
        <f t="shared" si="18"/>
        <v>0</v>
      </c>
    </row>
    <row r="94" spans="1:15" s="587" customFormat="1">
      <c r="A94" s="1018" t="s">
        <v>548</v>
      </c>
      <c r="B94" s="632">
        <f>SUM(B38,B39,-B40)-B41</f>
        <v>0</v>
      </c>
      <c r="C94" s="433">
        <f t="shared" ref="C94:O94" si="19">SUM(C38,C39,-C40)-C41</f>
        <v>0</v>
      </c>
      <c r="D94" s="433">
        <f t="shared" si="19"/>
        <v>0</v>
      </c>
      <c r="E94" s="433">
        <f t="shared" si="19"/>
        <v>0</v>
      </c>
      <c r="F94" s="433">
        <f t="shared" si="19"/>
        <v>0</v>
      </c>
      <c r="G94" s="433">
        <f t="shared" si="19"/>
        <v>0</v>
      </c>
      <c r="H94" s="433">
        <f t="shared" si="19"/>
        <v>0</v>
      </c>
      <c r="I94" s="433">
        <f t="shared" si="19"/>
        <v>0</v>
      </c>
      <c r="J94" s="433">
        <f t="shared" si="19"/>
        <v>0</v>
      </c>
      <c r="K94" s="433">
        <f t="shared" si="19"/>
        <v>0</v>
      </c>
      <c r="L94" s="433">
        <f t="shared" si="19"/>
        <v>0</v>
      </c>
      <c r="M94" s="433">
        <f t="shared" si="19"/>
        <v>0</v>
      </c>
      <c r="N94" s="433">
        <f t="shared" si="19"/>
        <v>0</v>
      </c>
      <c r="O94" s="433">
        <f t="shared" si="19"/>
        <v>0</v>
      </c>
    </row>
    <row r="95" spans="1:15" s="587" customFormat="1">
      <c r="A95" s="1017" t="s">
        <v>113</v>
      </c>
      <c r="B95" s="632">
        <f>SUM(B41,-B42,-B43)-B44</f>
        <v>0</v>
      </c>
      <c r="C95" s="433">
        <f t="shared" ref="C95:O95" si="20">SUM(C41,-C42,-C43)-C44</f>
        <v>0</v>
      </c>
      <c r="D95" s="433">
        <f t="shared" si="20"/>
        <v>0</v>
      </c>
      <c r="E95" s="433">
        <f t="shared" si="20"/>
        <v>0</v>
      </c>
      <c r="F95" s="433">
        <f t="shared" si="20"/>
        <v>0</v>
      </c>
      <c r="G95" s="433">
        <f t="shared" si="20"/>
        <v>0</v>
      </c>
      <c r="H95" s="433">
        <f t="shared" si="20"/>
        <v>0</v>
      </c>
      <c r="I95" s="433">
        <f t="shared" si="20"/>
        <v>0</v>
      </c>
      <c r="J95" s="433">
        <f t="shared" si="20"/>
        <v>0</v>
      </c>
      <c r="K95" s="433">
        <f t="shared" si="20"/>
        <v>0</v>
      </c>
      <c r="L95" s="433">
        <f t="shared" si="20"/>
        <v>0</v>
      </c>
      <c r="M95" s="433">
        <f t="shared" si="20"/>
        <v>0</v>
      </c>
      <c r="N95" s="433">
        <f t="shared" si="20"/>
        <v>0</v>
      </c>
      <c r="O95" s="433">
        <f t="shared" si="20"/>
        <v>0</v>
      </c>
    </row>
    <row r="96" spans="1:15" s="587" customFormat="1">
      <c r="A96" s="1017" t="s">
        <v>114</v>
      </c>
      <c r="B96" s="632">
        <f>SUM(B44,-B50)-B49</f>
        <v>0</v>
      </c>
      <c r="C96" s="433">
        <f t="shared" ref="C96:O96" si="21">SUM(C44,-C50)-C49</f>
        <v>0</v>
      </c>
      <c r="D96" s="433">
        <f t="shared" si="21"/>
        <v>0</v>
      </c>
      <c r="E96" s="433">
        <f t="shared" si="21"/>
        <v>0</v>
      </c>
      <c r="F96" s="433">
        <f t="shared" si="21"/>
        <v>0</v>
      </c>
      <c r="G96" s="433">
        <f t="shared" si="21"/>
        <v>0</v>
      </c>
      <c r="H96" s="433">
        <f t="shared" si="21"/>
        <v>0</v>
      </c>
      <c r="I96" s="433">
        <f t="shared" si="21"/>
        <v>0</v>
      </c>
      <c r="J96" s="433">
        <f t="shared" si="21"/>
        <v>0</v>
      </c>
      <c r="K96" s="433">
        <f t="shared" si="21"/>
        <v>0</v>
      </c>
      <c r="L96" s="433">
        <f t="shared" si="21"/>
        <v>0</v>
      </c>
      <c r="M96" s="433">
        <f t="shared" si="21"/>
        <v>0</v>
      </c>
      <c r="N96" s="433">
        <f t="shared" si="21"/>
        <v>0</v>
      </c>
      <c r="O96" s="433">
        <f t="shared" si="21"/>
        <v>0</v>
      </c>
    </row>
    <row r="97" spans="1:15">
      <c r="A97" s="1017" t="s">
        <v>935</v>
      </c>
      <c r="B97" s="632">
        <f>SUM(B54:B58,B60:B70)-B52</f>
        <v>0</v>
      </c>
      <c r="C97" s="632">
        <f t="shared" ref="C97:O97" si="22">SUM(C54:C58,C60:C70)-C52</f>
        <v>0</v>
      </c>
      <c r="D97" s="632">
        <f t="shared" si="22"/>
        <v>0</v>
      </c>
      <c r="E97" s="632">
        <f t="shared" si="22"/>
        <v>0</v>
      </c>
      <c r="F97" s="632">
        <f t="shared" si="22"/>
        <v>0</v>
      </c>
      <c r="G97" s="632">
        <f t="shared" si="22"/>
        <v>0</v>
      </c>
      <c r="H97" s="632">
        <f t="shared" si="22"/>
        <v>0</v>
      </c>
      <c r="I97" s="632">
        <f t="shared" si="22"/>
        <v>0</v>
      </c>
      <c r="J97" s="632">
        <f t="shared" si="22"/>
        <v>0</v>
      </c>
      <c r="K97" s="632">
        <f t="shared" si="22"/>
        <v>0</v>
      </c>
      <c r="L97" s="632">
        <f t="shared" si="22"/>
        <v>0</v>
      </c>
      <c r="M97" s="632">
        <f t="shared" si="22"/>
        <v>0</v>
      </c>
      <c r="N97" s="632">
        <f t="shared" si="22"/>
        <v>0</v>
      </c>
      <c r="O97" s="632">
        <f t="shared" si="22"/>
        <v>0</v>
      </c>
    </row>
    <row r="98" spans="1:15">
      <c r="A98" s="1017" t="s">
        <v>933</v>
      </c>
      <c r="B98" s="632">
        <f>SUM(B44,B51)-B72</f>
        <v>0</v>
      </c>
      <c r="C98" s="632">
        <f t="shared" ref="C98:O98" si="23">SUM(C44,C51)-C72</f>
        <v>0</v>
      </c>
      <c r="D98" s="632">
        <f t="shared" si="23"/>
        <v>0</v>
      </c>
      <c r="E98" s="632">
        <f t="shared" si="23"/>
        <v>0</v>
      </c>
      <c r="F98" s="632">
        <f t="shared" si="23"/>
        <v>0</v>
      </c>
      <c r="G98" s="632">
        <f t="shared" si="23"/>
        <v>0</v>
      </c>
      <c r="H98" s="632">
        <f t="shared" si="23"/>
        <v>0</v>
      </c>
      <c r="I98" s="632">
        <f t="shared" si="23"/>
        <v>0</v>
      </c>
      <c r="J98" s="632">
        <f t="shared" si="23"/>
        <v>0</v>
      </c>
      <c r="K98" s="632">
        <f t="shared" si="23"/>
        <v>0</v>
      </c>
      <c r="L98" s="632">
        <f t="shared" si="23"/>
        <v>0</v>
      </c>
      <c r="M98" s="632">
        <f t="shared" si="23"/>
        <v>0</v>
      </c>
      <c r="N98" s="632">
        <f t="shared" si="23"/>
        <v>0</v>
      </c>
      <c r="O98" s="632">
        <f t="shared" si="23"/>
        <v>0</v>
      </c>
    </row>
    <row r="100" spans="1:15" s="587" customFormat="1">
      <c r="A100" s="1017" t="s">
        <v>111</v>
      </c>
      <c r="B100" s="632">
        <f t="shared" ref="B100:O100" si="24">SUM(B7:B11)-B6</f>
        <v>0</v>
      </c>
      <c r="C100" s="433">
        <f t="shared" si="24"/>
        <v>0</v>
      </c>
      <c r="D100" s="433">
        <f t="shared" si="24"/>
        <v>0</v>
      </c>
      <c r="E100" s="433">
        <f t="shared" si="24"/>
        <v>0</v>
      </c>
      <c r="F100" s="433">
        <f t="shared" si="24"/>
        <v>0</v>
      </c>
      <c r="G100" s="433">
        <f t="shared" si="24"/>
        <v>0</v>
      </c>
      <c r="H100" s="433">
        <f t="shared" si="24"/>
        <v>0</v>
      </c>
      <c r="I100" s="433">
        <f t="shared" si="24"/>
        <v>0</v>
      </c>
      <c r="J100" s="433">
        <f t="shared" si="24"/>
        <v>0</v>
      </c>
      <c r="K100" s="433">
        <f t="shared" si="24"/>
        <v>0</v>
      </c>
      <c r="L100" s="433">
        <f t="shared" si="24"/>
        <v>0</v>
      </c>
      <c r="M100" s="433">
        <f t="shared" si="24"/>
        <v>0</v>
      </c>
      <c r="N100" s="433">
        <f t="shared" si="24"/>
        <v>0</v>
      </c>
      <c r="O100" s="433">
        <f t="shared" si="24"/>
        <v>0</v>
      </c>
    </row>
    <row r="101" spans="1:15" s="587" customFormat="1">
      <c r="A101" s="1017" t="s">
        <v>112</v>
      </c>
      <c r="B101" s="632">
        <f t="shared" ref="B101:O101" si="25">SUM(B13:B21)-B12</f>
        <v>0</v>
      </c>
      <c r="C101" s="433">
        <f t="shared" si="25"/>
        <v>0</v>
      </c>
      <c r="D101" s="433">
        <f t="shared" si="25"/>
        <v>0</v>
      </c>
      <c r="E101" s="433">
        <f t="shared" si="25"/>
        <v>0</v>
      </c>
      <c r="F101" s="433">
        <f t="shared" si="25"/>
        <v>0</v>
      </c>
      <c r="G101" s="433">
        <f t="shared" si="25"/>
        <v>0</v>
      </c>
      <c r="H101" s="433">
        <f t="shared" si="25"/>
        <v>0</v>
      </c>
      <c r="I101" s="433">
        <f t="shared" si="25"/>
        <v>0</v>
      </c>
      <c r="J101" s="433">
        <f t="shared" si="25"/>
        <v>0</v>
      </c>
      <c r="K101" s="433">
        <f t="shared" si="25"/>
        <v>0</v>
      </c>
      <c r="L101" s="433">
        <f t="shared" si="25"/>
        <v>0</v>
      </c>
      <c r="M101" s="433">
        <f t="shared" si="25"/>
        <v>0</v>
      </c>
      <c r="N101" s="433">
        <f t="shared" si="25"/>
        <v>0</v>
      </c>
      <c r="O101" s="433">
        <f t="shared" si="25"/>
        <v>0</v>
      </c>
    </row>
  </sheetData>
  <phoneticPr fontId="13" type="noConversion"/>
  <printOptions horizontalCentered="1"/>
  <pageMargins left="0.74803149606299202" right="0.74803149606299202" top="0.98425196850393704" bottom="0.98425196850393704" header="0.511811023622047" footer="0.511811023622047"/>
  <pageSetup paperSize="9" scale="50" orientation="portrait" cellComments="asDisplayed" r:id="rId1"/>
  <headerFooter alignWithMargins="0">
    <oddHeader>&amp;C&amp;F/&amp;A&amp;R
&amp;T  &amp;D</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indexed="38"/>
    <pageSetUpPr fitToPage="1"/>
  </sheetPr>
  <dimension ref="A1:O116"/>
  <sheetViews>
    <sheetView showZeros="0" workbookViewId="0">
      <pane xSplit="2" ySplit="5" topLeftCell="C39" activePane="bottomRight" state="frozen"/>
      <selection activeCell="H6" sqref="H6"/>
      <selection pane="topRight" activeCell="H6" sqref="H6"/>
      <selection pane="bottomLeft" activeCell="H6" sqref="H6"/>
      <selection pane="bottomRight" activeCell="B102" sqref="B102"/>
    </sheetView>
  </sheetViews>
  <sheetFormatPr defaultColWidth="9" defaultRowHeight="12.75"/>
  <cols>
    <col min="1" max="1" width="45" style="1003" customWidth="1"/>
    <col min="2" max="3" width="13.625" style="383" customWidth="1"/>
    <col min="4" max="14" width="9" style="383"/>
    <col min="15" max="15" width="8.875" style="435" customWidth="1"/>
    <col min="16" max="16384" width="9" style="383"/>
  </cols>
  <sheetData>
    <row r="1" spans="1:15" ht="18.75">
      <c r="A1" s="1002" t="s">
        <v>116</v>
      </c>
    </row>
    <row r="2" spans="1:15">
      <c r="A2" s="1003" t="str">
        <f>CONCATENATE("客户名称：",说明!E23)</f>
        <v>客户名称：</v>
      </c>
    </row>
    <row r="3" spans="1:15">
      <c r="A3" s="1003" t="str">
        <f>CONCATENATE("会计期间：",说明!E30)</f>
        <v>会计期间：2019年度</v>
      </c>
    </row>
    <row r="4" spans="1:15" s="1004" customFormat="1">
      <c r="D4" s="1004">
        <v>1</v>
      </c>
      <c r="E4" s="1004">
        <v>2</v>
      </c>
      <c r="F4" s="1004">
        <v>3</v>
      </c>
      <c r="G4" s="1004">
        <v>4</v>
      </c>
      <c r="H4" s="1004">
        <v>5</v>
      </c>
      <c r="I4" s="1004">
        <v>6</v>
      </c>
      <c r="J4" s="1004">
        <v>7</v>
      </c>
      <c r="K4" s="1004">
        <v>8</v>
      </c>
      <c r="L4" s="1004">
        <v>9</v>
      </c>
      <c r="M4" s="1004">
        <v>10</v>
      </c>
      <c r="O4" s="1020"/>
    </row>
    <row r="5" spans="1:15" s="385" customFormat="1">
      <c r="A5" s="1022" t="str">
        <f>报表格式!Q4</f>
        <v>报表项目</v>
      </c>
      <c r="B5" s="404" t="s">
        <v>524</v>
      </c>
      <c r="C5" s="405" t="s">
        <v>525</v>
      </c>
      <c r="D5" s="406" t="s">
        <v>526</v>
      </c>
      <c r="E5" s="406" t="s">
        <v>486</v>
      </c>
      <c r="F5" s="406" t="s">
        <v>487</v>
      </c>
      <c r="G5" s="406" t="s">
        <v>488</v>
      </c>
      <c r="H5" s="406" t="s">
        <v>489</v>
      </c>
      <c r="I5" s="406" t="s">
        <v>490</v>
      </c>
      <c r="J5" s="406" t="s">
        <v>491</v>
      </c>
      <c r="K5" s="406" t="s">
        <v>492</v>
      </c>
      <c r="L5" s="406" t="s">
        <v>493</v>
      </c>
      <c r="M5" s="406" t="s">
        <v>494</v>
      </c>
      <c r="N5" s="406"/>
      <c r="O5" s="436" t="s">
        <v>527</v>
      </c>
    </row>
    <row r="6" spans="1:15">
      <c r="A6" s="1035" t="str">
        <f>报表格式!Q5</f>
        <v>一、经营活动产生的现金流量</v>
      </c>
      <c r="B6" s="414"/>
      <c r="C6" s="414"/>
      <c r="D6" s="414"/>
      <c r="E6" s="414"/>
      <c r="F6" s="414"/>
      <c r="G6" s="414"/>
      <c r="H6" s="414"/>
      <c r="I6" s="414"/>
      <c r="J6" s="414"/>
      <c r="K6" s="414"/>
      <c r="L6" s="414"/>
      <c r="M6" s="414"/>
      <c r="N6" s="414"/>
      <c r="O6" s="415"/>
    </row>
    <row r="7" spans="1:15">
      <c r="A7" s="1036" t="str">
        <f>报表格式!Q6</f>
        <v xml:space="preserve">     销售商品、提供劳务收到的现金</v>
      </c>
      <c r="B7" s="393">
        <f t="shared" ref="B7:B64" si="0">SUM(C7:O7)</f>
        <v>0</v>
      </c>
      <c r="C7" s="393"/>
      <c r="D7" s="393"/>
      <c r="E7" s="393"/>
      <c r="F7" s="393"/>
      <c r="G7" s="393"/>
      <c r="H7" s="393"/>
      <c r="I7" s="393"/>
      <c r="J7" s="393"/>
      <c r="K7" s="393"/>
      <c r="L7" s="393"/>
      <c r="M7" s="393"/>
      <c r="N7" s="393"/>
      <c r="O7" s="394"/>
    </row>
    <row r="8" spans="1:15">
      <c r="A8" s="1036" t="str">
        <f>报表格式!Q7</f>
        <v xml:space="preserve">     客户存款和同业存放款项净增加额</v>
      </c>
      <c r="B8" s="393">
        <f t="shared" ref="B8:B17" si="1">SUM(C8:O8)</f>
        <v>0</v>
      </c>
      <c r="C8" s="393"/>
      <c r="D8" s="393"/>
      <c r="E8" s="393"/>
      <c r="F8" s="393"/>
      <c r="G8" s="393"/>
      <c r="H8" s="393"/>
      <c r="I8" s="393"/>
      <c r="J8" s="393"/>
      <c r="K8" s="393"/>
      <c r="L8" s="393"/>
      <c r="M8" s="393"/>
      <c r="N8" s="393"/>
      <c r="O8" s="394"/>
    </row>
    <row r="9" spans="1:15">
      <c r="A9" s="1036" t="str">
        <f>报表格式!Q8</f>
        <v xml:space="preserve">     向中央银行借款净增加额</v>
      </c>
      <c r="B9" s="393">
        <f t="shared" si="1"/>
        <v>0</v>
      </c>
      <c r="C9" s="393"/>
      <c r="D9" s="393"/>
      <c r="E9" s="393"/>
      <c r="F9" s="393"/>
      <c r="G9" s="393"/>
      <c r="H9" s="393"/>
      <c r="I9" s="393"/>
      <c r="J9" s="393"/>
      <c r="K9" s="393"/>
      <c r="L9" s="393"/>
      <c r="M9" s="393"/>
      <c r="N9" s="393"/>
      <c r="O9" s="394"/>
    </row>
    <row r="10" spans="1:15">
      <c r="A10" s="1036" t="str">
        <f>报表格式!Q9</f>
        <v xml:space="preserve">     向其他金融机构拆入资金净增加额</v>
      </c>
      <c r="B10" s="393">
        <f t="shared" si="1"/>
        <v>0</v>
      </c>
      <c r="C10" s="393"/>
      <c r="D10" s="393"/>
      <c r="E10" s="393"/>
      <c r="F10" s="393"/>
      <c r="G10" s="393"/>
      <c r="H10" s="393"/>
      <c r="I10" s="393"/>
      <c r="J10" s="393"/>
      <c r="K10" s="393"/>
      <c r="L10" s="393"/>
      <c r="M10" s="393"/>
      <c r="N10" s="393"/>
      <c r="O10" s="394"/>
    </row>
    <row r="11" spans="1:15">
      <c r="A11" s="1036" t="str">
        <f>报表格式!Q10</f>
        <v xml:space="preserve">     收到原保险合同保费取得的现金</v>
      </c>
      <c r="B11" s="393">
        <f t="shared" si="1"/>
        <v>0</v>
      </c>
      <c r="C11" s="393"/>
      <c r="D11" s="393"/>
      <c r="E11" s="393"/>
      <c r="F11" s="393"/>
      <c r="G11" s="393"/>
      <c r="H11" s="393"/>
      <c r="I11" s="393"/>
      <c r="J11" s="393"/>
      <c r="K11" s="393"/>
      <c r="L11" s="393"/>
      <c r="M11" s="393"/>
      <c r="N11" s="393"/>
      <c r="O11" s="394"/>
    </row>
    <row r="12" spans="1:15">
      <c r="A12" s="1036" t="str">
        <f>报表格式!Q11</f>
        <v xml:space="preserve">     收到再保险业务现金净额</v>
      </c>
      <c r="B12" s="393">
        <f t="shared" si="1"/>
        <v>0</v>
      </c>
      <c r="C12" s="393"/>
      <c r="D12" s="393"/>
      <c r="E12" s="393"/>
      <c r="F12" s="393"/>
      <c r="G12" s="393"/>
      <c r="H12" s="393"/>
      <c r="I12" s="393"/>
      <c r="J12" s="393"/>
      <c r="K12" s="393"/>
      <c r="L12" s="393"/>
      <c r="M12" s="393"/>
      <c r="N12" s="393"/>
      <c r="O12" s="394"/>
    </row>
    <row r="13" spans="1:15">
      <c r="A13" s="1036" t="str">
        <f>报表格式!Q12</f>
        <v xml:space="preserve">     保户储金及投资款净增加额</v>
      </c>
      <c r="B13" s="393">
        <f t="shared" si="1"/>
        <v>0</v>
      </c>
      <c r="C13" s="393"/>
      <c r="D13" s="393"/>
      <c r="E13" s="393"/>
      <c r="F13" s="393"/>
      <c r="G13" s="393"/>
      <c r="H13" s="393"/>
      <c r="I13" s="393"/>
      <c r="J13" s="393"/>
      <c r="K13" s="393"/>
      <c r="L13" s="393"/>
      <c r="M13" s="393"/>
      <c r="N13" s="393"/>
      <c r="O13" s="394"/>
    </row>
    <row r="14" spans="1:15">
      <c r="A14" s="1036" t="str">
        <f>报表格式!Q13</f>
        <v xml:space="preserve">     收取利息、手续费及佣金的现金</v>
      </c>
      <c r="B14" s="393">
        <f t="shared" si="1"/>
        <v>0</v>
      </c>
      <c r="C14" s="393"/>
      <c r="D14" s="393"/>
      <c r="E14" s="393"/>
      <c r="F14" s="393"/>
      <c r="G14" s="393"/>
      <c r="H14" s="393"/>
      <c r="I14" s="393"/>
      <c r="J14" s="393"/>
      <c r="K14" s="393"/>
      <c r="L14" s="393"/>
      <c r="M14" s="393"/>
      <c r="N14" s="393"/>
      <c r="O14" s="394"/>
    </row>
    <row r="15" spans="1:15">
      <c r="A15" s="1036" t="str">
        <f>报表格式!Q14</f>
        <v xml:space="preserve">     拆入资金净增加额</v>
      </c>
      <c r="B15" s="393">
        <f t="shared" si="1"/>
        <v>0</v>
      </c>
      <c r="C15" s="393"/>
      <c r="D15" s="393"/>
      <c r="E15" s="393"/>
      <c r="F15" s="393"/>
      <c r="G15" s="393"/>
      <c r="H15" s="393"/>
      <c r="I15" s="393"/>
      <c r="J15" s="393"/>
      <c r="K15" s="393"/>
      <c r="L15" s="393"/>
      <c r="M15" s="393"/>
      <c r="N15" s="393"/>
      <c r="O15" s="394"/>
    </row>
    <row r="16" spans="1:15">
      <c r="A16" s="1036" t="str">
        <f>报表格式!Q15</f>
        <v xml:space="preserve">     回购业务资金净增加额</v>
      </c>
      <c r="B16" s="393">
        <f t="shared" si="1"/>
        <v>0</v>
      </c>
      <c r="C16" s="393"/>
      <c r="D16" s="393"/>
      <c r="E16" s="393"/>
      <c r="F16" s="393"/>
      <c r="G16" s="393"/>
      <c r="H16" s="393"/>
      <c r="I16" s="393"/>
      <c r="J16" s="393"/>
      <c r="K16" s="393"/>
      <c r="L16" s="393"/>
      <c r="M16" s="393"/>
      <c r="N16" s="393"/>
      <c r="O16" s="394"/>
    </row>
    <row r="17" spans="1:15">
      <c r="A17" s="1036" t="str">
        <f>报表格式!Q16</f>
        <v xml:space="preserve">     收到的税费返还</v>
      </c>
      <c r="B17" s="393">
        <f t="shared" si="1"/>
        <v>0</v>
      </c>
      <c r="C17" s="393"/>
      <c r="D17" s="393"/>
      <c r="E17" s="393"/>
      <c r="F17" s="393"/>
      <c r="G17" s="393"/>
      <c r="H17" s="393"/>
      <c r="I17" s="393"/>
      <c r="J17" s="393"/>
      <c r="K17" s="393"/>
      <c r="L17" s="393"/>
      <c r="M17" s="393"/>
      <c r="N17" s="393"/>
      <c r="O17" s="394"/>
    </row>
    <row r="18" spans="1:15">
      <c r="A18" s="1036" t="str">
        <f>报表格式!Q17</f>
        <v xml:space="preserve">     收到的其他与经营活动有关的现金</v>
      </c>
      <c r="B18" s="393">
        <f t="shared" si="0"/>
        <v>0</v>
      </c>
      <c r="C18" s="393"/>
      <c r="D18" s="393"/>
      <c r="E18" s="393"/>
      <c r="F18" s="393"/>
      <c r="G18" s="393"/>
      <c r="H18" s="393"/>
      <c r="I18" s="393"/>
      <c r="J18" s="393"/>
      <c r="K18" s="393"/>
      <c r="L18" s="393"/>
      <c r="M18" s="393"/>
      <c r="N18" s="393"/>
      <c r="O18" s="394"/>
    </row>
    <row r="19" spans="1:15">
      <c r="A19" s="1036">
        <f>报表格式!Q18</f>
        <v>0</v>
      </c>
      <c r="B19" s="393">
        <f t="shared" si="0"/>
        <v>0</v>
      </c>
      <c r="C19" s="393"/>
      <c r="D19" s="393"/>
      <c r="E19" s="393"/>
      <c r="F19" s="393"/>
      <c r="G19" s="393"/>
      <c r="H19" s="393"/>
      <c r="I19" s="393"/>
      <c r="J19" s="393"/>
      <c r="K19" s="393"/>
      <c r="L19" s="393"/>
      <c r="M19" s="393"/>
      <c r="N19" s="393"/>
      <c r="O19" s="394"/>
    </row>
    <row r="20" spans="1:15" s="389" customFormat="1">
      <c r="A20" s="1025" t="str">
        <f>报表格式!Q20</f>
        <v xml:space="preserve">     经营活动现金流入小计</v>
      </c>
      <c r="B20" s="399">
        <f t="shared" si="0"/>
        <v>0</v>
      </c>
      <c r="C20" s="399">
        <f>SUM(C7:C19)</f>
        <v>0</v>
      </c>
      <c r="D20" s="399">
        <f t="shared" ref="D20:O20" si="2">SUM(D7:D19)</f>
        <v>0</v>
      </c>
      <c r="E20" s="399">
        <f t="shared" si="2"/>
        <v>0</v>
      </c>
      <c r="F20" s="399">
        <f t="shared" si="2"/>
        <v>0</v>
      </c>
      <c r="G20" s="399">
        <f t="shared" si="2"/>
        <v>0</v>
      </c>
      <c r="H20" s="399">
        <f t="shared" si="2"/>
        <v>0</v>
      </c>
      <c r="I20" s="399">
        <f t="shared" si="2"/>
        <v>0</v>
      </c>
      <c r="J20" s="399">
        <f t="shared" si="2"/>
        <v>0</v>
      </c>
      <c r="K20" s="399">
        <f t="shared" si="2"/>
        <v>0</v>
      </c>
      <c r="L20" s="399">
        <f t="shared" si="2"/>
        <v>0</v>
      </c>
      <c r="M20" s="399">
        <f t="shared" si="2"/>
        <v>0</v>
      </c>
      <c r="N20" s="399">
        <f t="shared" si="2"/>
        <v>0</v>
      </c>
      <c r="O20" s="400">
        <f t="shared" si="2"/>
        <v>0</v>
      </c>
    </row>
    <row r="21" spans="1:15">
      <c r="A21" s="1036" t="str">
        <f>报表格式!Q21</f>
        <v xml:space="preserve">     购买商品、接受劳务支付的现金</v>
      </c>
      <c r="B21" s="393">
        <f t="shared" si="0"/>
        <v>0</v>
      </c>
      <c r="C21" s="393"/>
      <c r="D21" s="393"/>
      <c r="E21" s="393"/>
      <c r="F21" s="393"/>
      <c r="G21" s="393"/>
      <c r="H21" s="393"/>
      <c r="I21" s="393"/>
      <c r="J21" s="393"/>
      <c r="K21" s="393"/>
      <c r="L21" s="393"/>
      <c r="M21" s="393"/>
      <c r="N21" s="393"/>
      <c r="O21" s="394"/>
    </row>
    <row r="22" spans="1:15">
      <c r="A22" s="1036" t="str">
        <f>报表格式!Q22</f>
        <v xml:space="preserve">     客户贷款及垫款净增加额</v>
      </c>
      <c r="B22" s="393">
        <f t="shared" ref="B22:B26" si="3">SUM(C22:O22)</f>
        <v>0</v>
      </c>
      <c r="C22" s="393"/>
      <c r="D22" s="393"/>
      <c r="E22" s="393"/>
      <c r="F22" s="393"/>
      <c r="G22" s="393"/>
      <c r="H22" s="393"/>
      <c r="I22" s="393"/>
      <c r="J22" s="393"/>
      <c r="K22" s="393"/>
      <c r="L22" s="393"/>
      <c r="M22" s="393"/>
      <c r="N22" s="393"/>
      <c r="O22" s="394"/>
    </row>
    <row r="23" spans="1:15">
      <c r="A23" s="1036" t="str">
        <f>报表格式!Q23</f>
        <v xml:space="preserve">     存放中央银行和同业款项净增加额</v>
      </c>
      <c r="B23" s="393">
        <f t="shared" si="3"/>
        <v>0</v>
      </c>
      <c r="C23" s="393"/>
      <c r="D23" s="393"/>
      <c r="E23" s="393"/>
      <c r="F23" s="393"/>
      <c r="G23" s="393"/>
      <c r="H23" s="393"/>
      <c r="I23" s="393"/>
      <c r="J23" s="393"/>
      <c r="K23" s="393"/>
      <c r="L23" s="393"/>
      <c r="M23" s="393"/>
      <c r="N23" s="393"/>
      <c r="O23" s="394"/>
    </row>
    <row r="24" spans="1:15">
      <c r="A24" s="1036" t="str">
        <f>报表格式!Q24</f>
        <v xml:space="preserve">     支付原保险合同赔付款项的现金</v>
      </c>
      <c r="B24" s="393">
        <f t="shared" si="3"/>
        <v>0</v>
      </c>
      <c r="C24" s="393"/>
      <c r="D24" s="393"/>
      <c r="E24" s="393"/>
      <c r="F24" s="393"/>
      <c r="G24" s="393"/>
      <c r="H24" s="393"/>
      <c r="I24" s="393"/>
      <c r="J24" s="393"/>
      <c r="K24" s="393"/>
      <c r="L24" s="393"/>
      <c r="M24" s="393"/>
      <c r="N24" s="393"/>
      <c r="O24" s="394"/>
    </row>
    <row r="25" spans="1:15">
      <c r="A25" s="1036" t="str">
        <f>报表格式!Q25</f>
        <v xml:space="preserve">     支付利息、手续费及佣金的现金</v>
      </c>
      <c r="B25" s="393">
        <f t="shared" si="3"/>
        <v>0</v>
      </c>
      <c r="C25" s="393"/>
      <c r="D25" s="393"/>
      <c r="E25" s="393"/>
      <c r="F25" s="393"/>
      <c r="G25" s="393"/>
      <c r="H25" s="393"/>
      <c r="I25" s="393"/>
      <c r="J25" s="393"/>
      <c r="K25" s="393"/>
      <c r="L25" s="393"/>
      <c r="M25" s="393"/>
      <c r="N25" s="393"/>
      <c r="O25" s="394"/>
    </row>
    <row r="26" spans="1:15">
      <c r="A26" s="1036" t="str">
        <f>报表格式!Q26</f>
        <v xml:space="preserve">     支付保单红利的现金</v>
      </c>
      <c r="B26" s="393">
        <f t="shared" si="3"/>
        <v>0</v>
      </c>
      <c r="C26" s="393"/>
      <c r="D26" s="393"/>
      <c r="E26" s="393"/>
      <c r="F26" s="393"/>
      <c r="G26" s="393"/>
      <c r="H26" s="393"/>
      <c r="I26" s="393"/>
      <c r="J26" s="393"/>
      <c r="K26" s="393"/>
      <c r="L26" s="393"/>
      <c r="M26" s="393"/>
      <c r="N26" s="393"/>
      <c r="O26" s="394"/>
    </row>
    <row r="27" spans="1:15">
      <c r="A27" s="1036" t="str">
        <f>报表格式!Q27</f>
        <v xml:space="preserve">     支付给职工以及为职工支付的现金</v>
      </c>
      <c r="B27" s="393">
        <f t="shared" si="0"/>
        <v>0</v>
      </c>
      <c r="C27" s="393"/>
      <c r="D27" s="393"/>
      <c r="E27" s="393"/>
      <c r="F27" s="393"/>
      <c r="G27" s="393"/>
      <c r="H27" s="393"/>
      <c r="I27" s="393"/>
      <c r="J27" s="393"/>
      <c r="K27" s="393"/>
      <c r="L27" s="393"/>
      <c r="M27" s="393"/>
      <c r="N27" s="393"/>
      <c r="O27" s="394"/>
    </row>
    <row r="28" spans="1:15">
      <c r="A28" s="1036" t="str">
        <f>报表格式!Q28</f>
        <v xml:space="preserve">     支付各项税费</v>
      </c>
      <c r="B28" s="393">
        <f t="shared" si="0"/>
        <v>0</v>
      </c>
      <c r="C28" s="393"/>
      <c r="D28" s="393"/>
      <c r="E28" s="393"/>
      <c r="F28" s="393"/>
      <c r="G28" s="393"/>
      <c r="H28" s="393"/>
      <c r="I28" s="393"/>
      <c r="J28" s="393"/>
      <c r="K28" s="393"/>
      <c r="L28" s="393"/>
      <c r="M28" s="393"/>
      <c r="N28" s="393"/>
      <c r="O28" s="394"/>
    </row>
    <row r="29" spans="1:15">
      <c r="A29" s="1036" t="str">
        <f>报表格式!Q29</f>
        <v xml:space="preserve">     支付的其他与经营活动有关的现金</v>
      </c>
      <c r="B29" s="393">
        <f t="shared" si="0"/>
        <v>0</v>
      </c>
      <c r="C29" s="393"/>
      <c r="D29" s="393"/>
      <c r="E29" s="393"/>
      <c r="F29" s="393"/>
      <c r="G29" s="393"/>
      <c r="H29" s="393"/>
      <c r="I29" s="393"/>
      <c r="J29" s="393"/>
      <c r="K29" s="393"/>
      <c r="L29" s="393"/>
      <c r="M29" s="393"/>
      <c r="N29" s="393"/>
      <c r="O29" s="394"/>
    </row>
    <row r="30" spans="1:15" s="389" customFormat="1">
      <c r="A30" s="1025" t="str">
        <f>报表格式!Q31</f>
        <v xml:space="preserve">     经营活动现金流出小计</v>
      </c>
      <c r="B30" s="399">
        <f t="shared" si="0"/>
        <v>0</v>
      </c>
      <c r="C30" s="399">
        <f t="shared" ref="C30:O30" si="4">SUM(C21:C29)</f>
        <v>0</v>
      </c>
      <c r="D30" s="399">
        <f t="shared" si="4"/>
        <v>0</v>
      </c>
      <c r="E30" s="399">
        <f t="shared" si="4"/>
        <v>0</v>
      </c>
      <c r="F30" s="399">
        <f t="shared" si="4"/>
        <v>0</v>
      </c>
      <c r="G30" s="399">
        <f t="shared" si="4"/>
        <v>0</v>
      </c>
      <c r="H30" s="399">
        <f t="shared" si="4"/>
        <v>0</v>
      </c>
      <c r="I30" s="399">
        <f t="shared" si="4"/>
        <v>0</v>
      </c>
      <c r="J30" s="399">
        <f t="shared" si="4"/>
        <v>0</v>
      </c>
      <c r="K30" s="399">
        <f t="shared" si="4"/>
        <v>0</v>
      </c>
      <c r="L30" s="399">
        <f t="shared" si="4"/>
        <v>0</v>
      </c>
      <c r="M30" s="399">
        <f t="shared" si="4"/>
        <v>0</v>
      </c>
      <c r="N30" s="399">
        <f t="shared" si="4"/>
        <v>0</v>
      </c>
      <c r="O30" s="400">
        <f t="shared" si="4"/>
        <v>0</v>
      </c>
    </row>
    <row r="31" spans="1:15" s="389" customFormat="1">
      <c r="A31" s="1025" t="str">
        <f>报表格式!Q32</f>
        <v xml:space="preserve">     经营活动产生的现金流量净额</v>
      </c>
      <c r="B31" s="399">
        <f t="shared" si="0"/>
        <v>0</v>
      </c>
      <c r="C31" s="399">
        <f>C20-C30</f>
        <v>0</v>
      </c>
      <c r="D31" s="399">
        <f t="shared" ref="D31:O31" si="5">D20-D30</f>
        <v>0</v>
      </c>
      <c r="E31" s="399">
        <f t="shared" si="5"/>
        <v>0</v>
      </c>
      <c r="F31" s="399">
        <f t="shared" si="5"/>
        <v>0</v>
      </c>
      <c r="G31" s="399">
        <f t="shared" si="5"/>
        <v>0</v>
      </c>
      <c r="H31" s="399">
        <f t="shared" si="5"/>
        <v>0</v>
      </c>
      <c r="I31" s="399">
        <f t="shared" si="5"/>
        <v>0</v>
      </c>
      <c r="J31" s="399">
        <f t="shared" si="5"/>
        <v>0</v>
      </c>
      <c r="K31" s="399">
        <f t="shared" si="5"/>
        <v>0</v>
      </c>
      <c r="L31" s="399">
        <f t="shared" si="5"/>
        <v>0</v>
      </c>
      <c r="M31" s="399">
        <f t="shared" si="5"/>
        <v>0</v>
      </c>
      <c r="N31" s="399">
        <f t="shared" si="5"/>
        <v>0</v>
      </c>
      <c r="O31" s="400">
        <f t="shared" si="5"/>
        <v>0</v>
      </c>
    </row>
    <row r="32" spans="1:15">
      <c r="A32" s="1037" t="str">
        <f>报表格式!Q33</f>
        <v>二、投资活动产生的现金流量</v>
      </c>
      <c r="B32" s="393"/>
      <c r="C32" s="393"/>
      <c r="D32" s="393"/>
      <c r="E32" s="393"/>
      <c r="F32" s="393"/>
      <c r="G32" s="393"/>
      <c r="H32" s="393"/>
      <c r="I32" s="393"/>
      <c r="J32" s="393"/>
      <c r="K32" s="393"/>
      <c r="L32" s="393"/>
      <c r="M32" s="393"/>
      <c r="N32" s="393"/>
      <c r="O32" s="394"/>
    </row>
    <row r="33" spans="1:15">
      <c r="A33" s="1036" t="str">
        <f>报表格式!Q34</f>
        <v xml:space="preserve">     收回投资所收到的现金</v>
      </c>
      <c r="B33" s="393">
        <f t="shared" si="0"/>
        <v>0</v>
      </c>
      <c r="C33" s="393"/>
      <c r="D33" s="393"/>
      <c r="E33" s="393"/>
      <c r="F33" s="393"/>
      <c r="G33" s="393"/>
      <c r="H33" s="393"/>
      <c r="I33" s="393"/>
      <c r="J33" s="393"/>
      <c r="K33" s="393"/>
      <c r="L33" s="393"/>
      <c r="M33" s="393"/>
      <c r="N33" s="393"/>
      <c r="O33" s="394"/>
    </row>
    <row r="34" spans="1:15">
      <c r="A34" s="1036" t="str">
        <f>报表格式!Q35</f>
        <v xml:space="preserve">     取得投资收益所收到的现金</v>
      </c>
      <c r="B34" s="393">
        <f t="shared" si="0"/>
        <v>0</v>
      </c>
      <c r="C34" s="393"/>
      <c r="D34" s="393"/>
      <c r="E34" s="393"/>
      <c r="F34" s="393"/>
      <c r="G34" s="393"/>
      <c r="H34" s="393"/>
      <c r="I34" s="393"/>
      <c r="J34" s="393"/>
      <c r="K34" s="393"/>
      <c r="L34" s="393"/>
      <c r="M34" s="393"/>
      <c r="N34" s="393"/>
      <c r="O34" s="394"/>
    </row>
    <row r="35" spans="1:15">
      <c r="A35" s="1036" t="str">
        <f>报表格式!Q36</f>
        <v xml:space="preserve">     处置固定资产、无形资产和其他长期资产而收到的现金净额</v>
      </c>
      <c r="B35" s="393">
        <f t="shared" si="0"/>
        <v>0</v>
      </c>
      <c r="C35" s="393"/>
      <c r="D35" s="393"/>
      <c r="E35" s="393"/>
      <c r="F35" s="393"/>
      <c r="G35" s="393"/>
      <c r="H35" s="393"/>
      <c r="I35" s="393"/>
      <c r="J35" s="393"/>
      <c r="K35" s="393"/>
      <c r="L35" s="393"/>
      <c r="M35" s="393"/>
      <c r="N35" s="393"/>
      <c r="O35" s="394"/>
    </row>
    <row r="36" spans="1:15">
      <c r="A36" s="1036" t="str">
        <f>报表格式!Q37</f>
        <v xml:space="preserve">     处置子公司及其他营业单位收到的现金净额</v>
      </c>
      <c r="B36" s="393">
        <f t="shared" si="0"/>
        <v>0</v>
      </c>
      <c r="C36" s="393"/>
      <c r="D36" s="393"/>
      <c r="E36" s="393"/>
      <c r="F36" s="393"/>
      <c r="G36" s="393"/>
      <c r="H36" s="393"/>
      <c r="I36" s="393"/>
      <c r="J36" s="393"/>
      <c r="K36" s="393"/>
      <c r="L36" s="393"/>
      <c r="M36" s="393"/>
      <c r="N36" s="393"/>
      <c r="O36" s="394"/>
    </row>
    <row r="37" spans="1:15">
      <c r="A37" s="1036" t="str">
        <f>报表格式!Q38</f>
        <v xml:space="preserve">     收到其他与投资活动有关的现金</v>
      </c>
      <c r="B37" s="393">
        <f t="shared" si="0"/>
        <v>0</v>
      </c>
      <c r="C37" s="393"/>
      <c r="D37" s="393"/>
      <c r="E37" s="393"/>
      <c r="F37" s="393"/>
      <c r="G37" s="393"/>
      <c r="H37" s="393"/>
      <c r="I37" s="393"/>
      <c r="J37" s="393"/>
      <c r="K37" s="393"/>
      <c r="L37" s="393"/>
      <c r="M37" s="393"/>
      <c r="N37" s="393"/>
      <c r="O37" s="394"/>
    </row>
    <row r="38" spans="1:15" s="389" customFormat="1">
      <c r="A38" s="1025" t="str">
        <f>报表格式!Q40</f>
        <v xml:space="preserve">     投资活动现金流入小计</v>
      </c>
      <c r="B38" s="399">
        <f t="shared" ref="B38:O38" si="6">SUM(B33:B37)</f>
        <v>0</v>
      </c>
      <c r="C38" s="399">
        <f t="shared" si="6"/>
        <v>0</v>
      </c>
      <c r="D38" s="399">
        <f t="shared" si="6"/>
        <v>0</v>
      </c>
      <c r="E38" s="399">
        <f t="shared" si="6"/>
        <v>0</v>
      </c>
      <c r="F38" s="399">
        <f t="shared" si="6"/>
        <v>0</v>
      </c>
      <c r="G38" s="399">
        <f t="shared" si="6"/>
        <v>0</v>
      </c>
      <c r="H38" s="399">
        <f t="shared" si="6"/>
        <v>0</v>
      </c>
      <c r="I38" s="399">
        <f t="shared" si="6"/>
        <v>0</v>
      </c>
      <c r="J38" s="399">
        <f t="shared" si="6"/>
        <v>0</v>
      </c>
      <c r="K38" s="399">
        <f t="shared" si="6"/>
        <v>0</v>
      </c>
      <c r="L38" s="399">
        <f t="shared" si="6"/>
        <v>0</v>
      </c>
      <c r="M38" s="399">
        <f t="shared" si="6"/>
        <v>0</v>
      </c>
      <c r="N38" s="399">
        <f t="shared" si="6"/>
        <v>0</v>
      </c>
      <c r="O38" s="400">
        <f t="shared" si="6"/>
        <v>0</v>
      </c>
    </row>
    <row r="39" spans="1:15" s="389" customFormat="1">
      <c r="A39" s="1036" t="str">
        <f>报表格式!Q41</f>
        <v xml:space="preserve">     购置固定资产、无形资产和其他长期资产所支付现金 </v>
      </c>
      <c r="B39" s="393">
        <f t="shared" si="0"/>
        <v>0</v>
      </c>
      <c r="C39" s="393"/>
      <c r="D39" s="393"/>
      <c r="E39" s="393"/>
      <c r="F39" s="393"/>
      <c r="G39" s="393"/>
      <c r="H39" s="393"/>
      <c r="I39" s="393"/>
      <c r="J39" s="393"/>
      <c r="K39" s="393"/>
      <c r="L39" s="393"/>
      <c r="M39" s="393"/>
      <c r="N39" s="393"/>
      <c r="O39" s="394"/>
    </row>
    <row r="40" spans="1:15">
      <c r="A40" s="1036" t="str">
        <f>报表格式!Q42</f>
        <v xml:space="preserve">     投资所支付的现金</v>
      </c>
      <c r="B40" s="393">
        <f t="shared" si="0"/>
        <v>0</v>
      </c>
      <c r="C40" s="393"/>
      <c r="D40" s="393"/>
      <c r="E40" s="393"/>
      <c r="F40" s="393"/>
      <c r="G40" s="393"/>
      <c r="H40" s="393"/>
      <c r="I40" s="393"/>
      <c r="J40" s="393"/>
      <c r="K40" s="393"/>
      <c r="L40" s="393"/>
      <c r="M40" s="393"/>
      <c r="N40" s="393"/>
      <c r="O40" s="394"/>
    </row>
    <row r="41" spans="1:15">
      <c r="A41" s="1036" t="str">
        <f>报表格式!Q43</f>
        <v xml:space="preserve">     质押贷款净增加额</v>
      </c>
      <c r="B41" s="393">
        <f t="shared" ref="B41" si="7">SUM(C41:O41)</f>
        <v>0</v>
      </c>
      <c r="C41" s="393"/>
      <c r="D41" s="393"/>
      <c r="E41" s="393"/>
      <c r="F41" s="393"/>
      <c r="G41" s="393"/>
      <c r="H41" s="393"/>
      <c r="I41" s="393"/>
      <c r="J41" s="393"/>
      <c r="K41" s="393"/>
      <c r="L41" s="393"/>
      <c r="M41" s="393"/>
      <c r="N41" s="393"/>
      <c r="O41" s="394"/>
    </row>
    <row r="42" spans="1:15">
      <c r="A42" s="1036" t="str">
        <f>报表格式!Q44</f>
        <v xml:space="preserve">     取得子公司及其他营业单位支付的现金净额</v>
      </c>
      <c r="B42" s="393">
        <f t="shared" si="0"/>
        <v>0</v>
      </c>
      <c r="C42" s="393"/>
      <c r="D42" s="393"/>
      <c r="E42" s="393"/>
      <c r="F42" s="393"/>
      <c r="G42" s="393"/>
      <c r="H42" s="393"/>
      <c r="I42" s="393"/>
      <c r="J42" s="393"/>
      <c r="K42" s="393"/>
      <c r="L42" s="393"/>
      <c r="M42" s="393"/>
      <c r="N42" s="393"/>
      <c r="O42" s="394"/>
    </row>
    <row r="43" spans="1:15" s="389" customFormat="1">
      <c r="A43" s="1036" t="str">
        <f>报表格式!Q45</f>
        <v xml:space="preserve">     支付其他与投资活动有关的现金</v>
      </c>
      <c r="B43" s="393">
        <f t="shared" si="0"/>
        <v>0</v>
      </c>
      <c r="C43" s="393"/>
      <c r="D43" s="393"/>
      <c r="E43" s="393"/>
      <c r="F43" s="393"/>
      <c r="G43" s="393"/>
      <c r="H43" s="393"/>
      <c r="I43" s="393"/>
      <c r="J43" s="393"/>
      <c r="K43" s="393"/>
      <c r="L43" s="393"/>
      <c r="M43" s="393"/>
      <c r="N43" s="393"/>
      <c r="O43" s="394"/>
    </row>
    <row r="44" spans="1:15" s="389" customFormat="1">
      <c r="A44" s="1025" t="str">
        <f>报表格式!Q47</f>
        <v xml:space="preserve">      投资活动现金流出小计</v>
      </c>
      <c r="B44" s="399">
        <f t="shared" si="0"/>
        <v>0</v>
      </c>
      <c r="C44" s="399">
        <f t="shared" ref="C44:O44" si="8">SUM(C39:C43)</f>
        <v>0</v>
      </c>
      <c r="D44" s="399">
        <f t="shared" si="8"/>
        <v>0</v>
      </c>
      <c r="E44" s="399">
        <f t="shared" si="8"/>
        <v>0</v>
      </c>
      <c r="F44" s="399">
        <f t="shared" si="8"/>
        <v>0</v>
      </c>
      <c r="G44" s="399">
        <f t="shared" si="8"/>
        <v>0</v>
      </c>
      <c r="H44" s="399">
        <f t="shared" si="8"/>
        <v>0</v>
      </c>
      <c r="I44" s="399">
        <f t="shared" si="8"/>
        <v>0</v>
      </c>
      <c r="J44" s="399">
        <f t="shared" si="8"/>
        <v>0</v>
      </c>
      <c r="K44" s="399">
        <f t="shared" si="8"/>
        <v>0</v>
      </c>
      <c r="L44" s="399">
        <f t="shared" si="8"/>
        <v>0</v>
      </c>
      <c r="M44" s="399">
        <f t="shared" si="8"/>
        <v>0</v>
      </c>
      <c r="N44" s="399">
        <f t="shared" si="8"/>
        <v>0</v>
      </c>
      <c r="O44" s="400">
        <f t="shared" si="8"/>
        <v>0</v>
      </c>
    </row>
    <row r="45" spans="1:15" s="389" customFormat="1">
      <c r="A45" s="1025" t="str">
        <f>报表格式!Q48</f>
        <v xml:space="preserve">     投资活动产生的现金流量净额</v>
      </c>
      <c r="B45" s="399">
        <f t="shared" si="0"/>
        <v>0</v>
      </c>
      <c r="C45" s="399">
        <f>C38-C44</f>
        <v>0</v>
      </c>
      <c r="D45" s="399">
        <f t="shared" ref="D45:O45" si="9">D38-D44</f>
        <v>0</v>
      </c>
      <c r="E45" s="399">
        <f t="shared" si="9"/>
        <v>0</v>
      </c>
      <c r="F45" s="399">
        <f t="shared" si="9"/>
        <v>0</v>
      </c>
      <c r="G45" s="399">
        <f t="shared" si="9"/>
        <v>0</v>
      </c>
      <c r="H45" s="399">
        <f t="shared" si="9"/>
        <v>0</v>
      </c>
      <c r="I45" s="399">
        <f t="shared" si="9"/>
        <v>0</v>
      </c>
      <c r="J45" s="399">
        <f t="shared" si="9"/>
        <v>0</v>
      </c>
      <c r="K45" s="399">
        <f t="shared" si="9"/>
        <v>0</v>
      </c>
      <c r="L45" s="399">
        <f t="shared" si="9"/>
        <v>0</v>
      </c>
      <c r="M45" s="399">
        <f t="shared" si="9"/>
        <v>0</v>
      </c>
      <c r="N45" s="399">
        <f t="shared" si="9"/>
        <v>0</v>
      </c>
      <c r="O45" s="400">
        <f t="shared" si="9"/>
        <v>0</v>
      </c>
    </row>
    <row r="46" spans="1:15" s="389" customFormat="1">
      <c r="A46" s="1037" t="str">
        <f>报表格式!Q49</f>
        <v>三、筹资活动产生的现金流量</v>
      </c>
      <c r="B46" s="393"/>
      <c r="C46" s="393"/>
      <c r="D46" s="393"/>
      <c r="E46" s="393"/>
      <c r="F46" s="393"/>
      <c r="G46" s="393"/>
      <c r="H46" s="393"/>
      <c r="I46" s="393"/>
      <c r="J46" s="393"/>
      <c r="K46" s="393"/>
      <c r="L46" s="393"/>
      <c r="M46" s="393"/>
      <c r="N46" s="393"/>
      <c r="O46" s="394"/>
    </row>
    <row r="47" spans="1:15">
      <c r="A47" s="1036" t="str">
        <f>报表格式!Q50</f>
        <v xml:space="preserve">     吸收投资所收到的现金</v>
      </c>
      <c r="B47" s="393">
        <f t="shared" si="0"/>
        <v>0</v>
      </c>
      <c r="C47" s="393"/>
      <c r="D47" s="393"/>
      <c r="E47" s="393"/>
      <c r="F47" s="393"/>
      <c r="G47" s="393"/>
      <c r="H47" s="393"/>
      <c r="I47" s="393"/>
      <c r="J47" s="393"/>
      <c r="K47" s="393"/>
      <c r="L47" s="393"/>
      <c r="M47" s="393"/>
      <c r="N47" s="393"/>
      <c r="O47" s="394"/>
    </row>
    <row r="48" spans="1:15">
      <c r="A48" s="1029" t="str">
        <f>报表格式!Q51</f>
        <v xml:space="preserve">     其中：子公司吸收少数股东投资收到的现金</v>
      </c>
      <c r="B48" s="393">
        <f t="shared" si="0"/>
        <v>0</v>
      </c>
      <c r="C48" s="393"/>
      <c r="D48" s="393"/>
      <c r="E48" s="393"/>
      <c r="F48" s="393"/>
      <c r="G48" s="393"/>
      <c r="H48" s="393"/>
      <c r="I48" s="393"/>
      <c r="J48" s="393"/>
      <c r="K48" s="393"/>
      <c r="L48" s="393"/>
      <c r="M48" s="393"/>
      <c r="N48" s="393"/>
      <c r="O48" s="394"/>
    </row>
    <row r="49" spans="1:15">
      <c r="A49" s="1036" t="str">
        <f>报表格式!Q52</f>
        <v xml:space="preserve">     取得借款收到的现金</v>
      </c>
      <c r="B49" s="393">
        <f t="shared" si="0"/>
        <v>0</v>
      </c>
      <c r="C49" s="393"/>
      <c r="D49" s="393"/>
      <c r="E49" s="393"/>
      <c r="F49" s="393"/>
      <c r="G49" s="393"/>
      <c r="H49" s="393"/>
      <c r="I49" s="393"/>
      <c r="J49" s="393"/>
      <c r="K49" s="393"/>
      <c r="L49" s="393"/>
      <c r="M49" s="393"/>
      <c r="N49" s="393"/>
      <c r="O49" s="394"/>
    </row>
    <row r="50" spans="1:15">
      <c r="A50" s="1036" t="str">
        <f>报表格式!Q53</f>
        <v xml:space="preserve">     收到的其他与筹资活动有关的现金</v>
      </c>
      <c r="B50" s="393">
        <f>SUM(C50:O50)</f>
        <v>0</v>
      </c>
      <c r="C50" s="393"/>
      <c r="D50" s="393"/>
      <c r="E50" s="393"/>
      <c r="F50" s="393"/>
      <c r="G50" s="393"/>
      <c r="H50" s="393"/>
      <c r="I50" s="393"/>
      <c r="J50" s="393"/>
      <c r="K50" s="393"/>
      <c r="L50" s="393"/>
      <c r="M50" s="393"/>
      <c r="N50" s="393"/>
      <c r="O50" s="394"/>
    </row>
    <row r="51" spans="1:15">
      <c r="A51" s="1036">
        <f>报表格式!Q54</f>
        <v>0</v>
      </c>
      <c r="B51" s="393">
        <f t="shared" si="0"/>
        <v>0</v>
      </c>
      <c r="C51" s="393"/>
      <c r="D51" s="393"/>
      <c r="E51" s="393"/>
      <c r="F51" s="393"/>
      <c r="G51" s="393"/>
      <c r="H51" s="393"/>
      <c r="I51" s="393"/>
      <c r="J51" s="393"/>
      <c r="K51" s="393"/>
      <c r="L51" s="393"/>
      <c r="M51" s="393"/>
      <c r="N51" s="393"/>
      <c r="O51" s="394"/>
    </row>
    <row r="52" spans="1:15" s="389" customFormat="1">
      <c r="A52" s="1025" t="str">
        <f>报表格式!Q55</f>
        <v xml:space="preserve">     筹资活动现金流入小计</v>
      </c>
      <c r="B52" s="399">
        <f t="shared" si="0"/>
        <v>0</v>
      </c>
      <c r="C52" s="399">
        <f t="shared" ref="C52:O52" si="10">SUM(C47:C51)-C48</f>
        <v>0</v>
      </c>
      <c r="D52" s="399">
        <f t="shared" si="10"/>
        <v>0</v>
      </c>
      <c r="E52" s="399">
        <f t="shared" si="10"/>
        <v>0</v>
      </c>
      <c r="F52" s="399">
        <f t="shared" si="10"/>
        <v>0</v>
      </c>
      <c r="G52" s="399">
        <f t="shared" si="10"/>
        <v>0</v>
      </c>
      <c r="H52" s="399">
        <f t="shared" si="10"/>
        <v>0</v>
      </c>
      <c r="I52" s="399">
        <f t="shared" si="10"/>
        <v>0</v>
      </c>
      <c r="J52" s="399">
        <f t="shared" si="10"/>
        <v>0</v>
      </c>
      <c r="K52" s="399">
        <f t="shared" si="10"/>
        <v>0</v>
      </c>
      <c r="L52" s="399">
        <f t="shared" si="10"/>
        <v>0</v>
      </c>
      <c r="M52" s="399">
        <f t="shared" si="10"/>
        <v>0</v>
      </c>
      <c r="N52" s="399">
        <f t="shared" si="10"/>
        <v>0</v>
      </c>
      <c r="O52" s="400">
        <f t="shared" si="10"/>
        <v>0</v>
      </c>
    </row>
    <row r="53" spans="1:15">
      <c r="A53" s="1036" t="str">
        <f>报表格式!Q56</f>
        <v xml:space="preserve">     偿还债务支付的现金</v>
      </c>
      <c r="B53" s="393">
        <f t="shared" si="0"/>
        <v>0</v>
      </c>
      <c r="C53" s="393"/>
      <c r="D53" s="393"/>
      <c r="E53" s="393"/>
      <c r="F53" s="393"/>
      <c r="G53" s="393"/>
      <c r="H53" s="393"/>
      <c r="I53" s="393"/>
      <c r="J53" s="393"/>
      <c r="K53" s="393"/>
      <c r="L53" s="393"/>
      <c r="M53" s="393"/>
      <c r="N53" s="393"/>
      <c r="O53" s="394"/>
    </row>
    <row r="54" spans="1:15" s="389" customFormat="1">
      <c r="A54" s="1036" t="str">
        <f>报表格式!Q57</f>
        <v xml:space="preserve">     分配股利、利润或偿付利息支付的现金</v>
      </c>
      <c r="B54" s="393">
        <f t="shared" si="0"/>
        <v>0</v>
      </c>
      <c r="C54" s="393"/>
      <c r="D54" s="393"/>
      <c r="E54" s="393"/>
      <c r="F54" s="393"/>
      <c r="G54" s="393"/>
      <c r="H54" s="393"/>
      <c r="I54" s="393"/>
      <c r="J54" s="393"/>
      <c r="K54" s="393"/>
      <c r="L54" s="393"/>
      <c r="M54" s="393"/>
      <c r="N54" s="393"/>
      <c r="O54" s="394"/>
    </row>
    <row r="55" spans="1:15">
      <c r="A55" s="1029" t="str">
        <f>报表格式!Q58</f>
        <v xml:space="preserve">      其中：子公司支付给少数股东的股利、利润</v>
      </c>
      <c r="B55" s="393">
        <f t="shared" si="0"/>
        <v>0</v>
      </c>
      <c r="C55" s="393"/>
      <c r="D55" s="393"/>
      <c r="E55" s="393"/>
      <c r="F55" s="393"/>
      <c r="G55" s="393"/>
      <c r="H55" s="393"/>
      <c r="I55" s="393"/>
      <c r="J55" s="393"/>
      <c r="K55" s="393"/>
      <c r="L55" s="393"/>
      <c r="M55" s="393"/>
      <c r="N55" s="393"/>
      <c r="O55" s="394"/>
    </row>
    <row r="56" spans="1:15">
      <c r="A56" s="1036" t="str">
        <f>报表格式!Q59</f>
        <v xml:space="preserve">     支付其他与筹资活动有关的现金</v>
      </c>
      <c r="B56" s="393">
        <f t="shared" si="0"/>
        <v>0</v>
      </c>
      <c r="C56" s="393"/>
      <c r="D56" s="393"/>
      <c r="E56" s="393"/>
      <c r="F56" s="393"/>
      <c r="G56" s="393"/>
      <c r="H56" s="393"/>
      <c r="I56" s="393"/>
      <c r="J56" s="393"/>
      <c r="K56" s="393"/>
      <c r="L56" s="393"/>
      <c r="M56" s="393"/>
      <c r="N56" s="393"/>
      <c r="O56" s="394"/>
    </row>
    <row r="57" spans="1:15">
      <c r="A57" s="1029">
        <f>报表格式!Q60</f>
        <v>0</v>
      </c>
      <c r="B57" s="393">
        <f t="shared" si="0"/>
        <v>0</v>
      </c>
      <c r="C57" s="393"/>
      <c r="D57" s="393"/>
      <c r="E57" s="393"/>
      <c r="F57" s="393"/>
      <c r="G57" s="393"/>
      <c r="H57" s="393"/>
      <c r="I57" s="393"/>
      <c r="J57" s="393"/>
      <c r="K57" s="393"/>
      <c r="L57" s="393"/>
      <c r="M57" s="393"/>
      <c r="N57" s="393"/>
      <c r="O57" s="394"/>
    </row>
    <row r="58" spans="1:15" s="389" customFormat="1">
      <c r="A58" s="1025" t="str">
        <f>报表格式!Q61</f>
        <v xml:space="preserve">     筹资活动现金流出小计</v>
      </c>
      <c r="B58" s="399">
        <f t="shared" si="0"/>
        <v>0</v>
      </c>
      <c r="C58" s="399">
        <f t="shared" ref="C58:O58" si="11">SUM(C53:C57)-C55-C57</f>
        <v>0</v>
      </c>
      <c r="D58" s="399">
        <f t="shared" si="11"/>
        <v>0</v>
      </c>
      <c r="E58" s="399">
        <f t="shared" si="11"/>
        <v>0</v>
      </c>
      <c r="F58" s="399">
        <f t="shared" si="11"/>
        <v>0</v>
      </c>
      <c r="G58" s="399">
        <f t="shared" si="11"/>
        <v>0</v>
      </c>
      <c r="H58" s="399">
        <f t="shared" si="11"/>
        <v>0</v>
      </c>
      <c r="I58" s="399">
        <f t="shared" si="11"/>
        <v>0</v>
      </c>
      <c r="J58" s="399">
        <f t="shared" si="11"/>
        <v>0</v>
      </c>
      <c r="K58" s="399">
        <f t="shared" si="11"/>
        <v>0</v>
      </c>
      <c r="L58" s="399">
        <f t="shared" si="11"/>
        <v>0</v>
      </c>
      <c r="M58" s="399">
        <f t="shared" si="11"/>
        <v>0</v>
      </c>
      <c r="N58" s="399">
        <f t="shared" si="11"/>
        <v>0</v>
      </c>
      <c r="O58" s="399">
        <f t="shared" si="11"/>
        <v>0</v>
      </c>
    </row>
    <row r="59" spans="1:15" s="389" customFormat="1">
      <c r="A59" s="1025" t="str">
        <f>报表格式!Q62</f>
        <v xml:space="preserve">     筹资活动产生的现金流量净额</v>
      </c>
      <c r="B59" s="399">
        <f t="shared" si="0"/>
        <v>0</v>
      </c>
      <c r="C59" s="399">
        <f>C52-C58</f>
        <v>0</v>
      </c>
      <c r="D59" s="399">
        <f t="shared" ref="D59:O59" si="12">D52-D58</f>
        <v>0</v>
      </c>
      <c r="E59" s="399">
        <f t="shared" si="12"/>
        <v>0</v>
      </c>
      <c r="F59" s="399">
        <f t="shared" si="12"/>
        <v>0</v>
      </c>
      <c r="G59" s="399">
        <f t="shared" si="12"/>
        <v>0</v>
      </c>
      <c r="H59" s="399">
        <f t="shared" si="12"/>
        <v>0</v>
      </c>
      <c r="I59" s="399">
        <f t="shared" si="12"/>
        <v>0</v>
      </c>
      <c r="J59" s="399">
        <f t="shared" si="12"/>
        <v>0</v>
      </c>
      <c r="K59" s="399">
        <f t="shared" si="12"/>
        <v>0</v>
      </c>
      <c r="L59" s="399">
        <f t="shared" si="12"/>
        <v>0</v>
      </c>
      <c r="M59" s="399">
        <f t="shared" si="12"/>
        <v>0</v>
      </c>
      <c r="N59" s="399">
        <f t="shared" si="12"/>
        <v>0</v>
      </c>
      <c r="O59" s="400">
        <f t="shared" si="12"/>
        <v>0</v>
      </c>
    </row>
    <row r="60" spans="1:15" s="389" customFormat="1">
      <c r="A60" s="1025"/>
      <c r="B60" s="399"/>
      <c r="C60" s="399"/>
      <c r="D60" s="399"/>
      <c r="E60" s="399"/>
      <c r="F60" s="399"/>
      <c r="G60" s="399"/>
      <c r="H60" s="399"/>
      <c r="I60" s="399"/>
      <c r="J60" s="399"/>
      <c r="K60" s="399"/>
      <c r="L60" s="399"/>
      <c r="M60" s="399"/>
      <c r="N60" s="399"/>
      <c r="O60" s="400"/>
    </row>
    <row r="61" spans="1:15" s="389" customFormat="1">
      <c r="A61" s="1030" t="str">
        <f>报表格式!Q63</f>
        <v>四、汇率变动对现金及现金等价物的影响</v>
      </c>
      <c r="B61" s="393">
        <f t="shared" si="0"/>
        <v>0</v>
      </c>
      <c r="C61" s="393"/>
      <c r="D61" s="393"/>
      <c r="E61" s="393"/>
      <c r="F61" s="393"/>
      <c r="G61" s="393"/>
      <c r="H61" s="393"/>
      <c r="I61" s="393"/>
      <c r="J61" s="393"/>
      <c r="K61" s="393"/>
      <c r="L61" s="393"/>
      <c r="M61" s="393"/>
      <c r="N61" s="393"/>
      <c r="O61" s="394"/>
    </row>
    <row r="62" spans="1:15" s="389" customFormat="1">
      <c r="A62" s="1030" t="str">
        <f>报表格式!Q64</f>
        <v>五、现金及现金等价物净增加额</v>
      </c>
      <c r="B62" s="399">
        <f t="shared" si="0"/>
        <v>0</v>
      </c>
      <c r="C62" s="399">
        <f>SUM(C31,C45,C59,C61)</f>
        <v>0</v>
      </c>
      <c r="D62" s="399">
        <f t="shared" ref="D62:O62" si="13">SUM(D31,D45,D59,D61)</f>
        <v>0</v>
      </c>
      <c r="E62" s="399">
        <f t="shared" si="13"/>
        <v>0</v>
      </c>
      <c r="F62" s="399">
        <f t="shared" si="13"/>
        <v>0</v>
      </c>
      <c r="G62" s="399">
        <f t="shared" si="13"/>
        <v>0</v>
      </c>
      <c r="H62" s="399">
        <f t="shared" si="13"/>
        <v>0</v>
      </c>
      <c r="I62" s="399">
        <f t="shared" si="13"/>
        <v>0</v>
      </c>
      <c r="J62" s="399">
        <f t="shared" si="13"/>
        <v>0</v>
      </c>
      <c r="K62" s="399">
        <f t="shared" si="13"/>
        <v>0</v>
      </c>
      <c r="L62" s="399">
        <f t="shared" si="13"/>
        <v>0</v>
      </c>
      <c r="M62" s="399">
        <f t="shared" si="13"/>
        <v>0</v>
      </c>
      <c r="N62" s="399">
        <f t="shared" si="13"/>
        <v>0</v>
      </c>
      <c r="O62" s="400">
        <f t="shared" si="13"/>
        <v>0</v>
      </c>
    </row>
    <row r="63" spans="1:15">
      <c r="A63" s="1036" t="str">
        <f>报表格式!Q65</f>
        <v xml:space="preserve">    加：期初现金及现金等价物余额</v>
      </c>
      <c r="B63" s="393">
        <f t="shared" si="0"/>
        <v>0</v>
      </c>
      <c r="C63" s="393"/>
      <c r="D63" s="393"/>
      <c r="E63" s="393"/>
      <c r="F63" s="393"/>
      <c r="G63" s="393"/>
      <c r="H63" s="393"/>
      <c r="I63" s="393"/>
      <c r="J63" s="393"/>
      <c r="K63" s="393"/>
      <c r="L63" s="393"/>
      <c r="M63" s="393"/>
      <c r="N63" s="393"/>
      <c r="O63" s="394"/>
    </row>
    <row r="64" spans="1:15" s="389" customFormat="1">
      <c r="A64" s="1038" t="str">
        <f>报表格式!Q66</f>
        <v>六、期末现金及现金等价物余额</v>
      </c>
      <c r="B64" s="399">
        <f t="shared" si="0"/>
        <v>0</v>
      </c>
      <c r="C64" s="505">
        <f t="shared" ref="C64:O64" si="14">C62+C63</f>
        <v>0</v>
      </c>
      <c r="D64" s="505">
        <f t="shared" si="14"/>
        <v>0</v>
      </c>
      <c r="E64" s="505">
        <f t="shared" si="14"/>
        <v>0</v>
      </c>
      <c r="F64" s="505">
        <f t="shared" si="14"/>
        <v>0</v>
      </c>
      <c r="G64" s="505">
        <f t="shared" si="14"/>
        <v>0</v>
      </c>
      <c r="H64" s="505">
        <f t="shared" si="14"/>
        <v>0</v>
      </c>
      <c r="I64" s="505">
        <f t="shared" si="14"/>
        <v>0</v>
      </c>
      <c r="J64" s="505">
        <f t="shared" si="14"/>
        <v>0</v>
      </c>
      <c r="K64" s="505">
        <f t="shared" si="14"/>
        <v>0</v>
      </c>
      <c r="L64" s="505">
        <f t="shared" si="14"/>
        <v>0</v>
      </c>
      <c r="M64" s="505">
        <f t="shared" si="14"/>
        <v>0</v>
      </c>
      <c r="N64" s="505">
        <f t="shared" si="14"/>
        <v>0</v>
      </c>
      <c r="O64" s="506">
        <f t="shared" si="14"/>
        <v>0</v>
      </c>
    </row>
    <row r="65" spans="1:15">
      <c r="A65" s="1039"/>
      <c r="B65" s="515"/>
      <c r="C65" s="515"/>
      <c r="D65" s="515"/>
      <c r="E65" s="515"/>
      <c r="F65" s="515"/>
      <c r="G65" s="515"/>
      <c r="H65" s="515"/>
      <c r="I65" s="515"/>
      <c r="J65" s="515"/>
      <c r="K65" s="515"/>
      <c r="L65" s="515"/>
      <c r="M65" s="515"/>
      <c r="N65" s="515"/>
      <c r="O65" s="515"/>
    </row>
    <row r="66" spans="1:15">
      <c r="A66" s="1040"/>
      <c r="B66" s="435"/>
      <c r="C66" s="435"/>
      <c r="D66" s="435"/>
      <c r="E66" s="435"/>
      <c r="F66" s="435"/>
      <c r="G66" s="435"/>
      <c r="H66" s="435"/>
      <c r="I66" s="435"/>
      <c r="J66" s="435"/>
      <c r="K66" s="435"/>
      <c r="L66" s="435"/>
      <c r="M66" s="435"/>
      <c r="N66" s="435"/>
    </row>
    <row r="67" spans="1:15">
      <c r="A67" s="1041" t="str">
        <f>报表格式!U4</f>
        <v>补充资料</v>
      </c>
      <c r="B67" s="520"/>
      <c r="C67" s="520"/>
      <c r="D67" s="520"/>
      <c r="E67" s="520"/>
      <c r="F67" s="520"/>
      <c r="G67" s="520"/>
      <c r="H67" s="520"/>
      <c r="I67" s="520"/>
      <c r="J67" s="520"/>
      <c r="K67" s="520"/>
      <c r="L67" s="520"/>
      <c r="M67" s="520"/>
      <c r="N67" s="520"/>
      <c r="O67" s="520"/>
    </row>
    <row r="68" spans="1:15">
      <c r="A68" s="1042" t="str">
        <f>报表格式!U5</f>
        <v>1、将净利润调节为经营活动现金流量：</v>
      </c>
      <c r="B68" s="414"/>
      <c r="C68" s="414"/>
      <c r="D68" s="414"/>
      <c r="E68" s="414"/>
      <c r="F68" s="414"/>
      <c r="G68" s="414"/>
      <c r="H68" s="414"/>
      <c r="I68" s="414"/>
      <c r="J68" s="414"/>
      <c r="K68" s="414"/>
      <c r="L68" s="414"/>
      <c r="M68" s="414"/>
      <c r="N68" s="414"/>
      <c r="O68" s="415"/>
    </row>
    <row r="69" spans="1:15" s="389" customFormat="1">
      <c r="A69" s="1030" t="str">
        <f>报表格式!U6</f>
        <v xml:space="preserve">     净利润</v>
      </c>
      <c r="B69" s="399">
        <f t="shared" ref="B69:B97" si="15">SUM(C69:O69)</f>
        <v>0</v>
      </c>
      <c r="C69" s="393"/>
      <c r="D69" s="393"/>
      <c r="E69" s="393"/>
      <c r="F69" s="393"/>
      <c r="G69" s="393"/>
      <c r="H69" s="393"/>
      <c r="I69" s="393"/>
      <c r="J69" s="393"/>
      <c r="K69" s="393"/>
      <c r="L69" s="393"/>
      <c r="M69" s="393"/>
      <c r="N69" s="393"/>
      <c r="O69" s="394"/>
    </row>
    <row r="70" spans="1:15">
      <c r="A70" s="1036" t="str">
        <f>报表格式!U9</f>
        <v>加：资产减值损失</v>
      </c>
      <c r="B70" s="393">
        <f t="shared" si="15"/>
        <v>0</v>
      </c>
      <c r="C70" s="393"/>
      <c r="D70" s="393"/>
      <c r="E70" s="393"/>
      <c r="F70" s="393"/>
      <c r="G70" s="393"/>
      <c r="H70" s="393"/>
      <c r="I70" s="393"/>
      <c r="J70" s="393"/>
      <c r="K70" s="393"/>
      <c r="L70" s="393"/>
      <c r="M70" s="393"/>
      <c r="N70" s="393"/>
      <c r="O70" s="394"/>
    </row>
    <row r="71" spans="1:15">
      <c r="A71" s="1036" t="str">
        <f>报表格式!U10</f>
        <v xml:space="preserve">     信用减值损失</v>
      </c>
      <c r="B71" s="393">
        <f t="shared" si="15"/>
        <v>0</v>
      </c>
      <c r="C71" s="393"/>
      <c r="D71" s="393"/>
      <c r="E71" s="393"/>
      <c r="F71" s="393"/>
      <c r="G71" s="393"/>
      <c r="H71" s="393"/>
      <c r="I71" s="393"/>
      <c r="J71" s="393"/>
      <c r="K71" s="393"/>
      <c r="L71" s="393"/>
      <c r="M71" s="393"/>
      <c r="N71" s="393"/>
      <c r="O71" s="394"/>
    </row>
    <row r="72" spans="1:15">
      <c r="A72" s="1036" t="str">
        <f>报表格式!U11</f>
        <v xml:space="preserve">     固定资产折旧、油气资产折耗、生产性生物资产折旧</v>
      </c>
      <c r="B72" s="393">
        <f t="shared" si="15"/>
        <v>0</v>
      </c>
      <c r="C72" s="393"/>
      <c r="D72" s="393"/>
      <c r="E72" s="393"/>
      <c r="F72" s="393"/>
      <c r="G72" s="393"/>
      <c r="H72" s="393"/>
      <c r="I72" s="393"/>
      <c r="J72" s="393"/>
      <c r="K72" s="393"/>
      <c r="L72" s="393"/>
      <c r="M72" s="393"/>
      <c r="N72" s="393"/>
      <c r="O72" s="394"/>
    </row>
    <row r="73" spans="1:15" s="389" customFormat="1">
      <c r="A73" s="1036" t="str">
        <f>报表格式!U12</f>
        <v xml:space="preserve">     无形资产摊销</v>
      </c>
      <c r="B73" s="393">
        <f t="shared" si="15"/>
        <v>0</v>
      </c>
      <c r="C73" s="393"/>
      <c r="D73" s="393"/>
      <c r="E73" s="393"/>
      <c r="F73" s="393"/>
      <c r="G73" s="393"/>
      <c r="H73" s="393"/>
      <c r="I73" s="393"/>
      <c r="J73" s="393"/>
      <c r="K73" s="393"/>
      <c r="L73" s="393"/>
      <c r="M73" s="393"/>
      <c r="N73" s="393"/>
      <c r="O73" s="394"/>
    </row>
    <row r="74" spans="1:15" s="389" customFormat="1">
      <c r="A74" s="1036" t="str">
        <f>报表格式!U13</f>
        <v xml:space="preserve">     长期待摊费用摊销</v>
      </c>
      <c r="B74" s="393">
        <f t="shared" si="15"/>
        <v>0</v>
      </c>
      <c r="C74" s="393"/>
      <c r="D74" s="393"/>
      <c r="E74" s="393"/>
      <c r="F74" s="393"/>
      <c r="G74" s="393"/>
      <c r="H74" s="393"/>
      <c r="I74" s="393"/>
      <c r="J74" s="393"/>
      <c r="K74" s="393"/>
      <c r="L74" s="393"/>
      <c r="M74" s="393"/>
      <c r="N74" s="393"/>
      <c r="O74" s="394"/>
    </row>
    <row r="75" spans="1:15" s="389" customFormat="1">
      <c r="A75" s="1036" t="str">
        <f>报表格式!U14</f>
        <v xml:space="preserve">     处置固定资产、无形资产和其他长期资产的损失（收益以“－”号填列）</v>
      </c>
      <c r="B75" s="393">
        <f t="shared" si="15"/>
        <v>0</v>
      </c>
      <c r="C75" s="393"/>
      <c r="D75" s="393"/>
      <c r="E75" s="393"/>
      <c r="F75" s="393"/>
      <c r="G75" s="393"/>
      <c r="H75" s="393"/>
      <c r="I75" s="393"/>
      <c r="J75" s="393"/>
      <c r="K75" s="393"/>
      <c r="L75" s="393"/>
      <c r="M75" s="393"/>
      <c r="N75" s="393"/>
      <c r="O75" s="394"/>
    </row>
    <row r="76" spans="1:15" s="389" customFormat="1">
      <c r="A76" s="1036" t="str">
        <f>报表格式!U15</f>
        <v xml:space="preserve">     固定资产报废损失（收益以“－”号填列）</v>
      </c>
      <c r="B76" s="393">
        <f t="shared" si="15"/>
        <v>0</v>
      </c>
      <c r="C76" s="393"/>
      <c r="D76" s="393"/>
      <c r="E76" s="393"/>
      <c r="F76" s="393"/>
      <c r="G76" s="393"/>
      <c r="H76" s="393"/>
      <c r="I76" s="393"/>
      <c r="J76" s="393"/>
      <c r="K76" s="393"/>
      <c r="L76" s="393"/>
      <c r="M76" s="393"/>
      <c r="N76" s="393"/>
      <c r="O76" s="394"/>
    </row>
    <row r="77" spans="1:15" s="389" customFormat="1">
      <c r="A77" s="1036" t="str">
        <f>报表格式!U16</f>
        <v xml:space="preserve">     公允价值变动损失（收益以“－”号填列）</v>
      </c>
      <c r="B77" s="393">
        <f t="shared" si="15"/>
        <v>0</v>
      </c>
      <c r="C77" s="393"/>
      <c r="D77" s="393"/>
      <c r="E77" s="393"/>
      <c r="F77" s="393"/>
      <c r="G77" s="393"/>
      <c r="H77" s="393"/>
      <c r="I77" s="393"/>
      <c r="J77" s="393"/>
      <c r="K77" s="393"/>
      <c r="L77" s="393"/>
      <c r="M77" s="393"/>
      <c r="N77" s="393"/>
      <c r="O77" s="394"/>
    </row>
    <row r="78" spans="1:15" s="389" customFormat="1">
      <c r="A78" s="1036" t="str">
        <f>报表格式!U17</f>
        <v xml:space="preserve">     财务费用（收益以“－”号填列）</v>
      </c>
      <c r="B78" s="393">
        <f t="shared" si="15"/>
        <v>0</v>
      </c>
      <c r="C78" s="393"/>
      <c r="D78" s="393"/>
      <c r="E78" s="393"/>
      <c r="F78" s="393"/>
      <c r="G78" s="393"/>
      <c r="H78" s="393"/>
      <c r="I78" s="393"/>
      <c r="J78" s="393"/>
      <c r="K78" s="393"/>
      <c r="L78" s="393"/>
      <c r="M78" s="393"/>
      <c r="N78" s="393"/>
      <c r="O78" s="394"/>
    </row>
    <row r="79" spans="1:15" s="389" customFormat="1">
      <c r="A79" s="1036" t="str">
        <f>报表格式!U18</f>
        <v xml:space="preserve">     投资损失（收益以“－”号填列）</v>
      </c>
      <c r="B79" s="393">
        <f t="shared" si="15"/>
        <v>0</v>
      </c>
      <c r="C79" s="393"/>
      <c r="D79" s="393"/>
      <c r="E79" s="393"/>
      <c r="F79" s="393"/>
      <c r="G79" s="393"/>
      <c r="H79" s="393"/>
      <c r="I79" s="393"/>
      <c r="J79" s="393"/>
      <c r="K79" s="393"/>
      <c r="L79" s="393"/>
      <c r="M79" s="393"/>
      <c r="N79" s="393"/>
      <c r="O79" s="394"/>
    </row>
    <row r="80" spans="1:15" s="389" customFormat="1">
      <c r="A80" s="1036" t="str">
        <f>报表格式!U19</f>
        <v xml:space="preserve">     递延所得税资产减少（增加以“－”号填列）</v>
      </c>
      <c r="B80" s="393">
        <f t="shared" si="15"/>
        <v>0</v>
      </c>
      <c r="C80" s="393"/>
      <c r="D80" s="393"/>
      <c r="E80" s="393"/>
      <c r="F80" s="393"/>
      <c r="G80" s="393"/>
      <c r="H80" s="393"/>
      <c r="I80" s="393"/>
      <c r="J80" s="393"/>
      <c r="K80" s="393"/>
      <c r="L80" s="393"/>
      <c r="M80" s="393"/>
      <c r="N80" s="393"/>
      <c r="O80" s="394"/>
    </row>
    <row r="81" spans="1:15" s="389" customFormat="1">
      <c r="A81" s="1036" t="str">
        <f>报表格式!U20</f>
        <v xml:space="preserve">     递延所得税负债增加（减少以“－”号填列）</v>
      </c>
      <c r="B81" s="393">
        <f t="shared" si="15"/>
        <v>0</v>
      </c>
      <c r="C81" s="393"/>
      <c r="D81" s="393"/>
      <c r="E81" s="393"/>
      <c r="F81" s="393"/>
      <c r="G81" s="393"/>
      <c r="H81" s="393"/>
      <c r="I81" s="393"/>
      <c r="J81" s="393"/>
      <c r="K81" s="393"/>
      <c r="L81" s="393"/>
      <c r="M81" s="393"/>
      <c r="N81" s="393"/>
      <c r="O81" s="394"/>
    </row>
    <row r="82" spans="1:15" s="389" customFormat="1">
      <c r="A82" s="1036" t="str">
        <f>报表格式!U21</f>
        <v xml:space="preserve">     存货的减少（增加以“－”号填列）</v>
      </c>
      <c r="B82" s="393">
        <f t="shared" si="15"/>
        <v>0</v>
      </c>
      <c r="C82" s="393"/>
      <c r="D82" s="393"/>
      <c r="E82" s="393"/>
      <c r="F82" s="393"/>
      <c r="G82" s="393"/>
      <c r="H82" s="393"/>
      <c r="I82" s="393"/>
      <c r="J82" s="393"/>
      <c r="K82" s="393"/>
      <c r="L82" s="393"/>
      <c r="M82" s="393"/>
      <c r="N82" s="393"/>
      <c r="O82" s="394"/>
    </row>
    <row r="83" spans="1:15" s="389" customFormat="1">
      <c r="A83" s="1036" t="str">
        <f>报表格式!U22</f>
        <v xml:space="preserve">     经营性应收项目的减少（增加以“－”号填列）</v>
      </c>
      <c r="B83" s="393">
        <f t="shared" si="15"/>
        <v>0</v>
      </c>
      <c r="C83" s="393"/>
      <c r="D83" s="393"/>
      <c r="E83" s="393"/>
      <c r="F83" s="393"/>
      <c r="G83" s="393"/>
      <c r="H83" s="393"/>
      <c r="I83" s="393"/>
      <c r="J83" s="393"/>
      <c r="K83" s="393"/>
      <c r="L83" s="393"/>
      <c r="M83" s="393"/>
      <c r="N83" s="393"/>
      <c r="O83" s="394"/>
    </row>
    <row r="84" spans="1:15" s="389" customFormat="1">
      <c r="A84" s="1036" t="str">
        <f>报表格式!U23</f>
        <v xml:space="preserve">     经营性应付项目的增加（减少以“－”号填列）</v>
      </c>
      <c r="B84" s="393">
        <f t="shared" si="15"/>
        <v>0</v>
      </c>
      <c r="C84" s="393"/>
      <c r="D84" s="393"/>
      <c r="E84" s="393"/>
      <c r="F84" s="393"/>
      <c r="G84" s="393"/>
      <c r="H84" s="393"/>
      <c r="I84" s="393"/>
      <c r="J84" s="393"/>
      <c r="K84" s="393"/>
      <c r="L84" s="393"/>
      <c r="M84" s="393"/>
      <c r="N84" s="393"/>
      <c r="O84" s="394"/>
    </row>
    <row r="85" spans="1:15" s="389" customFormat="1">
      <c r="A85" s="1030" t="str">
        <f>报表格式!U26</f>
        <v xml:space="preserve">     经营活动产生的现金流量净额</v>
      </c>
      <c r="B85" s="399">
        <f>SUM(B69:B84)</f>
        <v>0</v>
      </c>
      <c r="C85" s="393">
        <f t="shared" ref="C85:O85" si="16">SUM(C69:C84)</f>
        <v>0</v>
      </c>
      <c r="D85" s="393">
        <f t="shared" si="16"/>
        <v>0</v>
      </c>
      <c r="E85" s="393">
        <f t="shared" si="16"/>
        <v>0</v>
      </c>
      <c r="F85" s="393">
        <f t="shared" si="16"/>
        <v>0</v>
      </c>
      <c r="G85" s="393">
        <f t="shared" si="16"/>
        <v>0</v>
      </c>
      <c r="H85" s="393">
        <f t="shared" si="16"/>
        <v>0</v>
      </c>
      <c r="I85" s="393">
        <f t="shared" si="16"/>
        <v>0</v>
      </c>
      <c r="J85" s="393">
        <f t="shared" si="16"/>
        <v>0</v>
      </c>
      <c r="K85" s="393">
        <f t="shared" si="16"/>
        <v>0</v>
      </c>
      <c r="L85" s="393">
        <f t="shared" si="16"/>
        <v>0</v>
      </c>
      <c r="M85" s="393">
        <f t="shared" si="16"/>
        <v>0</v>
      </c>
      <c r="N85" s="393">
        <f t="shared" si="16"/>
        <v>0</v>
      </c>
      <c r="O85" s="394">
        <f t="shared" si="16"/>
        <v>0</v>
      </c>
    </row>
    <row r="86" spans="1:15" s="389" customFormat="1">
      <c r="A86" s="1036">
        <f>报表格式!U27</f>
        <v>0</v>
      </c>
      <c r="B86" s="393"/>
      <c r="C86" s="393"/>
      <c r="D86" s="393"/>
      <c r="E86" s="393"/>
      <c r="F86" s="393"/>
      <c r="G86" s="393"/>
      <c r="H86" s="393"/>
      <c r="I86" s="393"/>
      <c r="J86" s="393"/>
      <c r="K86" s="393"/>
      <c r="L86" s="393"/>
      <c r="M86" s="393"/>
      <c r="N86" s="393"/>
      <c r="O86" s="394"/>
    </row>
    <row r="87" spans="1:15" s="389" customFormat="1">
      <c r="A87" s="1043" t="str">
        <f>报表格式!U28</f>
        <v>2、不涉及现金收支的投资和筹资活动：</v>
      </c>
      <c r="B87" s="393"/>
      <c r="C87" s="393"/>
      <c r="D87" s="393"/>
      <c r="E87" s="393"/>
      <c r="F87" s="393"/>
      <c r="G87" s="393"/>
      <c r="H87" s="393"/>
      <c r="I87" s="393"/>
      <c r="J87" s="393"/>
      <c r="K87" s="393"/>
      <c r="L87" s="393"/>
      <c r="M87" s="393"/>
      <c r="N87" s="393"/>
      <c r="O87" s="394"/>
    </row>
    <row r="88" spans="1:15" s="389" customFormat="1">
      <c r="A88" s="1036" t="str">
        <f>报表格式!U29</f>
        <v xml:space="preserve">     债务转为资本</v>
      </c>
      <c r="B88" s="393">
        <f t="shared" si="15"/>
        <v>0</v>
      </c>
      <c r="C88" s="393"/>
      <c r="D88" s="393"/>
      <c r="E88" s="393"/>
      <c r="F88" s="393"/>
      <c r="G88" s="393"/>
      <c r="H88" s="393"/>
      <c r="I88" s="393"/>
      <c r="J88" s="393"/>
      <c r="K88" s="393"/>
      <c r="L88" s="393"/>
      <c r="M88" s="393"/>
      <c r="N88" s="393"/>
      <c r="O88" s="394"/>
    </row>
    <row r="89" spans="1:15" s="389" customFormat="1">
      <c r="A89" s="1036" t="str">
        <f>报表格式!U30</f>
        <v xml:space="preserve">     一年内到期的可转换公司债券</v>
      </c>
      <c r="B89" s="393">
        <f t="shared" si="15"/>
        <v>0</v>
      </c>
      <c r="C89" s="393"/>
      <c r="D89" s="393"/>
      <c r="E89" s="393"/>
      <c r="F89" s="393"/>
      <c r="G89" s="393"/>
      <c r="H89" s="393"/>
      <c r="I89" s="393"/>
      <c r="J89" s="393"/>
      <c r="K89" s="393"/>
      <c r="L89" s="393"/>
      <c r="M89" s="393"/>
      <c r="N89" s="393"/>
      <c r="O89" s="394"/>
    </row>
    <row r="90" spans="1:15" s="389" customFormat="1">
      <c r="A90" s="1036" t="str">
        <f>报表格式!U31</f>
        <v xml:space="preserve">     融资租入固定资产</v>
      </c>
      <c r="B90" s="393">
        <f t="shared" si="15"/>
        <v>0</v>
      </c>
      <c r="C90" s="393"/>
      <c r="D90" s="393"/>
      <c r="E90" s="393"/>
      <c r="F90" s="393"/>
      <c r="G90" s="393"/>
      <c r="H90" s="393"/>
      <c r="I90" s="393"/>
      <c r="J90" s="393"/>
      <c r="K90" s="393"/>
      <c r="L90" s="393"/>
      <c r="M90" s="393"/>
      <c r="N90" s="393"/>
      <c r="O90" s="394"/>
    </row>
    <row r="91" spans="1:15" s="389" customFormat="1">
      <c r="A91" s="1036" t="str">
        <f>报表格式!U32</f>
        <v xml:space="preserve">     其他</v>
      </c>
      <c r="B91" s="393">
        <f t="shared" si="15"/>
        <v>0</v>
      </c>
      <c r="C91" s="393"/>
      <c r="D91" s="393"/>
      <c r="E91" s="393"/>
      <c r="F91" s="393"/>
      <c r="G91" s="393"/>
      <c r="H91" s="393"/>
      <c r="I91" s="393"/>
      <c r="J91" s="393"/>
      <c r="K91" s="393"/>
      <c r="L91" s="393"/>
      <c r="M91" s="393"/>
      <c r="N91" s="393"/>
      <c r="O91" s="394"/>
    </row>
    <row r="92" spans="1:15" s="389" customFormat="1">
      <c r="A92" s="1036">
        <f>报表格式!U34</f>
        <v>0</v>
      </c>
      <c r="B92" s="393">
        <f t="shared" si="15"/>
        <v>0</v>
      </c>
      <c r="C92" s="393"/>
      <c r="D92" s="393"/>
      <c r="E92" s="393"/>
      <c r="F92" s="393"/>
      <c r="G92" s="393"/>
      <c r="H92" s="393"/>
      <c r="I92" s="393"/>
      <c r="J92" s="393"/>
      <c r="K92" s="393"/>
      <c r="L92" s="393"/>
      <c r="M92" s="393"/>
      <c r="N92" s="393"/>
      <c r="O92" s="394"/>
    </row>
    <row r="93" spans="1:15" s="389" customFormat="1">
      <c r="A93" s="1043" t="str">
        <f>报表格式!U35</f>
        <v>3、现金及现金等价物净变动情况：</v>
      </c>
      <c r="B93" s="393"/>
      <c r="C93" s="393"/>
      <c r="D93" s="393"/>
      <c r="E93" s="393"/>
      <c r="F93" s="393"/>
      <c r="G93" s="393"/>
      <c r="H93" s="393"/>
      <c r="I93" s="393"/>
      <c r="J93" s="393"/>
      <c r="K93" s="393"/>
      <c r="L93" s="393"/>
      <c r="M93" s="393"/>
      <c r="N93" s="393"/>
      <c r="O93" s="394"/>
    </row>
    <row r="94" spans="1:15" s="389" customFormat="1">
      <c r="A94" s="1036" t="str">
        <f>报表格式!U36</f>
        <v xml:space="preserve">     现金的期末余额</v>
      </c>
      <c r="B94" s="393">
        <f t="shared" si="15"/>
        <v>0</v>
      </c>
      <c r="C94" s="393"/>
      <c r="D94" s="393"/>
      <c r="E94" s="393"/>
      <c r="F94" s="393"/>
      <c r="G94" s="393"/>
      <c r="H94" s="393"/>
      <c r="I94" s="393"/>
      <c r="J94" s="393"/>
      <c r="K94" s="393"/>
      <c r="L94" s="393"/>
      <c r="M94" s="393"/>
      <c r="N94" s="393"/>
      <c r="O94" s="394"/>
    </row>
    <row r="95" spans="1:15" s="389" customFormat="1">
      <c r="A95" s="1036" t="str">
        <f>报表格式!U37</f>
        <v xml:space="preserve">     减：现金的期初余额</v>
      </c>
      <c r="B95" s="393">
        <f t="shared" si="15"/>
        <v>0</v>
      </c>
      <c r="C95" s="393"/>
      <c r="D95" s="393"/>
      <c r="E95" s="393"/>
      <c r="F95" s="393"/>
      <c r="G95" s="393"/>
      <c r="H95" s="393"/>
      <c r="I95" s="393"/>
      <c r="J95" s="393"/>
      <c r="K95" s="393"/>
      <c r="L95" s="393"/>
      <c r="M95" s="393"/>
      <c r="N95" s="393"/>
      <c r="O95" s="394"/>
    </row>
    <row r="96" spans="1:15" s="389" customFormat="1">
      <c r="A96" s="1036" t="str">
        <f>报表格式!U38</f>
        <v xml:space="preserve">     加：现金等价物的期末余额</v>
      </c>
      <c r="B96" s="393">
        <f t="shared" si="15"/>
        <v>0</v>
      </c>
      <c r="C96" s="393"/>
      <c r="D96" s="393"/>
      <c r="E96" s="393"/>
      <c r="F96" s="393"/>
      <c r="G96" s="393"/>
      <c r="H96" s="393"/>
      <c r="I96" s="393"/>
      <c r="J96" s="393"/>
      <c r="K96" s="393"/>
      <c r="L96" s="393"/>
      <c r="M96" s="393"/>
      <c r="N96" s="393"/>
      <c r="O96" s="394"/>
    </row>
    <row r="97" spans="1:15" s="389" customFormat="1">
      <c r="A97" s="1036" t="str">
        <f>报表格式!U39</f>
        <v xml:space="preserve">     减：现金等价物的期初余额</v>
      </c>
      <c r="B97" s="393">
        <f t="shared" si="15"/>
        <v>0</v>
      </c>
      <c r="C97" s="393"/>
      <c r="D97" s="393"/>
      <c r="E97" s="393"/>
      <c r="F97" s="393"/>
      <c r="G97" s="393"/>
      <c r="H97" s="393"/>
      <c r="I97" s="393"/>
      <c r="J97" s="393"/>
      <c r="K97" s="393"/>
      <c r="L97" s="393"/>
      <c r="M97" s="393"/>
      <c r="N97" s="393"/>
      <c r="O97" s="394"/>
    </row>
    <row r="98" spans="1:15" s="389" customFormat="1">
      <c r="A98" s="1038" t="str">
        <f>报表格式!U50</f>
        <v xml:space="preserve">     现金及现金等价物净增加额</v>
      </c>
      <c r="B98" s="505">
        <f>B94-B95+B96-B97</f>
        <v>0</v>
      </c>
      <c r="C98" s="416">
        <f>C94-C95+C96-C97</f>
        <v>0</v>
      </c>
      <c r="D98" s="416">
        <f t="shared" ref="D98:O98" si="17">D94-D95+D96-D97</f>
        <v>0</v>
      </c>
      <c r="E98" s="416">
        <f t="shared" si="17"/>
        <v>0</v>
      </c>
      <c r="F98" s="416">
        <f t="shared" si="17"/>
        <v>0</v>
      </c>
      <c r="G98" s="416">
        <f t="shared" si="17"/>
        <v>0</v>
      </c>
      <c r="H98" s="416">
        <f t="shared" si="17"/>
        <v>0</v>
      </c>
      <c r="I98" s="416">
        <f t="shared" si="17"/>
        <v>0</v>
      </c>
      <c r="J98" s="416">
        <f t="shared" si="17"/>
        <v>0</v>
      </c>
      <c r="K98" s="416">
        <f t="shared" si="17"/>
        <v>0</v>
      </c>
      <c r="L98" s="416">
        <f t="shared" si="17"/>
        <v>0</v>
      </c>
      <c r="M98" s="416">
        <f t="shared" si="17"/>
        <v>0</v>
      </c>
      <c r="N98" s="416">
        <f t="shared" si="17"/>
        <v>0</v>
      </c>
      <c r="O98" s="417">
        <f t="shared" si="17"/>
        <v>0</v>
      </c>
    </row>
    <row r="99" spans="1:15" s="389" customFormat="1">
      <c r="A99" s="1044"/>
      <c r="B99" s="503"/>
      <c r="C99" s="503"/>
      <c r="D99" s="503"/>
      <c r="E99" s="503"/>
      <c r="F99" s="503"/>
      <c r="G99" s="503"/>
      <c r="H99" s="503"/>
      <c r="I99" s="503"/>
      <c r="J99" s="503"/>
      <c r="K99" s="503"/>
      <c r="L99" s="503"/>
      <c r="M99" s="503"/>
      <c r="N99" s="503"/>
      <c r="O99" s="503"/>
    </row>
    <row r="101" spans="1:15" ht="13.5">
      <c r="A101" s="1016" t="s">
        <v>539</v>
      </c>
      <c r="B101" s="56"/>
      <c r="C101" s="42"/>
    </row>
    <row r="102" spans="1:15" s="587" customFormat="1">
      <c r="A102" s="1017" t="s">
        <v>652</v>
      </c>
      <c r="B102" s="646">
        <f>SUM(B7:B19)-SUM(B21:B29)-B31</f>
        <v>0</v>
      </c>
      <c r="C102" s="580">
        <f>SUM(C7:C19)-SUM(C21:C29)-C31</f>
        <v>0</v>
      </c>
      <c r="D102" s="580">
        <f t="shared" ref="D102:O102" si="18">SUM(D7:D19)-SUM(D21:D29)-D31</f>
        <v>0</v>
      </c>
      <c r="E102" s="580">
        <f t="shared" si="18"/>
        <v>0</v>
      </c>
      <c r="F102" s="580">
        <f t="shared" si="18"/>
        <v>0</v>
      </c>
      <c r="G102" s="580">
        <f t="shared" si="18"/>
        <v>0</v>
      </c>
      <c r="H102" s="580">
        <f t="shared" si="18"/>
        <v>0</v>
      </c>
      <c r="I102" s="580">
        <f t="shared" si="18"/>
        <v>0</v>
      </c>
      <c r="J102" s="580">
        <f t="shared" si="18"/>
        <v>0</v>
      </c>
      <c r="K102" s="580">
        <f t="shared" si="18"/>
        <v>0</v>
      </c>
      <c r="L102" s="580">
        <f t="shared" si="18"/>
        <v>0</v>
      </c>
      <c r="M102" s="580">
        <f t="shared" si="18"/>
        <v>0</v>
      </c>
      <c r="N102" s="580">
        <f t="shared" si="18"/>
        <v>0</v>
      </c>
      <c r="O102" s="580">
        <f t="shared" si="18"/>
        <v>0</v>
      </c>
    </row>
    <row r="103" spans="1:15" s="587" customFormat="1">
      <c r="A103" s="1017" t="s">
        <v>653</v>
      </c>
      <c r="B103" s="646">
        <f>SUM(B33:B37)-SUM(B39:B43)-B45</f>
        <v>0</v>
      </c>
      <c r="C103" s="580">
        <f>SUM(C33:C37)-SUM(C39:C43)-C45</f>
        <v>0</v>
      </c>
      <c r="D103" s="580">
        <f t="shared" ref="D103:O103" si="19">SUM(D33:D37)-SUM(D39:D43)-D45</f>
        <v>0</v>
      </c>
      <c r="E103" s="580">
        <f t="shared" si="19"/>
        <v>0</v>
      </c>
      <c r="F103" s="580">
        <f t="shared" si="19"/>
        <v>0</v>
      </c>
      <c r="G103" s="580">
        <f t="shared" si="19"/>
        <v>0</v>
      </c>
      <c r="H103" s="580">
        <f t="shared" si="19"/>
        <v>0</v>
      </c>
      <c r="I103" s="580">
        <f t="shared" si="19"/>
        <v>0</v>
      </c>
      <c r="J103" s="580">
        <f t="shared" si="19"/>
        <v>0</v>
      </c>
      <c r="K103" s="580">
        <f t="shared" si="19"/>
        <v>0</v>
      </c>
      <c r="L103" s="580">
        <f t="shared" si="19"/>
        <v>0</v>
      </c>
      <c r="M103" s="580">
        <f t="shared" si="19"/>
        <v>0</v>
      </c>
      <c r="N103" s="580">
        <f t="shared" si="19"/>
        <v>0</v>
      </c>
      <c r="O103" s="580">
        <f t="shared" si="19"/>
        <v>0</v>
      </c>
    </row>
    <row r="104" spans="1:15" s="587" customFormat="1">
      <c r="A104" s="1017" t="s">
        <v>654</v>
      </c>
      <c r="B104" s="646">
        <f>SUM(B47,B49:B51)-SUM(B53:B54,B56)-B59</f>
        <v>0</v>
      </c>
      <c r="C104" s="646">
        <f t="shared" ref="C104:O104" si="20">SUM(C47,C49:C51)-SUM(C53:C54,C56)-C59</f>
        <v>0</v>
      </c>
      <c r="D104" s="646">
        <f t="shared" si="20"/>
        <v>0</v>
      </c>
      <c r="E104" s="646">
        <f t="shared" si="20"/>
        <v>0</v>
      </c>
      <c r="F104" s="646">
        <f t="shared" si="20"/>
        <v>0</v>
      </c>
      <c r="G104" s="646">
        <f t="shared" si="20"/>
        <v>0</v>
      </c>
      <c r="H104" s="646">
        <f t="shared" si="20"/>
        <v>0</v>
      </c>
      <c r="I104" s="646">
        <f t="shared" si="20"/>
        <v>0</v>
      </c>
      <c r="J104" s="646">
        <f t="shared" si="20"/>
        <v>0</v>
      </c>
      <c r="K104" s="646">
        <f t="shared" si="20"/>
        <v>0</v>
      </c>
      <c r="L104" s="646">
        <f t="shared" si="20"/>
        <v>0</v>
      </c>
      <c r="M104" s="646">
        <f t="shared" si="20"/>
        <v>0</v>
      </c>
      <c r="N104" s="646">
        <f t="shared" si="20"/>
        <v>0</v>
      </c>
      <c r="O104" s="646">
        <f t="shared" si="20"/>
        <v>0</v>
      </c>
    </row>
    <row r="105" spans="1:15" s="587" customFormat="1">
      <c r="A105" s="1017" t="s">
        <v>655</v>
      </c>
      <c r="B105" s="646">
        <f>SUM(B31,B45,B59,B61)-B62</f>
        <v>0</v>
      </c>
      <c r="C105" s="580">
        <f>SUM(C31,C45,C59,C61)-C62</f>
        <v>0</v>
      </c>
      <c r="D105" s="580">
        <f t="shared" ref="D105:O105" si="21">SUM(D31,D45,D59,D61)-D62</f>
        <v>0</v>
      </c>
      <c r="E105" s="580">
        <f t="shared" si="21"/>
        <v>0</v>
      </c>
      <c r="F105" s="580">
        <f t="shared" si="21"/>
        <v>0</v>
      </c>
      <c r="G105" s="580">
        <f t="shared" si="21"/>
        <v>0</v>
      </c>
      <c r="H105" s="580">
        <f t="shared" si="21"/>
        <v>0</v>
      </c>
      <c r="I105" s="580">
        <f t="shared" si="21"/>
        <v>0</v>
      </c>
      <c r="J105" s="580">
        <f t="shared" si="21"/>
        <v>0</v>
      </c>
      <c r="K105" s="580">
        <f t="shared" si="21"/>
        <v>0</v>
      </c>
      <c r="L105" s="580">
        <f t="shared" si="21"/>
        <v>0</v>
      </c>
      <c r="M105" s="580">
        <f t="shared" si="21"/>
        <v>0</v>
      </c>
      <c r="N105" s="580">
        <f t="shared" si="21"/>
        <v>0</v>
      </c>
      <c r="O105" s="580">
        <f t="shared" si="21"/>
        <v>0</v>
      </c>
    </row>
    <row r="106" spans="1:15" s="587" customFormat="1">
      <c r="A106" s="1017" t="s">
        <v>117</v>
      </c>
      <c r="B106" s="646">
        <f>B62+B63-B64</f>
        <v>0</v>
      </c>
      <c r="C106" s="580">
        <f>C62+C63-C64</f>
        <v>0</v>
      </c>
      <c r="D106" s="580">
        <f t="shared" ref="D106:O106" si="22">D62+D63-D64</f>
        <v>0</v>
      </c>
      <c r="E106" s="580">
        <f t="shared" si="22"/>
        <v>0</v>
      </c>
      <c r="F106" s="580">
        <f t="shared" si="22"/>
        <v>0</v>
      </c>
      <c r="G106" s="580">
        <f t="shared" si="22"/>
        <v>0</v>
      </c>
      <c r="H106" s="580">
        <f t="shared" si="22"/>
        <v>0</v>
      </c>
      <c r="I106" s="580">
        <f t="shared" si="22"/>
        <v>0</v>
      </c>
      <c r="J106" s="580">
        <f t="shared" si="22"/>
        <v>0</v>
      </c>
      <c r="K106" s="580">
        <f t="shared" si="22"/>
        <v>0</v>
      </c>
      <c r="L106" s="580">
        <f t="shared" si="22"/>
        <v>0</v>
      </c>
      <c r="M106" s="580">
        <f t="shared" si="22"/>
        <v>0</v>
      </c>
      <c r="N106" s="580">
        <f t="shared" si="22"/>
        <v>0</v>
      </c>
      <c r="O106" s="580">
        <f t="shared" si="22"/>
        <v>0</v>
      </c>
    </row>
    <row r="107" spans="1:15" s="587" customFormat="1">
      <c r="A107" s="1045" t="s">
        <v>650</v>
      </c>
      <c r="B107" s="646">
        <f>SUM(B69:B84)-B85</f>
        <v>0</v>
      </c>
      <c r="C107" s="580">
        <f>SUM(C69:C84)-C85</f>
        <v>0</v>
      </c>
      <c r="D107" s="580">
        <f t="shared" ref="D107:O107" si="23">SUM(D69:D84)-D85</f>
        <v>0</v>
      </c>
      <c r="E107" s="580">
        <f t="shared" si="23"/>
        <v>0</v>
      </c>
      <c r="F107" s="580">
        <f t="shared" si="23"/>
        <v>0</v>
      </c>
      <c r="G107" s="580">
        <f t="shared" si="23"/>
        <v>0</v>
      </c>
      <c r="H107" s="580">
        <f t="shared" si="23"/>
        <v>0</v>
      </c>
      <c r="I107" s="580">
        <f t="shared" si="23"/>
        <v>0</v>
      </c>
      <c r="J107" s="580">
        <f t="shared" si="23"/>
        <v>0</v>
      </c>
      <c r="K107" s="580">
        <f t="shared" si="23"/>
        <v>0</v>
      </c>
      <c r="L107" s="580">
        <f t="shared" si="23"/>
        <v>0</v>
      </c>
      <c r="M107" s="580">
        <f t="shared" si="23"/>
        <v>0</v>
      </c>
      <c r="N107" s="580">
        <f t="shared" si="23"/>
        <v>0</v>
      </c>
      <c r="O107" s="580">
        <f t="shared" si="23"/>
        <v>0</v>
      </c>
    </row>
    <row r="108" spans="1:15" s="587" customFormat="1">
      <c r="A108" s="1017" t="s">
        <v>651</v>
      </c>
      <c r="B108" s="646">
        <f>B94-B95+B96-B97-B98</f>
        <v>0</v>
      </c>
      <c r="C108" s="580">
        <f>C94-C95+C96-C97-C98</f>
        <v>0</v>
      </c>
      <c r="D108" s="580">
        <f t="shared" ref="D108:O108" si="24">D94-D95+D96-D97-D98</f>
        <v>0</v>
      </c>
      <c r="E108" s="580">
        <f t="shared" si="24"/>
        <v>0</v>
      </c>
      <c r="F108" s="580">
        <f t="shared" si="24"/>
        <v>0</v>
      </c>
      <c r="G108" s="580">
        <f t="shared" si="24"/>
        <v>0</v>
      </c>
      <c r="H108" s="580">
        <f t="shared" si="24"/>
        <v>0</v>
      </c>
      <c r="I108" s="580">
        <f t="shared" si="24"/>
        <v>0</v>
      </c>
      <c r="J108" s="580">
        <f t="shared" si="24"/>
        <v>0</v>
      </c>
      <c r="K108" s="580">
        <f t="shared" si="24"/>
        <v>0</v>
      </c>
      <c r="L108" s="580">
        <f t="shared" si="24"/>
        <v>0</v>
      </c>
      <c r="M108" s="580">
        <f t="shared" si="24"/>
        <v>0</v>
      </c>
      <c r="N108" s="580">
        <f t="shared" si="24"/>
        <v>0</v>
      </c>
      <c r="O108" s="580">
        <f t="shared" si="24"/>
        <v>0</v>
      </c>
    </row>
    <row r="109" spans="1:15" s="587" customFormat="1">
      <c r="A109" s="1017" t="s">
        <v>648</v>
      </c>
      <c r="B109" s="646">
        <f>B31-B85</f>
        <v>0</v>
      </c>
      <c r="C109" s="580">
        <f>C31-C85</f>
        <v>0</v>
      </c>
      <c r="D109" s="580">
        <f t="shared" ref="D109:O109" si="25">D31-D85</f>
        <v>0</v>
      </c>
      <c r="E109" s="580">
        <f t="shared" si="25"/>
        <v>0</v>
      </c>
      <c r="F109" s="580">
        <f t="shared" si="25"/>
        <v>0</v>
      </c>
      <c r="G109" s="580">
        <f t="shared" si="25"/>
        <v>0</v>
      </c>
      <c r="H109" s="580">
        <f t="shared" si="25"/>
        <v>0</v>
      </c>
      <c r="I109" s="580">
        <f t="shared" si="25"/>
        <v>0</v>
      </c>
      <c r="J109" s="580">
        <f t="shared" si="25"/>
        <v>0</v>
      </c>
      <c r="K109" s="580">
        <f t="shared" si="25"/>
        <v>0</v>
      </c>
      <c r="L109" s="580">
        <f t="shared" si="25"/>
        <v>0</v>
      </c>
      <c r="M109" s="580">
        <f t="shared" si="25"/>
        <v>0</v>
      </c>
      <c r="N109" s="580">
        <f t="shared" si="25"/>
        <v>0</v>
      </c>
      <c r="O109" s="580">
        <f t="shared" si="25"/>
        <v>0</v>
      </c>
    </row>
    <row r="110" spans="1:15" s="587" customFormat="1">
      <c r="A110" s="1017" t="s">
        <v>649</v>
      </c>
      <c r="B110" s="646">
        <f>B62-B98</f>
        <v>0</v>
      </c>
      <c r="C110" s="580">
        <f t="shared" ref="C110:O110" si="26">C62-C98</f>
        <v>0</v>
      </c>
      <c r="D110" s="580">
        <f t="shared" si="26"/>
        <v>0</v>
      </c>
      <c r="E110" s="580">
        <f t="shared" si="26"/>
        <v>0</v>
      </c>
      <c r="F110" s="580">
        <f t="shared" si="26"/>
        <v>0</v>
      </c>
      <c r="G110" s="580">
        <f t="shared" si="26"/>
        <v>0</v>
      </c>
      <c r="H110" s="580">
        <f t="shared" si="26"/>
        <v>0</v>
      </c>
      <c r="I110" s="580">
        <f t="shared" si="26"/>
        <v>0</v>
      </c>
      <c r="J110" s="580">
        <f t="shared" si="26"/>
        <v>0</v>
      </c>
      <c r="K110" s="580">
        <f t="shared" si="26"/>
        <v>0</v>
      </c>
      <c r="L110" s="580">
        <f t="shared" si="26"/>
        <v>0</v>
      </c>
      <c r="M110" s="580">
        <f t="shared" si="26"/>
        <v>0</v>
      </c>
      <c r="N110" s="580">
        <f t="shared" si="26"/>
        <v>0</v>
      </c>
      <c r="O110" s="580">
        <f t="shared" si="26"/>
        <v>0</v>
      </c>
    </row>
    <row r="111" spans="1:15" s="587" customFormat="1">
      <c r="A111" s="1017" t="s">
        <v>679</v>
      </c>
      <c r="B111" s="646">
        <f>B69-母公司PL汇总!B44</f>
        <v>0</v>
      </c>
      <c r="C111" s="580">
        <f>C69-母公司PL汇总!C44</f>
        <v>0</v>
      </c>
      <c r="D111" s="580">
        <f>D69-母公司PL汇总!D44</f>
        <v>0</v>
      </c>
      <c r="E111" s="580">
        <f>E69-母公司PL汇总!E44</f>
        <v>0</v>
      </c>
      <c r="F111" s="580">
        <f>F69-母公司PL汇总!F44</f>
        <v>0</v>
      </c>
      <c r="G111" s="580">
        <f>G69-母公司PL汇总!G44</f>
        <v>0</v>
      </c>
      <c r="H111" s="580">
        <f>H69-母公司PL汇总!H44</f>
        <v>0</v>
      </c>
      <c r="I111" s="580">
        <f>I69-母公司PL汇总!I44</f>
        <v>0</v>
      </c>
      <c r="J111" s="580">
        <f>J69-母公司PL汇总!J44</f>
        <v>0</v>
      </c>
      <c r="K111" s="580">
        <f>K69-母公司PL汇总!K44</f>
        <v>0</v>
      </c>
      <c r="L111" s="580">
        <f>L69-母公司PL汇总!L44</f>
        <v>0</v>
      </c>
      <c r="M111" s="580">
        <f>M69-母公司PL汇总!M44</f>
        <v>0</v>
      </c>
      <c r="N111" s="580">
        <f>N69-母公司PL汇总!N44</f>
        <v>0</v>
      </c>
      <c r="O111" s="580">
        <f>O69-母公司PL汇总!O44</f>
        <v>0</v>
      </c>
    </row>
    <row r="112" spans="1:15" s="587" customFormat="1">
      <c r="A112" s="1017" t="s">
        <v>885</v>
      </c>
      <c r="B112" s="646">
        <f>B70-母公司PL汇总!B30</f>
        <v>0</v>
      </c>
      <c r="C112" s="580">
        <f>C70-母公司PL汇总!C30</f>
        <v>0</v>
      </c>
      <c r="D112" s="580">
        <f>D70-母公司PL汇总!D30</f>
        <v>0</v>
      </c>
      <c r="E112" s="580">
        <f>E70-母公司PL汇总!E30</f>
        <v>0</v>
      </c>
      <c r="F112" s="580">
        <f>F70-母公司PL汇总!F30</f>
        <v>0</v>
      </c>
      <c r="G112" s="580">
        <f>G70-母公司PL汇总!G30</f>
        <v>0</v>
      </c>
      <c r="H112" s="580">
        <f>H70-母公司PL汇总!H30</f>
        <v>0</v>
      </c>
      <c r="I112" s="580">
        <f>I70-母公司PL汇总!I30</f>
        <v>0</v>
      </c>
      <c r="J112" s="580">
        <f>J70-母公司PL汇总!J30</f>
        <v>0</v>
      </c>
      <c r="K112" s="580">
        <f>K70-母公司PL汇总!K30</f>
        <v>0</v>
      </c>
      <c r="L112" s="580">
        <f>L70-母公司PL汇总!L30</f>
        <v>0</v>
      </c>
      <c r="M112" s="580">
        <f>M70-母公司PL汇总!M30</f>
        <v>0</v>
      </c>
      <c r="N112" s="580">
        <f>N70-母公司PL汇总!N30</f>
        <v>0</v>
      </c>
      <c r="O112" s="580">
        <f>O70-母公司PL汇总!O30</f>
        <v>0</v>
      </c>
    </row>
    <row r="113" spans="1:15" s="587" customFormat="1">
      <c r="A113" s="1017" t="s">
        <v>118</v>
      </c>
      <c r="B113" s="646">
        <f>B76+母公司PL汇总!B36</f>
        <v>0</v>
      </c>
      <c r="C113" s="646">
        <f>C76+母公司PL汇总!C36</f>
        <v>0</v>
      </c>
      <c r="D113" s="646">
        <f>D76+母公司PL汇总!D36</f>
        <v>0</v>
      </c>
      <c r="E113" s="646">
        <f>E76+母公司PL汇总!E36</f>
        <v>0</v>
      </c>
      <c r="F113" s="646">
        <f>F76+母公司PL汇总!F36</f>
        <v>0</v>
      </c>
      <c r="G113" s="646">
        <f>G76+母公司PL汇总!G36</f>
        <v>0</v>
      </c>
      <c r="H113" s="646">
        <f>H76+母公司PL汇总!H36</f>
        <v>0</v>
      </c>
      <c r="I113" s="646">
        <f>I76+母公司PL汇总!I36</f>
        <v>0</v>
      </c>
      <c r="J113" s="646">
        <f>J76+母公司PL汇总!J36</f>
        <v>0</v>
      </c>
      <c r="K113" s="646">
        <f>K76+母公司PL汇总!K36</f>
        <v>0</v>
      </c>
      <c r="L113" s="646">
        <f>L76+母公司PL汇总!L36</f>
        <v>0</v>
      </c>
      <c r="M113" s="646">
        <f>M76+母公司PL汇总!M36</f>
        <v>0</v>
      </c>
      <c r="N113" s="646">
        <f>N76+母公司PL汇总!N36</f>
        <v>0</v>
      </c>
      <c r="O113" s="646">
        <f>O76+母公司PL汇总!O36</f>
        <v>0</v>
      </c>
    </row>
    <row r="114" spans="1:15" s="587" customFormat="1">
      <c r="A114" s="1017" t="s">
        <v>119</v>
      </c>
      <c r="B114" s="646">
        <f>B77-母公司PL汇总!B27</f>
        <v>0</v>
      </c>
      <c r="C114" s="580">
        <f>C77-母公司PL汇总!C27</f>
        <v>0</v>
      </c>
      <c r="D114" s="580">
        <f>D77-母公司PL汇总!D27</f>
        <v>0</v>
      </c>
      <c r="E114" s="580">
        <f>E77-母公司PL汇总!E27</f>
        <v>0</v>
      </c>
      <c r="F114" s="580">
        <f>F77-母公司PL汇总!F27</f>
        <v>0</v>
      </c>
      <c r="G114" s="580">
        <f>G77-母公司PL汇总!G27</f>
        <v>0</v>
      </c>
      <c r="H114" s="580">
        <f>H77-母公司PL汇总!H27</f>
        <v>0</v>
      </c>
      <c r="I114" s="580">
        <f>I77-母公司PL汇总!I27</f>
        <v>0</v>
      </c>
      <c r="J114" s="580">
        <f>J77-母公司PL汇总!J27</f>
        <v>0</v>
      </c>
      <c r="K114" s="580">
        <f>K77-母公司PL汇总!K27</f>
        <v>0</v>
      </c>
      <c r="L114" s="580">
        <f>L77-母公司PL汇总!L27</f>
        <v>0</v>
      </c>
      <c r="M114" s="580">
        <f>M77-母公司PL汇总!M27</f>
        <v>0</v>
      </c>
      <c r="N114" s="580">
        <f>N77-母公司PL汇总!N27</f>
        <v>0</v>
      </c>
      <c r="O114" s="580">
        <f>O77-母公司PL汇总!O27</f>
        <v>0</v>
      </c>
    </row>
    <row r="115" spans="1:15" s="587" customFormat="1">
      <c r="A115" s="1017" t="s">
        <v>680</v>
      </c>
      <c r="B115" s="646">
        <f>B78+母公司PL汇总!B33</f>
        <v>0</v>
      </c>
      <c r="C115" s="580">
        <f>C78+母公司PL汇总!C33</f>
        <v>0</v>
      </c>
      <c r="D115" s="580">
        <f>D78+母公司PL汇总!D33</f>
        <v>0</v>
      </c>
      <c r="E115" s="580">
        <f>E78+母公司PL汇总!E33</f>
        <v>0</v>
      </c>
      <c r="F115" s="580">
        <f>F78+母公司PL汇总!F33</f>
        <v>0</v>
      </c>
      <c r="G115" s="580">
        <f>G78+母公司PL汇总!G33</f>
        <v>0</v>
      </c>
      <c r="H115" s="580">
        <f>H78+母公司PL汇总!H33</f>
        <v>0</v>
      </c>
      <c r="I115" s="580">
        <f>I78+母公司PL汇总!I33</f>
        <v>0</v>
      </c>
      <c r="J115" s="580">
        <f>J78+母公司PL汇总!J33</f>
        <v>0</v>
      </c>
      <c r="K115" s="580">
        <f>K78+母公司PL汇总!K33</f>
        <v>0</v>
      </c>
      <c r="L115" s="580">
        <f>L78+母公司PL汇总!L33</f>
        <v>0</v>
      </c>
      <c r="M115" s="580">
        <f>M78+母公司PL汇总!M33</f>
        <v>0</v>
      </c>
      <c r="N115" s="580">
        <f>N78+母公司PL汇总!N33</f>
        <v>0</v>
      </c>
      <c r="O115" s="580">
        <f>O78+母公司PL汇总!O33</f>
        <v>0</v>
      </c>
    </row>
    <row r="116" spans="1:15">
      <c r="A116" s="1017" t="s">
        <v>681</v>
      </c>
      <c r="B116" s="646">
        <f>B94-母公司BS汇总!B7</f>
        <v>0</v>
      </c>
      <c r="C116" s="580">
        <f>C94-母公司BS汇总!C7</f>
        <v>0</v>
      </c>
      <c r="D116" s="580">
        <f>D94-母公司BS汇总!D7</f>
        <v>0</v>
      </c>
      <c r="E116" s="580">
        <f>E94-母公司BS汇总!E7</f>
        <v>0</v>
      </c>
      <c r="F116" s="580">
        <f>F94-母公司BS汇总!F7</f>
        <v>0</v>
      </c>
      <c r="G116" s="580">
        <f>G94-母公司BS汇总!G7</f>
        <v>0</v>
      </c>
      <c r="H116" s="580">
        <f>H94-母公司BS汇总!H7</f>
        <v>0</v>
      </c>
      <c r="I116" s="580">
        <f>I94-母公司BS汇总!I7</f>
        <v>0</v>
      </c>
      <c r="J116" s="580">
        <f>J94-母公司BS汇总!J7</f>
        <v>0</v>
      </c>
      <c r="K116" s="580">
        <f>K94-母公司BS汇总!K7</f>
        <v>0</v>
      </c>
      <c r="L116" s="580">
        <f>L94-母公司BS汇总!L7</f>
        <v>0</v>
      </c>
      <c r="M116" s="580">
        <f>M94-母公司BS汇总!M7</f>
        <v>0</v>
      </c>
      <c r="N116" s="580">
        <f>N94-母公司BS汇总!N7</f>
        <v>0</v>
      </c>
      <c r="O116" s="580">
        <f>O94-母公司BS汇总!O7</f>
        <v>0</v>
      </c>
    </row>
  </sheetData>
  <phoneticPr fontId="13" type="noConversion"/>
  <printOptions horizontalCentered="1"/>
  <pageMargins left="0.74803149606299202" right="0.74803149606299202" top="0.98425196850393704" bottom="0.98425196850393704" header="0.511811023622047" footer="0.511811023622047"/>
  <pageSetup paperSize="9" scale="44" orientation="portrait" cellComments="asDisplayed" r:id="rId1"/>
  <headerFooter alignWithMargins="0">
    <oddHeader>&amp;C&amp;F/&amp;A&amp;R
&amp;T  &amp;D</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sheetPr>
  <dimension ref="A1:O234"/>
  <sheetViews>
    <sheetView showZeros="0" workbookViewId="0">
      <selection activeCell="Q18" sqref="Q18"/>
    </sheetView>
  </sheetViews>
  <sheetFormatPr defaultColWidth="9" defaultRowHeight="13.5"/>
  <cols>
    <col min="1" max="1" width="3.125" style="201" customWidth="1"/>
    <col min="2" max="2" width="5.5" style="201" customWidth="1"/>
    <col min="3" max="3" width="17.75" style="824" customWidth="1"/>
    <col min="4" max="4" width="3.25" style="825" customWidth="1"/>
    <col min="5" max="5" width="9.875" style="826" customWidth="1"/>
    <col min="6" max="6" width="11.75" style="826" customWidth="1"/>
    <col min="7" max="7" width="3.75" style="825" customWidth="1"/>
    <col min="8" max="8" width="9.75" style="826" customWidth="1"/>
    <col min="9" max="9" width="10.5" style="826" customWidth="1"/>
    <col min="10" max="10" width="11.125" style="821" customWidth="1"/>
    <col min="11" max="11" width="8" style="826" customWidth="1"/>
    <col min="12" max="12" width="9" style="826"/>
    <col min="13" max="13" width="1" style="826" customWidth="1"/>
    <col min="14" max="14" width="6" style="827" customWidth="1"/>
    <col min="15" max="15" width="22.375" style="828" bestFit="1" customWidth="1"/>
    <col min="16" max="16384" width="9" style="826"/>
  </cols>
  <sheetData>
    <row r="1" spans="1:15" s="20" customFormat="1" ht="19.5" customHeight="1">
      <c r="A1" s="128" t="str">
        <f>IF((L2-(母公司TB资产!C60+母公司TB负债!C63+母公司TB损益!C90)-IF(COUNTIF(E5:E668,"未分配利润")&gt;=1,VLOOKUP("未分配利润",E5:J668,6,0),0))&lt;0.005,"母公司汇总抵销","调整事项未全部链入试算平衡表，请检查调整科目是否为报表项目!")</f>
        <v>母公司汇总抵销</v>
      </c>
      <c r="B1" s="18"/>
      <c r="C1" s="147"/>
      <c r="D1" s="19"/>
      <c r="E1" s="19"/>
      <c r="F1" s="19"/>
      <c r="G1" s="19"/>
      <c r="H1" s="19"/>
      <c r="I1" s="19"/>
      <c r="J1" s="143"/>
      <c r="K1" s="564">
        <f>SUM(L2:L3)</f>
        <v>0</v>
      </c>
      <c r="L1" s="564"/>
      <c r="N1" s="80" t="s">
        <v>452</v>
      </c>
      <c r="O1" s="81" t="s">
        <v>354</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日期：2019.12.31</v>
      </c>
      <c r="J2" s="144" t="s">
        <v>282</v>
      </c>
      <c r="K2" s="565" t="s">
        <v>283</v>
      </c>
      <c r="L2" s="566">
        <f>SUMIF(E5:E65538,"?*",J5:J65538)</f>
        <v>0</v>
      </c>
      <c r="N2" s="82"/>
      <c r="O2" s="83"/>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5" t="s">
        <v>285</v>
      </c>
      <c r="L3" s="566">
        <f>SUMIF(H5:H65538,"?*",J5:J65538)</f>
        <v>0</v>
      </c>
      <c r="N3" s="82"/>
      <c r="O3" s="83"/>
    </row>
    <row r="4" spans="1:15" s="23" customFormat="1">
      <c r="A4" s="569" t="s">
        <v>311</v>
      </c>
      <c r="B4" s="124" t="s">
        <v>286</v>
      </c>
      <c r="C4" s="149" t="s">
        <v>550</v>
      </c>
      <c r="D4" s="126" t="s">
        <v>452</v>
      </c>
      <c r="E4" s="125" t="s">
        <v>288</v>
      </c>
      <c r="F4" s="127" t="s">
        <v>289</v>
      </c>
      <c r="G4" s="126" t="s">
        <v>452</v>
      </c>
      <c r="H4" s="125" t="s">
        <v>290</v>
      </c>
      <c r="I4" s="127" t="s">
        <v>289</v>
      </c>
      <c r="J4" s="145" t="s">
        <v>262</v>
      </c>
      <c r="K4" s="567"/>
      <c r="L4" s="568">
        <f>L2-L3</f>
        <v>0</v>
      </c>
      <c r="N4" s="82"/>
      <c r="O4" s="83"/>
    </row>
    <row r="5" spans="1:15" s="23" customFormat="1">
      <c r="A5" s="1159">
        <v>1</v>
      </c>
      <c r="B5" s="1162"/>
      <c r="C5" s="1165"/>
      <c r="D5" s="17"/>
      <c r="E5" s="21" t="str">
        <f t="shared" ref="E5:E12" si="0">IF(D5=0,"",VLOOKUP(D5,$N:$O,2,0))</f>
        <v/>
      </c>
      <c r="F5" s="811"/>
      <c r="G5" s="25"/>
      <c r="H5" s="26" t="str">
        <f t="shared" ref="H5:H12" si="1">IF(G5=0,"",VLOOKUP(G5,$N:$O,2,0))</f>
        <v/>
      </c>
      <c r="I5" s="313"/>
      <c r="J5" s="142"/>
      <c r="K5" s="171" t="s">
        <v>453</v>
      </c>
      <c r="N5" s="82">
        <f>报表格式!Z5</f>
        <v>0</v>
      </c>
      <c r="O5" s="71" t="str">
        <f>IF(OR(MID(TRIM(报表格式!AA5),2,1)="：",MID(TRIM(报表格式!AA5),2,1)="、"),REPLACEB(TRIM(报表格式!AA5),1,4,""),TRIM(报表格式!AA5))</f>
        <v>流动资产：</v>
      </c>
    </row>
    <row r="6" spans="1:15" s="23" customFormat="1">
      <c r="A6" s="1160"/>
      <c r="B6" s="1163"/>
      <c r="C6" s="1166"/>
      <c r="D6" s="17"/>
      <c r="E6" s="26" t="str">
        <f t="shared" si="0"/>
        <v/>
      </c>
      <c r="F6" s="811"/>
      <c r="G6" s="27"/>
      <c r="H6" s="26" t="str">
        <f t="shared" si="1"/>
        <v/>
      </c>
      <c r="I6" s="868"/>
      <c r="J6" s="142"/>
      <c r="K6" s="171" t="s">
        <v>454</v>
      </c>
      <c r="N6" s="84" t="str">
        <f>报表格式!Z6</f>
        <v>D1</v>
      </c>
      <c r="O6" s="28" t="str">
        <f>IF(OR(MID(TRIM(报表格式!AA6),2,1)="：",MID(TRIM(报表格式!AA6),2,1)="、"),REPLACEB(TRIM(报表格式!AA6),1,4,""),TRIM(报表格式!AA6))</f>
        <v>货币资金</v>
      </c>
    </row>
    <row r="7" spans="1:15" s="23" customFormat="1">
      <c r="A7" s="1160"/>
      <c r="B7" s="1163"/>
      <c r="C7" s="1166"/>
      <c r="D7" s="17"/>
      <c r="E7" s="26" t="str">
        <f t="shared" si="0"/>
        <v/>
      </c>
      <c r="F7" s="811"/>
      <c r="G7" s="27"/>
      <c r="H7" s="26" t="str">
        <f t="shared" si="1"/>
        <v/>
      </c>
      <c r="I7" s="313"/>
      <c r="J7" s="142"/>
      <c r="K7" s="171"/>
      <c r="N7" s="84" t="str">
        <f>报表格式!Z7</f>
        <v>D41</v>
      </c>
      <c r="O7" s="28" t="str">
        <f>IF(OR(MID(TRIM(报表格式!AA7),2,1)="：",MID(TRIM(报表格式!AA7),2,1)="、"),REPLACEB(TRIM(报表格式!AA7),1,4,""),TRIM(报表格式!AA7))</f>
        <v>结算备付金</v>
      </c>
    </row>
    <row r="8" spans="1:15" s="23" customFormat="1">
      <c r="A8" s="1160"/>
      <c r="B8" s="1163"/>
      <c r="C8" s="1166"/>
      <c r="D8" s="17"/>
      <c r="E8" s="26" t="str">
        <f t="shared" si="0"/>
        <v/>
      </c>
      <c r="F8" s="313"/>
      <c r="G8" s="27"/>
      <c r="H8" s="26" t="str">
        <f t="shared" si="1"/>
        <v/>
      </c>
      <c r="I8" s="811"/>
      <c r="J8" s="142"/>
      <c r="N8" s="84" t="str">
        <f>报表格式!Z8</f>
        <v>D42</v>
      </c>
      <c r="O8" s="28" t="str">
        <f>IF(OR(MID(TRIM(报表格式!AA8),2,1)="：",MID(TRIM(报表格式!AA8),2,1)="、"),REPLACEB(TRIM(报表格式!AA8),1,4,""),TRIM(报表格式!AA8))</f>
        <v>拆出资金</v>
      </c>
    </row>
    <row r="9" spans="1:15" s="23" customFormat="1">
      <c r="A9" s="1160"/>
      <c r="B9" s="1163"/>
      <c r="C9" s="1166"/>
      <c r="D9" s="17"/>
      <c r="E9" s="26" t="str">
        <f t="shared" si="0"/>
        <v/>
      </c>
      <c r="F9" s="313"/>
      <c r="G9" s="27"/>
      <c r="H9" s="26" t="str">
        <f t="shared" si="1"/>
        <v/>
      </c>
      <c r="I9" s="313"/>
      <c r="J9" s="142"/>
      <c r="N9" s="84" t="str">
        <f>报表格式!Z9</f>
        <v>D2</v>
      </c>
      <c r="O9" s="28" t="str">
        <f>IF(OR(MID(TRIM(报表格式!AA9),2,1)="：",MID(TRIM(报表格式!AA9),2,1)="、"),REPLACEB(TRIM(报表格式!AA9),1,4,""),TRIM(报表格式!AA9))</f>
        <v>交易性金融资产</v>
      </c>
    </row>
    <row r="10" spans="1:15" s="23" customFormat="1">
      <c r="A10" s="1160"/>
      <c r="B10" s="1163"/>
      <c r="C10" s="1166"/>
      <c r="D10" s="17"/>
      <c r="E10" s="26" t="str">
        <f t="shared" si="0"/>
        <v/>
      </c>
      <c r="F10" s="313"/>
      <c r="G10" s="27"/>
      <c r="H10" s="26" t="str">
        <f t="shared" si="1"/>
        <v/>
      </c>
      <c r="I10" s="313"/>
      <c r="J10" s="142"/>
      <c r="N10" s="84" t="str">
        <f>报表格式!Z10</f>
        <v>D3</v>
      </c>
      <c r="O10" s="28" t="str">
        <f>IF(OR(MID(TRIM(报表格式!AA10),2,1)="：",MID(TRIM(报表格式!AA10),2,1)="、"),REPLACEB(TRIM(报表格式!AA10),1,4,""),TRIM(报表格式!AA10))</f>
        <v>以公允价值计量且其变动计入当期损益的金融资产</v>
      </c>
    </row>
    <row r="11" spans="1:15" s="23" customFormat="1">
      <c r="A11" s="1160"/>
      <c r="B11" s="1163"/>
      <c r="C11" s="1166"/>
      <c r="D11" s="17"/>
      <c r="E11" s="26" t="str">
        <f t="shared" si="0"/>
        <v/>
      </c>
      <c r="F11" s="313"/>
      <c r="G11" s="27"/>
      <c r="H11" s="26" t="str">
        <f t="shared" si="1"/>
        <v/>
      </c>
      <c r="I11" s="313"/>
      <c r="J11" s="142"/>
      <c r="N11" s="84" t="str">
        <f>报表格式!Z11</f>
        <v>D4</v>
      </c>
      <c r="O11" s="28" t="str">
        <f>IF(OR(MID(TRIM(报表格式!AA11),2,1)="：",MID(TRIM(报表格式!AA11),2,1)="、"),REPLACEB(TRIM(报表格式!AA11),1,4,""),TRIM(报表格式!AA11))</f>
        <v>衍生金融资产</v>
      </c>
    </row>
    <row r="12" spans="1:15" s="23" customFormat="1">
      <c r="A12" s="1161"/>
      <c r="B12" s="1164"/>
      <c r="C12" s="1167"/>
      <c r="D12" s="17"/>
      <c r="E12" s="26" t="str">
        <f t="shared" si="0"/>
        <v/>
      </c>
      <c r="F12" s="313"/>
      <c r="G12" s="27"/>
      <c r="H12" s="26" t="str">
        <f t="shared" si="1"/>
        <v/>
      </c>
      <c r="I12" s="313"/>
      <c r="J12" s="142"/>
      <c r="N12" s="84" t="str">
        <f>报表格式!Z12</f>
        <v>D5</v>
      </c>
      <c r="O12" s="28" t="str">
        <f>IF(OR(MID(TRIM(报表格式!AA12),2,1)="：",MID(TRIM(报表格式!AA12),2,1)="、"),REPLACEB(TRIM(报表格式!AA12),1,4,""),TRIM(报表格式!AA12))</f>
        <v>应收票据</v>
      </c>
    </row>
    <row r="13" spans="1:15" s="23" customFormat="1">
      <c r="A13" s="448"/>
      <c r="B13" s="448"/>
      <c r="C13" s="449"/>
      <c r="D13" s="450"/>
      <c r="E13" s="451"/>
      <c r="F13" s="451"/>
      <c r="G13" s="450"/>
      <c r="H13" s="451"/>
      <c r="I13" s="451"/>
      <c r="J13" s="452" t="str">
        <f>IF(ABS((SUMIF(E5:E12,"?*",J5:J12)-SUMIF(H5:H12,"?*",J5:J12)))&lt;0.005,"","借贷不等")</f>
        <v/>
      </c>
      <c r="K13" s="24"/>
      <c r="N13" s="84" t="str">
        <f>报表格式!Z13</f>
        <v>D6</v>
      </c>
      <c r="O13" s="28" t="str">
        <f>IF(OR(MID(TRIM(报表格式!AA13),2,1)="：",MID(TRIM(报表格式!AA13),2,1)="、"),REPLACEB(TRIM(报表格式!AA13),1,4,""),TRIM(报表格式!AA13))</f>
        <v>应收账款</v>
      </c>
    </row>
    <row r="14" spans="1:15" s="23" customFormat="1">
      <c r="A14" s="1159">
        <v>2</v>
      </c>
      <c r="B14" s="1162"/>
      <c r="C14" s="1165"/>
      <c r="D14" s="17"/>
      <c r="E14" s="26" t="str">
        <f t="shared" ref="E14:E19" si="2">IF(D14=0,"",VLOOKUP(D14,$N:$O,2,0))</f>
        <v/>
      </c>
      <c r="F14" s="313"/>
      <c r="G14" s="27"/>
      <c r="H14" s="26" t="str">
        <f t="shared" ref="H14:H19" si="3">IF(G14=0,"",VLOOKUP(G14,$N:$O,2,0))</f>
        <v/>
      </c>
      <c r="I14" s="313"/>
      <c r="J14" s="142"/>
      <c r="K14" s="24"/>
      <c r="N14" s="84" t="str">
        <f>报表格式!Z14</f>
        <v>D7</v>
      </c>
      <c r="O14" s="28" t="str">
        <f>IF(OR(MID(TRIM(报表格式!AA14),2,1)="：",MID(TRIM(报表格式!AA14),2,1)="、"),REPLACEB(TRIM(报表格式!AA14),1,4,""),TRIM(报表格式!AA14))</f>
        <v>应收款项融资</v>
      </c>
    </row>
    <row r="15" spans="1:15" s="23" customFormat="1">
      <c r="A15" s="1160"/>
      <c r="B15" s="1163"/>
      <c r="C15" s="1166"/>
      <c r="D15" s="17"/>
      <c r="E15" s="26" t="str">
        <f t="shared" si="2"/>
        <v/>
      </c>
      <c r="F15" s="313"/>
      <c r="G15" s="27"/>
      <c r="H15" s="26" t="str">
        <f t="shared" si="3"/>
        <v/>
      </c>
      <c r="I15" s="313"/>
      <c r="J15" s="142"/>
      <c r="K15" s="24"/>
      <c r="N15" s="84" t="str">
        <f>报表格式!Z15</f>
        <v>D8</v>
      </c>
      <c r="O15" s="28" t="str">
        <f>IF(OR(MID(TRIM(报表格式!AA15),2,1)="：",MID(TRIM(报表格式!AA15),2,1)="、"),REPLACEB(TRIM(报表格式!AA15),1,4,""),TRIM(报表格式!AA15))</f>
        <v>预付款项</v>
      </c>
    </row>
    <row r="16" spans="1:15" s="23" customFormat="1">
      <c r="A16" s="1160"/>
      <c r="B16" s="1163"/>
      <c r="C16" s="1166"/>
      <c r="D16" s="17"/>
      <c r="E16" s="26" t="str">
        <f t="shared" si="2"/>
        <v/>
      </c>
      <c r="F16" s="313"/>
      <c r="G16" s="27"/>
      <c r="H16" s="26" t="str">
        <f t="shared" si="3"/>
        <v/>
      </c>
      <c r="I16" s="313"/>
      <c r="J16" s="142"/>
      <c r="K16" s="24"/>
      <c r="N16" s="84" t="str">
        <f>报表格式!Z16</f>
        <v>D43</v>
      </c>
      <c r="O16" s="28" t="str">
        <f>IF(OR(MID(TRIM(报表格式!AA16),2,1)="：",MID(TRIM(报表格式!AA16),2,1)="、"),REPLACEB(TRIM(报表格式!AA16),1,4,""),TRIM(报表格式!AA16))</f>
        <v>应收保费</v>
      </c>
    </row>
    <row r="17" spans="1:15" s="23" customFormat="1">
      <c r="A17" s="1160"/>
      <c r="B17" s="1163"/>
      <c r="C17" s="1166"/>
      <c r="D17" s="17"/>
      <c r="E17" s="26" t="str">
        <f t="shared" si="2"/>
        <v/>
      </c>
      <c r="F17" s="313"/>
      <c r="G17" s="27"/>
      <c r="H17" s="26" t="str">
        <f t="shared" si="3"/>
        <v/>
      </c>
      <c r="I17" s="313"/>
      <c r="J17" s="142"/>
      <c r="N17" s="84" t="str">
        <f>报表格式!Z17</f>
        <v>D44</v>
      </c>
      <c r="O17" s="28" t="str">
        <f>IF(OR(MID(TRIM(报表格式!AA17),2,1)="：",MID(TRIM(报表格式!AA17),2,1)="、"),REPLACEB(TRIM(报表格式!AA17),1,4,""),TRIM(报表格式!AA17))</f>
        <v>应收分保账款</v>
      </c>
    </row>
    <row r="18" spans="1:15" s="23" customFormat="1">
      <c r="A18" s="1160"/>
      <c r="B18" s="1163"/>
      <c r="C18" s="1166"/>
      <c r="D18" s="17"/>
      <c r="E18" s="26" t="str">
        <f t="shared" si="2"/>
        <v/>
      </c>
      <c r="F18" s="313"/>
      <c r="G18" s="27"/>
      <c r="H18" s="26" t="str">
        <f t="shared" si="3"/>
        <v/>
      </c>
      <c r="I18" s="313"/>
      <c r="J18" s="142"/>
      <c r="N18" s="84" t="str">
        <f>报表格式!Z18</f>
        <v>D45</v>
      </c>
      <c r="O18" s="28" t="str">
        <f>IF(OR(MID(TRIM(报表格式!AA18),2,1)="：",MID(TRIM(报表格式!AA18),2,1)="、"),REPLACEB(TRIM(报表格式!AA18),1,4,""),TRIM(报表格式!AA18))</f>
        <v>应收分保准备金</v>
      </c>
    </row>
    <row r="19" spans="1:15" s="23" customFormat="1">
      <c r="A19" s="1161"/>
      <c r="B19" s="1164"/>
      <c r="C19" s="1167"/>
      <c r="D19" s="17"/>
      <c r="E19" s="26" t="str">
        <f t="shared" si="2"/>
        <v/>
      </c>
      <c r="F19" s="313"/>
      <c r="G19" s="27"/>
      <c r="H19" s="26" t="str">
        <f t="shared" si="3"/>
        <v/>
      </c>
      <c r="I19" s="313"/>
      <c r="J19" s="142"/>
      <c r="N19" s="84" t="str">
        <f>报表格式!Z19</f>
        <v>D9</v>
      </c>
      <c r="O19" s="28" t="str">
        <f>IF(OR(MID(TRIM(报表格式!AA19),2,1)="：",MID(TRIM(报表格式!AA19),2,1)="、"),REPLACEB(TRIM(报表格式!AA19),1,4,""),TRIM(报表格式!AA19))</f>
        <v>其他应收款</v>
      </c>
    </row>
    <row r="20" spans="1:15" s="23" customFormat="1">
      <c r="A20" s="453"/>
      <c r="B20" s="453"/>
      <c r="C20" s="454"/>
      <c r="D20" s="455"/>
      <c r="E20" s="456"/>
      <c r="F20" s="456"/>
      <c r="G20" s="455"/>
      <c r="H20" s="456"/>
      <c r="I20" s="456"/>
      <c r="J20" s="457" t="str">
        <f>IF(ABS((SUMIF(E14:E19,"?*",J14:J19)-SUMIF(H14:H19,"?*",J14:J19)))&lt;0.005,"","借贷不等")</f>
        <v/>
      </c>
      <c r="N20" s="84">
        <f>报表格式!Z20</f>
        <v>0</v>
      </c>
      <c r="O20" s="28" t="str">
        <f>IF(OR(MID(TRIM(报表格式!AA20),3,1)="：",MID(TRIM(报表格式!AA20),2,1)="、"),REPLACEB(TRIM(报表格式!AA20),1,6,""),TRIM(报表格式!AA20))</f>
        <v>应收利息</v>
      </c>
    </row>
    <row r="21" spans="1:15" s="23" customFormat="1">
      <c r="A21" s="1159">
        <v>3</v>
      </c>
      <c r="B21" s="1162"/>
      <c r="C21" s="1165"/>
      <c r="D21" s="17"/>
      <c r="E21" s="26" t="str">
        <f t="shared" ref="E21:E26" si="4">IF(D21=0,"",VLOOKUP(D21,$N:$O,2,0))</f>
        <v/>
      </c>
      <c r="F21" s="313"/>
      <c r="G21" s="27"/>
      <c r="H21" s="26" t="str">
        <f t="shared" ref="H21:H26" si="5">IF(G21=0,"",VLOOKUP(G21,$N:$O,2,0))</f>
        <v/>
      </c>
      <c r="I21" s="313"/>
      <c r="J21" s="142"/>
      <c r="N21" s="84">
        <f>报表格式!Z21</f>
        <v>0</v>
      </c>
      <c r="O21" s="28" t="str">
        <f>IF(OR(MID(TRIM(报表格式!AA21),2,1)="：",MID(TRIM(报表格式!AA21),2,1)="、"),REPLACEB(TRIM(报表格式!AA21),1,4,""),TRIM(报表格式!AA21))</f>
        <v>应收股利</v>
      </c>
    </row>
    <row r="22" spans="1:15" s="23" customFormat="1">
      <c r="A22" s="1160"/>
      <c r="B22" s="1163"/>
      <c r="C22" s="1166"/>
      <c r="D22" s="17"/>
      <c r="E22" s="26" t="str">
        <f t="shared" si="4"/>
        <v/>
      </c>
      <c r="F22" s="313"/>
      <c r="G22" s="27"/>
      <c r="H22" s="26" t="str">
        <f t="shared" si="5"/>
        <v/>
      </c>
      <c r="I22" s="313"/>
      <c r="J22" s="142"/>
      <c r="N22" s="84" t="str">
        <f>报表格式!Z22</f>
        <v>D46</v>
      </c>
      <c r="O22" s="28" t="str">
        <f>IF(OR(MID(TRIM(报表格式!AA22),2,1)="：",MID(TRIM(报表格式!AA22),2,1)="、"),REPLACEB(TRIM(报表格式!AA22),1,4,""),TRIM(报表格式!AA22))</f>
        <v>买入返售金融资产</v>
      </c>
    </row>
    <row r="23" spans="1:15" s="23" customFormat="1">
      <c r="A23" s="1160"/>
      <c r="B23" s="1163"/>
      <c r="C23" s="1166"/>
      <c r="D23" s="17"/>
      <c r="E23" s="26" t="str">
        <f t="shared" si="4"/>
        <v/>
      </c>
      <c r="F23" s="313"/>
      <c r="G23" s="27"/>
      <c r="H23" s="26" t="str">
        <f t="shared" si="5"/>
        <v/>
      </c>
      <c r="I23" s="313"/>
      <c r="J23" s="142"/>
      <c r="N23" s="84" t="str">
        <f>报表格式!Z23</f>
        <v>D10</v>
      </c>
      <c r="O23" s="28" t="str">
        <f>IF(OR(MID(TRIM(报表格式!AA23),2,1)="：",MID(TRIM(报表格式!AA23),2,1)="、"),REPLACEB(TRIM(报表格式!AA23),1,4,""),TRIM(报表格式!AA23))</f>
        <v>存货</v>
      </c>
    </row>
    <row r="24" spans="1:15" s="23" customFormat="1">
      <c r="A24" s="1160"/>
      <c r="B24" s="1163"/>
      <c r="C24" s="1166"/>
      <c r="D24" s="17"/>
      <c r="E24" s="26" t="str">
        <f t="shared" si="4"/>
        <v/>
      </c>
      <c r="F24" s="313"/>
      <c r="G24" s="27"/>
      <c r="H24" s="26" t="str">
        <f t="shared" si="5"/>
        <v/>
      </c>
      <c r="I24" s="313"/>
      <c r="J24" s="142"/>
      <c r="N24" s="84" t="str">
        <f>报表格式!Z24</f>
        <v>D11</v>
      </c>
      <c r="O24" s="28" t="str">
        <f>IF(OR(MID(TRIM(报表格式!AA24),3,1)="：",MID(TRIM(报表格式!AA24),2,1)="、"),REPLACEB(TRIM(报表格式!AA24),1,6,""),TRIM(报表格式!AA24))</f>
        <v>合同资产</v>
      </c>
    </row>
    <row r="25" spans="1:15" s="23" customFormat="1">
      <c r="A25" s="1160"/>
      <c r="B25" s="1163"/>
      <c r="C25" s="1166"/>
      <c r="D25" s="17"/>
      <c r="E25" s="26" t="str">
        <f t="shared" si="4"/>
        <v/>
      </c>
      <c r="F25" s="313"/>
      <c r="G25" s="27"/>
      <c r="H25" s="26" t="str">
        <f t="shared" si="5"/>
        <v/>
      </c>
      <c r="I25" s="313"/>
      <c r="J25" s="142"/>
      <c r="N25" s="84" t="str">
        <f>报表格式!Z25</f>
        <v>D12</v>
      </c>
      <c r="O25" s="28" t="str">
        <f>IF(OR(MID(TRIM(报表格式!AA25),2,1)="：",MID(TRIM(报表格式!AA25),2,1)="、"),REPLACEB(TRIM(报表格式!AA25),1,4,""),TRIM(报表格式!AA25))</f>
        <v>持有待售资产</v>
      </c>
    </row>
    <row r="26" spans="1:15" s="23" customFormat="1">
      <c r="A26" s="1161"/>
      <c r="B26" s="1164"/>
      <c r="C26" s="1167"/>
      <c r="D26" s="17"/>
      <c r="E26" s="26" t="str">
        <f t="shared" si="4"/>
        <v/>
      </c>
      <c r="F26" s="313"/>
      <c r="G26" s="27"/>
      <c r="H26" s="26" t="str">
        <f t="shared" si="5"/>
        <v/>
      </c>
      <c r="I26" s="313"/>
      <c r="J26" s="142"/>
      <c r="N26" s="84" t="str">
        <f>报表格式!Z26</f>
        <v>D13</v>
      </c>
      <c r="O26" s="28" t="str">
        <f>IF(OR(MID(TRIM(报表格式!AA26),2,1)="：",MID(TRIM(报表格式!AA26),2,1)="、"),REPLACEB(TRIM(报表格式!AA26),1,4,""),TRIM(报表格式!AA26))</f>
        <v>一年内到期的非流动资产</v>
      </c>
    </row>
    <row r="27" spans="1:15" s="23" customFormat="1">
      <c r="A27" s="453"/>
      <c r="B27" s="453"/>
      <c r="C27" s="454"/>
      <c r="D27" s="455"/>
      <c r="E27" s="456"/>
      <c r="F27" s="456"/>
      <c r="G27" s="455"/>
      <c r="H27" s="456"/>
      <c r="I27" s="456"/>
      <c r="J27" s="457" t="str">
        <f>IF(ABS((SUMIF(E21:E26,"?*",J21:J26)-SUMIF(H21:H26,"?*",J21:J26)))&lt;0.005,"","借贷不等")</f>
        <v/>
      </c>
      <c r="N27" s="84" t="str">
        <f>报表格式!Z27</f>
        <v>D14</v>
      </c>
      <c r="O27" s="28" t="str">
        <f>IF(OR(MID(TRIM(报表格式!AA27),2,1)="：",MID(TRIM(报表格式!AA27),2,1)="、"),REPLACEB(TRIM(报表格式!AA27),1,4,""),TRIM(报表格式!AA27))</f>
        <v>其他流动资产</v>
      </c>
    </row>
    <row r="28" spans="1:15" s="23" customFormat="1">
      <c r="A28" s="1159">
        <v>4</v>
      </c>
      <c r="B28" s="1162"/>
      <c r="C28" s="1165"/>
      <c r="D28" s="17"/>
      <c r="E28" s="26" t="str">
        <f t="shared" ref="E28:E33" si="6">IF(D28=0,"",VLOOKUP(D28,$N:$O,2,0))</f>
        <v/>
      </c>
      <c r="F28" s="313"/>
      <c r="G28" s="27"/>
      <c r="H28" s="26" t="str">
        <f t="shared" ref="H28:H33" si="7">IF(G28=0,"",VLOOKUP(G28,$N:$O,2,0))</f>
        <v/>
      </c>
      <c r="I28" s="313"/>
      <c r="J28" s="142"/>
      <c r="N28" s="84" t="str">
        <f>报表格式!Z28</f>
        <v>D15</v>
      </c>
      <c r="O28" s="28" t="str">
        <f>IF(OR(MID(TRIM(报表格式!AA28),2,1)="：",MID(TRIM(报表格式!AA28),2,1)="、"),REPLACEB(TRIM(报表格式!AA28),1,4,""),TRIM(报表格式!AA28))</f>
        <v>0</v>
      </c>
    </row>
    <row r="29" spans="1:15" s="23" customFormat="1">
      <c r="A29" s="1160"/>
      <c r="B29" s="1163"/>
      <c r="C29" s="1166"/>
      <c r="D29" s="17"/>
      <c r="E29" s="26" t="str">
        <f t="shared" si="6"/>
        <v/>
      </c>
      <c r="F29" s="313"/>
      <c r="G29" s="27"/>
      <c r="H29" s="26" t="str">
        <f t="shared" si="7"/>
        <v/>
      </c>
      <c r="I29" s="313"/>
      <c r="J29" s="142"/>
      <c r="N29" s="84" t="str">
        <f>报表格式!Z29</f>
        <v>D16</v>
      </c>
      <c r="O29" s="28" t="str">
        <f>IF(OR(MID(TRIM(报表格式!AA29),2,1)="：",MID(TRIM(报表格式!AA29),2,1)="、"),REPLACEB(TRIM(报表格式!AA29),1,4,""),TRIM(报表格式!AA29))</f>
        <v>0</v>
      </c>
    </row>
    <row r="30" spans="1:15" s="23" customFormat="1">
      <c r="A30" s="1160"/>
      <c r="B30" s="1163"/>
      <c r="C30" s="1166"/>
      <c r="D30" s="17"/>
      <c r="E30" s="26" t="str">
        <f t="shared" si="6"/>
        <v/>
      </c>
      <c r="F30" s="313"/>
      <c r="G30" s="27"/>
      <c r="H30" s="26" t="str">
        <f t="shared" si="7"/>
        <v/>
      </c>
      <c r="I30" s="313"/>
      <c r="J30" s="142"/>
      <c r="N30" s="84">
        <f>报表格式!Z30</f>
        <v>0</v>
      </c>
      <c r="O30" s="859" t="str">
        <f>IF(OR(MID(TRIM(报表格式!AA30),2,1)="：",MID(TRIM(报表格式!AA30),2,1)="、"),REPLACEB(TRIM(报表格式!AA30),1,4,""),TRIM(报表格式!AA30))</f>
        <v>流动资产合计</v>
      </c>
    </row>
    <row r="31" spans="1:15" s="23" customFormat="1">
      <c r="A31" s="1160"/>
      <c r="B31" s="1163"/>
      <c r="C31" s="1166"/>
      <c r="D31" s="17"/>
      <c r="E31" s="26" t="str">
        <f t="shared" si="6"/>
        <v/>
      </c>
      <c r="F31" s="313"/>
      <c r="G31" s="27"/>
      <c r="H31" s="26" t="str">
        <f t="shared" si="7"/>
        <v/>
      </c>
      <c r="I31" s="313"/>
      <c r="J31" s="142"/>
      <c r="N31" s="84">
        <f>报表格式!Z31</f>
        <v>0</v>
      </c>
      <c r="O31" s="859" t="str">
        <f>IF(OR(MID(TRIM(报表格式!AA31),2,1)="：",MID(TRIM(报表格式!AA31),2,1)="、"),REPLACEB(TRIM(报表格式!AA31),1,4,""),TRIM(报表格式!AA31))</f>
        <v>非流动资产:</v>
      </c>
    </row>
    <row r="32" spans="1:15" s="23" customFormat="1">
      <c r="A32" s="1160"/>
      <c r="B32" s="1163"/>
      <c r="C32" s="1166"/>
      <c r="D32" s="17"/>
      <c r="E32" s="26" t="str">
        <f t="shared" si="6"/>
        <v/>
      </c>
      <c r="F32" s="313"/>
      <c r="G32" s="27"/>
      <c r="H32" s="26" t="str">
        <f t="shared" si="7"/>
        <v/>
      </c>
      <c r="I32" s="313"/>
      <c r="J32" s="142"/>
      <c r="N32" s="84" t="str">
        <f>报表格式!Z32</f>
        <v>D47</v>
      </c>
      <c r="O32" s="28" t="str">
        <f>IF(OR(MID(TRIM(报表格式!AA32),2,1)="：",MID(TRIM(报表格式!AA32),2,1)="、"),REPLACEB(TRIM(报表格式!AA32),1,4,""),TRIM(报表格式!AA32))</f>
        <v>发放贷款及垫款</v>
      </c>
    </row>
    <row r="33" spans="1:15" s="23" customFormat="1">
      <c r="A33" s="1161"/>
      <c r="B33" s="1164"/>
      <c r="C33" s="1167"/>
      <c r="D33" s="17"/>
      <c r="E33" s="26" t="str">
        <f t="shared" si="6"/>
        <v/>
      </c>
      <c r="F33" s="313"/>
      <c r="G33" s="27"/>
      <c r="H33" s="26" t="str">
        <f t="shared" si="7"/>
        <v/>
      </c>
      <c r="I33" s="313"/>
      <c r="J33" s="142"/>
      <c r="N33" s="84" t="str">
        <f>报表格式!Z33</f>
        <v>D17</v>
      </c>
      <c r="O33" s="28" t="str">
        <f>IF(OR(MID(TRIM(报表格式!AA33),2,1)="：",MID(TRIM(报表格式!AA33),2,1)="、"),REPLACEB(TRIM(报表格式!AA33),1,4,""),TRIM(报表格式!AA33))</f>
        <v>债权投资</v>
      </c>
    </row>
    <row r="34" spans="1:15" s="23" customFormat="1">
      <c r="A34" s="453"/>
      <c r="B34" s="453"/>
      <c r="C34" s="454"/>
      <c r="D34" s="455"/>
      <c r="E34" s="456"/>
      <c r="F34" s="456"/>
      <c r="G34" s="455"/>
      <c r="H34" s="456"/>
      <c r="I34" s="456"/>
      <c r="J34" s="457" t="str">
        <f>IF(ABS((SUMIF(E28:E33,"?*",J28:J33)-SUMIF(H28:H33,"?*",J28:J33)))&lt;0.005,"","借贷不等")</f>
        <v/>
      </c>
      <c r="N34" s="84" t="str">
        <f>报表格式!Z34</f>
        <v>D18</v>
      </c>
      <c r="O34" s="28" t="str">
        <f>IF(OR(MID(TRIM(报表格式!AA34),2,1)="：",MID(TRIM(报表格式!AA34),2,1)="、"),REPLACEB(TRIM(报表格式!AA34),1,4,""),TRIM(报表格式!AA34))</f>
        <v>可供出售金融资产</v>
      </c>
    </row>
    <row r="35" spans="1:15" s="23" customFormat="1">
      <c r="A35" s="1159">
        <v>5</v>
      </c>
      <c r="B35" s="1162"/>
      <c r="C35" s="1165"/>
      <c r="D35" s="17"/>
      <c r="E35" s="26" t="str">
        <f t="shared" ref="E35:E40" si="8">IF(D35=0,"",VLOOKUP(D35,$N:$O,2,0))</f>
        <v/>
      </c>
      <c r="F35" s="313"/>
      <c r="G35" s="27"/>
      <c r="H35" s="26" t="str">
        <f t="shared" ref="H35:H40" si="9">IF(G35=0,"",VLOOKUP(G35,$N:$O,2,0))</f>
        <v/>
      </c>
      <c r="I35" s="313"/>
      <c r="J35" s="142"/>
      <c r="N35" s="84" t="str">
        <f>报表格式!Z35</f>
        <v>D19</v>
      </c>
      <c r="O35" s="28" t="str">
        <f>IF(OR(MID(TRIM(报表格式!AA35),2,1)="：",MID(TRIM(报表格式!AA35),2,1)="、"),REPLACEB(TRIM(报表格式!AA35),1,4,""),TRIM(报表格式!AA35))</f>
        <v>其他债权投资</v>
      </c>
    </row>
    <row r="36" spans="1:15" s="23" customFormat="1">
      <c r="A36" s="1160"/>
      <c r="B36" s="1163"/>
      <c r="C36" s="1166"/>
      <c r="D36" s="17"/>
      <c r="E36" s="26" t="str">
        <f t="shared" si="8"/>
        <v/>
      </c>
      <c r="F36" s="313"/>
      <c r="G36" s="27"/>
      <c r="H36" s="26" t="str">
        <f t="shared" si="9"/>
        <v/>
      </c>
      <c r="I36" s="313"/>
      <c r="J36" s="142"/>
      <c r="N36" s="84" t="str">
        <f>报表格式!Z36</f>
        <v>D20</v>
      </c>
      <c r="O36" s="28" t="str">
        <f>IF(OR(MID(TRIM(报表格式!AA36),2,1)="：",MID(TRIM(报表格式!AA36),2,1)="、"),REPLACEB(TRIM(报表格式!AA36),1,4,""),TRIM(报表格式!AA36))</f>
        <v>持有至到期投资</v>
      </c>
    </row>
    <row r="37" spans="1:15" s="23" customFormat="1">
      <c r="A37" s="1160"/>
      <c r="B37" s="1163"/>
      <c r="C37" s="1166"/>
      <c r="D37" s="17"/>
      <c r="E37" s="26" t="str">
        <f t="shared" si="8"/>
        <v/>
      </c>
      <c r="F37" s="313"/>
      <c r="G37" s="27"/>
      <c r="H37" s="26" t="str">
        <f t="shared" si="9"/>
        <v/>
      </c>
      <c r="I37" s="313"/>
      <c r="J37" s="142"/>
      <c r="N37" s="84" t="str">
        <f>报表格式!Z37</f>
        <v>D21</v>
      </c>
      <c r="O37" s="28" t="str">
        <f>IF(OR(MID(TRIM(报表格式!AA37),2,1)="：",MID(TRIM(报表格式!AA37),2,1)="、"),REPLACEB(TRIM(报表格式!AA37),1,4,""),TRIM(报表格式!AA37))</f>
        <v>长期应收款</v>
      </c>
    </row>
    <row r="38" spans="1:15" s="23" customFormat="1">
      <c r="A38" s="1160"/>
      <c r="B38" s="1163"/>
      <c r="C38" s="1166"/>
      <c r="D38" s="17"/>
      <c r="E38" s="26" t="str">
        <f t="shared" si="8"/>
        <v/>
      </c>
      <c r="F38" s="313"/>
      <c r="G38" s="27"/>
      <c r="H38" s="26" t="str">
        <f t="shared" si="9"/>
        <v/>
      </c>
      <c r="I38" s="313"/>
      <c r="J38" s="142"/>
      <c r="N38" s="84" t="str">
        <f>报表格式!Z38</f>
        <v>D22</v>
      </c>
      <c r="O38" s="28" t="str">
        <f>IF(OR(MID(TRIM(报表格式!AA38),2,1)="：",MID(TRIM(报表格式!AA38),2,1)="、"),REPLACEB(TRIM(报表格式!AA38),1,4,""),TRIM(报表格式!AA38))</f>
        <v>设定受益计划净资产</v>
      </c>
    </row>
    <row r="39" spans="1:15" s="23" customFormat="1">
      <c r="A39" s="1160"/>
      <c r="B39" s="1163"/>
      <c r="C39" s="1166"/>
      <c r="D39" s="17"/>
      <c r="E39" s="26" t="str">
        <f t="shared" si="8"/>
        <v/>
      </c>
      <c r="F39" s="313"/>
      <c r="G39" s="27"/>
      <c r="H39" s="26" t="str">
        <f t="shared" si="9"/>
        <v/>
      </c>
      <c r="I39" s="313"/>
      <c r="J39" s="142"/>
      <c r="N39" s="84" t="str">
        <f>报表格式!Z39</f>
        <v>D23</v>
      </c>
      <c r="O39" s="28" t="str">
        <f>IF(OR(MID(TRIM(报表格式!AA39),2,1)="：",MID(TRIM(报表格式!AA39),2,1)="、"),REPLACEB(TRIM(报表格式!AA39),1,4,""),TRIM(报表格式!AA39))</f>
        <v>长期股权投资</v>
      </c>
    </row>
    <row r="40" spans="1:15" s="23" customFormat="1">
      <c r="A40" s="1161"/>
      <c r="B40" s="1164"/>
      <c r="C40" s="1167"/>
      <c r="D40" s="17"/>
      <c r="E40" s="26" t="str">
        <f t="shared" si="8"/>
        <v/>
      </c>
      <c r="F40" s="313"/>
      <c r="G40" s="27"/>
      <c r="H40" s="26" t="str">
        <f t="shared" si="9"/>
        <v/>
      </c>
      <c r="I40" s="313"/>
      <c r="J40" s="142"/>
      <c r="N40" s="84" t="str">
        <f>报表格式!Z40</f>
        <v>D24</v>
      </c>
      <c r="O40" s="28" t="str">
        <f>IF(OR(MID(TRIM(报表格式!AA40),2,1)="：",MID(TRIM(报表格式!AA40),2,1)="、"),REPLACEB(TRIM(报表格式!AA40),1,4,""),TRIM(报表格式!AA40))</f>
        <v>其他权益工具投资</v>
      </c>
    </row>
    <row r="41" spans="1:15" s="23" customFormat="1">
      <c r="A41" s="453"/>
      <c r="B41" s="453"/>
      <c r="C41" s="454"/>
      <c r="D41" s="455"/>
      <c r="E41" s="456"/>
      <c r="F41" s="456"/>
      <c r="G41" s="455"/>
      <c r="H41" s="456"/>
      <c r="I41" s="456"/>
      <c r="J41" s="457" t="str">
        <f>IF(ABS((SUMIF(E35:E40,"?*",J35:J40)-SUMIF(H35:H40,"?*",J35:J40)))&lt;0.005,"","借贷不等")</f>
        <v/>
      </c>
      <c r="N41" s="84" t="str">
        <f>报表格式!Z41</f>
        <v>D25</v>
      </c>
      <c r="O41" s="28" t="str">
        <f>IF(OR(MID(TRIM(报表格式!AA41),2,1)="：",MID(TRIM(报表格式!AA41),2,1)="、"),REPLACEB(TRIM(报表格式!AA41),1,4,""),TRIM(报表格式!AA41))</f>
        <v>其他非流动金融资产</v>
      </c>
    </row>
    <row r="42" spans="1:15" s="23" customFormat="1">
      <c r="A42" s="1159">
        <v>6</v>
      </c>
      <c r="B42" s="1162"/>
      <c r="C42" s="1165"/>
      <c r="D42" s="17"/>
      <c r="E42" s="26" t="str">
        <f t="shared" ref="E42:E47" si="10">IF(D42=0,"",VLOOKUP(D42,$N:$O,2,0))</f>
        <v/>
      </c>
      <c r="F42" s="313"/>
      <c r="G42" s="27"/>
      <c r="H42" s="26" t="str">
        <f t="shared" ref="H42:H47" si="11">IF(G42=0,"",VLOOKUP(G42,$N:$O,2,0))</f>
        <v/>
      </c>
      <c r="I42" s="313"/>
      <c r="J42" s="142"/>
      <c r="N42" s="84" t="str">
        <f>报表格式!Z42</f>
        <v>D26</v>
      </c>
      <c r="O42" s="28" t="str">
        <f>IF(OR(MID(TRIM(报表格式!AA42),2,1)="：",MID(TRIM(报表格式!AA42),2,1)="、"),REPLACEB(TRIM(报表格式!AA42),1,4,""),TRIM(报表格式!AA42))</f>
        <v>投资性房地产</v>
      </c>
    </row>
    <row r="43" spans="1:15" s="23" customFormat="1">
      <c r="A43" s="1160"/>
      <c r="B43" s="1163"/>
      <c r="C43" s="1166"/>
      <c r="D43" s="17"/>
      <c r="E43" s="26" t="str">
        <f t="shared" si="10"/>
        <v/>
      </c>
      <c r="F43" s="313"/>
      <c r="G43" s="27"/>
      <c r="H43" s="26" t="str">
        <f t="shared" si="11"/>
        <v/>
      </c>
      <c r="I43" s="313"/>
      <c r="J43" s="142"/>
      <c r="N43" s="84" t="str">
        <f>报表格式!Z43</f>
        <v>D27</v>
      </c>
      <c r="O43" s="28" t="str">
        <f>IF(OR(MID(TRIM(报表格式!AA43),2,1)="：",MID(TRIM(报表格式!AA43),2,1)="、"),REPLACEB(TRIM(报表格式!AA43),1,4,""),TRIM(报表格式!AA43))</f>
        <v>固定资产</v>
      </c>
    </row>
    <row r="44" spans="1:15" s="23" customFormat="1">
      <c r="A44" s="1160"/>
      <c r="B44" s="1163"/>
      <c r="C44" s="1166"/>
      <c r="D44" s="17"/>
      <c r="E44" s="26" t="str">
        <f t="shared" si="10"/>
        <v/>
      </c>
      <c r="F44" s="313"/>
      <c r="G44" s="27"/>
      <c r="H44" s="26" t="str">
        <f t="shared" si="11"/>
        <v/>
      </c>
      <c r="I44" s="313"/>
      <c r="J44" s="142"/>
      <c r="N44" s="84" t="str">
        <f>报表格式!Z44</f>
        <v>D28</v>
      </c>
      <c r="O44" s="28" t="str">
        <f>IF(OR(MID(TRIM(报表格式!AA44),2,1)="：",MID(TRIM(报表格式!AA44),2,1)="、"),REPLACEB(TRIM(报表格式!AA44),1,4,""),TRIM(报表格式!AA44))</f>
        <v>在建工程</v>
      </c>
    </row>
    <row r="45" spans="1:15" s="23" customFormat="1">
      <c r="A45" s="1160"/>
      <c r="B45" s="1163"/>
      <c r="C45" s="1166"/>
      <c r="D45" s="17"/>
      <c r="E45" s="26" t="str">
        <f t="shared" si="10"/>
        <v/>
      </c>
      <c r="F45" s="313"/>
      <c r="G45" s="27"/>
      <c r="H45" s="26" t="str">
        <f t="shared" si="11"/>
        <v/>
      </c>
      <c r="I45" s="313"/>
      <c r="J45" s="142"/>
      <c r="N45" s="84" t="str">
        <f>报表格式!Z45</f>
        <v>D29</v>
      </c>
      <c r="O45" s="28" t="str">
        <f>IF(OR(MID(TRIM(报表格式!AA45),2,1)="：",MID(TRIM(报表格式!AA45),2,1)="、"),REPLACEB(TRIM(报表格式!AA45),1,4,""),TRIM(报表格式!AA45))</f>
        <v>生产性生物资产</v>
      </c>
    </row>
    <row r="46" spans="1:15" s="23" customFormat="1">
      <c r="A46" s="1160"/>
      <c r="B46" s="1163"/>
      <c r="C46" s="1166"/>
      <c r="D46" s="17"/>
      <c r="E46" s="26" t="str">
        <f t="shared" si="10"/>
        <v/>
      </c>
      <c r="F46" s="313"/>
      <c r="G46" s="27"/>
      <c r="H46" s="26" t="str">
        <f t="shared" si="11"/>
        <v/>
      </c>
      <c r="I46" s="313"/>
      <c r="J46" s="142"/>
      <c r="N46" s="84" t="str">
        <f>报表格式!Z46</f>
        <v>D30</v>
      </c>
      <c r="O46" s="28" t="str">
        <f>IF(OR(MID(TRIM(报表格式!AA46),2,1)="：",MID(TRIM(报表格式!AA46),2,1)="、"),REPLACEB(TRIM(报表格式!AA46),1,4,""),TRIM(报表格式!AA46))</f>
        <v>油气资产</v>
      </c>
    </row>
    <row r="47" spans="1:15" s="23" customFormat="1">
      <c r="A47" s="1161"/>
      <c r="B47" s="1164"/>
      <c r="C47" s="1167"/>
      <c r="D47" s="17"/>
      <c r="E47" s="26" t="str">
        <f t="shared" si="10"/>
        <v/>
      </c>
      <c r="F47" s="313"/>
      <c r="G47" s="27"/>
      <c r="H47" s="26" t="str">
        <f t="shared" si="11"/>
        <v/>
      </c>
      <c r="I47" s="313"/>
      <c r="J47" s="142"/>
      <c r="N47" s="84" t="str">
        <f>报表格式!Z47</f>
        <v>D31</v>
      </c>
      <c r="O47" s="28" t="str">
        <f>IF(OR(MID(TRIM(报表格式!AA47),2,1)="：",MID(TRIM(报表格式!AA47),2,1)="、"),REPLACEB(TRIM(报表格式!AA47),1,4,""),TRIM(报表格式!AA47))</f>
        <v>使用权资产</v>
      </c>
    </row>
    <row r="48" spans="1:15" s="23" customFormat="1">
      <c r="A48" s="453"/>
      <c r="B48" s="453"/>
      <c r="C48" s="454"/>
      <c r="D48" s="455"/>
      <c r="E48" s="456"/>
      <c r="F48" s="456"/>
      <c r="G48" s="455"/>
      <c r="H48" s="456"/>
      <c r="I48" s="456"/>
      <c r="J48" s="457" t="str">
        <f>IF(ABS((SUMIF(E42:E47,"?*",J42:J47)-SUMIF(H42:H47,"?*",J42:J47)))&lt;0.005,"","借贷不等")</f>
        <v/>
      </c>
      <c r="N48" s="84" t="str">
        <f>报表格式!Z48</f>
        <v>D32</v>
      </c>
      <c r="O48" s="28" t="str">
        <f>IF(OR(MID(TRIM(报表格式!AA48),2,1)="：",MID(TRIM(报表格式!AA48),2,1)="、"),REPLACEB(TRIM(报表格式!AA48),1,4,""),TRIM(报表格式!AA48))</f>
        <v>无形资产</v>
      </c>
    </row>
    <row r="49" spans="1:15" s="23" customFormat="1">
      <c r="A49" s="1159">
        <v>7</v>
      </c>
      <c r="B49" s="1162"/>
      <c r="C49" s="1165"/>
      <c r="D49" s="17"/>
      <c r="E49" s="26" t="str">
        <f t="shared" ref="E49:E54" si="12">IF(D49=0,"",VLOOKUP(D49,$N:$O,2,0))</f>
        <v/>
      </c>
      <c r="F49" s="313"/>
      <c r="G49" s="27"/>
      <c r="H49" s="26" t="str">
        <f t="shared" ref="H49:H54" si="13">IF(G49=0,"",VLOOKUP(G49,$N:$O,2,0))</f>
        <v/>
      </c>
      <c r="I49" s="313"/>
      <c r="J49" s="142"/>
      <c r="N49" s="84" t="str">
        <f>报表格式!Z49</f>
        <v>D33</v>
      </c>
      <c r="O49" s="28" t="str">
        <f>IF(OR(MID(TRIM(报表格式!AA49),2,1)="：",MID(TRIM(报表格式!AA49),2,1)="、"),REPLACEB(TRIM(报表格式!AA49),1,4,""),TRIM(报表格式!AA49))</f>
        <v>开发支出</v>
      </c>
    </row>
    <row r="50" spans="1:15" s="23" customFormat="1">
      <c r="A50" s="1160"/>
      <c r="B50" s="1163"/>
      <c r="C50" s="1166"/>
      <c r="D50" s="17"/>
      <c r="E50" s="26" t="str">
        <f t="shared" si="12"/>
        <v/>
      </c>
      <c r="F50" s="313"/>
      <c r="G50" s="27"/>
      <c r="H50" s="26" t="str">
        <f t="shared" si="13"/>
        <v/>
      </c>
      <c r="I50" s="313"/>
      <c r="J50" s="142"/>
      <c r="N50" s="84" t="str">
        <f>报表格式!Z50</f>
        <v>D34</v>
      </c>
      <c r="O50" s="28" t="str">
        <f>IF(OR(MID(TRIM(报表格式!AA50),2,1)="：",MID(TRIM(报表格式!AA50),2,1)="、"),REPLACEB(TRIM(报表格式!AA50),1,4,""),TRIM(报表格式!AA50))</f>
        <v>商誉</v>
      </c>
    </row>
    <row r="51" spans="1:15" s="23" customFormat="1">
      <c r="A51" s="1160"/>
      <c r="B51" s="1163"/>
      <c r="C51" s="1166"/>
      <c r="D51" s="17"/>
      <c r="E51" s="26" t="str">
        <f t="shared" si="12"/>
        <v/>
      </c>
      <c r="F51" s="313"/>
      <c r="G51" s="27"/>
      <c r="H51" s="26" t="str">
        <f t="shared" si="13"/>
        <v/>
      </c>
      <c r="I51" s="313"/>
      <c r="J51" s="142"/>
      <c r="N51" s="84" t="str">
        <f>报表格式!Z51</f>
        <v>D35</v>
      </c>
      <c r="O51" s="28" t="str">
        <f>IF(OR(MID(TRIM(报表格式!AA51),2,1)="：",MID(TRIM(报表格式!AA51),2,1)="、"),REPLACEB(TRIM(报表格式!AA51),1,4,""),TRIM(报表格式!AA51))</f>
        <v>长期待摊费用</v>
      </c>
    </row>
    <row r="52" spans="1:15" s="23" customFormat="1">
      <c r="A52" s="1160"/>
      <c r="B52" s="1163"/>
      <c r="C52" s="1166"/>
      <c r="D52" s="17"/>
      <c r="E52" s="26" t="str">
        <f t="shared" si="12"/>
        <v/>
      </c>
      <c r="F52" s="313"/>
      <c r="G52" s="27"/>
      <c r="H52" s="26" t="str">
        <f t="shared" si="13"/>
        <v/>
      </c>
      <c r="I52" s="313"/>
      <c r="J52" s="142"/>
      <c r="N52" s="84" t="str">
        <f>报表格式!Z52</f>
        <v>D36</v>
      </c>
      <c r="O52" s="28" t="str">
        <f>IF(OR(MID(TRIM(报表格式!AA52),2,1)="：",MID(TRIM(报表格式!AA52),2,1)="、"),REPLACEB(TRIM(报表格式!AA52),1,4,""),TRIM(报表格式!AA52))</f>
        <v>递延所得税资产</v>
      </c>
    </row>
    <row r="53" spans="1:15" s="23" customFormat="1">
      <c r="A53" s="1160"/>
      <c r="B53" s="1163"/>
      <c r="C53" s="1166"/>
      <c r="D53" s="17"/>
      <c r="E53" s="26" t="str">
        <f t="shared" si="12"/>
        <v/>
      </c>
      <c r="F53" s="313"/>
      <c r="G53" s="27"/>
      <c r="H53" s="26" t="str">
        <f t="shared" si="13"/>
        <v/>
      </c>
      <c r="I53" s="313"/>
      <c r="J53" s="142"/>
      <c r="N53" s="84" t="str">
        <f>报表格式!Z53</f>
        <v>D37</v>
      </c>
      <c r="O53" s="28" t="str">
        <f>IF(OR(MID(TRIM(报表格式!AA53),2,1)="：",MID(TRIM(报表格式!AA53),2,1)="、"),REPLACEB(TRIM(报表格式!AA53),1,4,""),TRIM(报表格式!AA53))</f>
        <v>其他非流动资产</v>
      </c>
    </row>
    <row r="54" spans="1:15" s="23" customFormat="1">
      <c r="A54" s="1161"/>
      <c r="B54" s="1164"/>
      <c r="C54" s="1167"/>
      <c r="D54" s="17"/>
      <c r="E54" s="26" t="str">
        <f t="shared" si="12"/>
        <v/>
      </c>
      <c r="F54" s="313"/>
      <c r="G54" s="27"/>
      <c r="H54" s="26" t="str">
        <f t="shared" si="13"/>
        <v/>
      </c>
      <c r="I54" s="313"/>
      <c r="J54" s="142"/>
      <c r="N54" s="84" t="str">
        <f>报表格式!Z54</f>
        <v>D38</v>
      </c>
      <c r="O54" s="28" t="str">
        <f>IF(OR(MID(TRIM(报表格式!AA54),2,1)="：",MID(TRIM(报表格式!AA54),2,1)="、"),REPLACEB(TRIM(报表格式!AA54),1,4,""),TRIM(报表格式!AA54))</f>
        <v>0</v>
      </c>
    </row>
    <row r="55" spans="1:15" s="23" customFormat="1">
      <c r="A55" s="453"/>
      <c r="B55" s="453"/>
      <c r="C55" s="454"/>
      <c r="D55" s="455"/>
      <c r="E55" s="456"/>
      <c r="F55" s="456"/>
      <c r="G55" s="455"/>
      <c r="H55" s="456"/>
      <c r="I55" s="456"/>
      <c r="J55" s="457" t="str">
        <f>IF(ABS((SUMIF(E49:E54,"?*",J49:J54)-SUMIF(H49:H54,"?*",J49:J54)))&lt;0.005,"","借贷不等")</f>
        <v/>
      </c>
      <c r="N55" s="84" t="str">
        <f>报表格式!Z55</f>
        <v>D39</v>
      </c>
      <c r="O55" s="28" t="str">
        <f>IF(OR(MID(TRIM(报表格式!AA55),2,1)="：",MID(TRIM(报表格式!AA55),2,1)="、"),REPLACEB(TRIM(报表格式!AA55),1,4,""),TRIM(报表格式!AA55))</f>
        <v>0</v>
      </c>
    </row>
    <row r="56" spans="1:15" s="23" customFormat="1">
      <c r="A56" s="1159">
        <v>8</v>
      </c>
      <c r="B56" s="1162"/>
      <c r="C56" s="1165"/>
      <c r="D56" s="17"/>
      <c r="E56" s="26" t="str">
        <f t="shared" ref="E56:E61" si="14">IF(D56=0,"",VLOOKUP(D56,$N:$O,2,0))</f>
        <v/>
      </c>
      <c r="F56" s="313"/>
      <c r="G56" s="27"/>
      <c r="H56" s="26" t="str">
        <f t="shared" ref="H56:H61" si="15">IF(G56=0,"",VLOOKUP(G56,$N:$O,2,0))</f>
        <v/>
      </c>
      <c r="I56" s="313"/>
      <c r="J56" s="142"/>
      <c r="N56" s="84" t="str">
        <f>报表格式!Z56</f>
        <v>D40</v>
      </c>
      <c r="O56" s="28" t="str">
        <f>IF(OR(MID(TRIM(报表格式!AA56),2,1)="：",MID(TRIM(报表格式!AA56),2,1)="、"),REPLACEB(TRIM(报表格式!AA56),1,4,""),TRIM(报表格式!AA56))</f>
        <v>0</v>
      </c>
    </row>
    <row r="57" spans="1:15" s="23" customFormat="1">
      <c r="A57" s="1160"/>
      <c r="B57" s="1163"/>
      <c r="C57" s="1166"/>
      <c r="D57" s="17"/>
      <c r="E57" s="26" t="str">
        <f t="shared" si="14"/>
        <v/>
      </c>
      <c r="F57" s="313"/>
      <c r="G57" s="27"/>
      <c r="H57" s="26" t="str">
        <f t="shared" si="15"/>
        <v/>
      </c>
      <c r="I57" s="313"/>
      <c r="J57" s="142"/>
      <c r="N57" s="84">
        <f>报表格式!Z57</f>
        <v>0</v>
      </c>
      <c r="O57" s="859" t="str">
        <f>IF(OR(MID(TRIM(报表格式!AA57),2,1)="：",MID(TRIM(报表格式!AA57),2,1)="、"),REPLACEB(TRIM(报表格式!AA57),1,4,""),TRIM(报表格式!AA57))</f>
        <v>非流动资产合计</v>
      </c>
    </row>
    <row r="58" spans="1:15" s="23" customFormat="1">
      <c r="A58" s="1160"/>
      <c r="B58" s="1163"/>
      <c r="C58" s="1166"/>
      <c r="D58" s="17"/>
      <c r="E58" s="26" t="str">
        <f t="shared" si="14"/>
        <v/>
      </c>
      <c r="F58" s="313"/>
      <c r="G58" s="27"/>
      <c r="H58" s="26" t="str">
        <f t="shared" si="15"/>
        <v/>
      </c>
      <c r="I58" s="313"/>
      <c r="J58" s="142"/>
      <c r="N58" s="84">
        <f>报表格式!Z58</f>
        <v>0</v>
      </c>
      <c r="O58" s="859" t="str">
        <f>IF(OR(MID(TRIM(报表格式!AA58),2,1)="：",MID(TRIM(报表格式!AA58),2,1)="、"),REPLACEB(TRIM(报表格式!AA58),1,4,""),TRIM(报表格式!AA58))</f>
        <v>资 产 总 计</v>
      </c>
    </row>
    <row r="59" spans="1:15" s="23" customFormat="1">
      <c r="A59" s="1160"/>
      <c r="B59" s="1163"/>
      <c r="C59" s="1166"/>
      <c r="D59" s="17"/>
      <c r="E59" s="26" t="str">
        <f t="shared" si="14"/>
        <v/>
      </c>
      <c r="F59" s="313"/>
      <c r="G59" s="27"/>
      <c r="H59" s="26" t="str">
        <f t="shared" si="15"/>
        <v/>
      </c>
      <c r="I59" s="313"/>
      <c r="J59" s="142"/>
      <c r="N59" s="84">
        <f>报表格式!Z59</f>
        <v>0</v>
      </c>
      <c r="O59" s="859" t="str">
        <f>IF(OR(MID(TRIM(报表格式!AA59),2,1)="：",MID(TRIM(报表格式!AA59),2,1)="、"),REPLACEB(TRIM(报表格式!AA59),1,4,""),TRIM(报表格式!AA59))</f>
        <v/>
      </c>
    </row>
    <row r="60" spans="1:15" s="23" customFormat="1">
      <c r="A60" s="1160"/>
      <c r="B60" s="1163"/>
      <c r="C60" s="1166"/>
      <c r="D60" s="17"/>
      <c r="E60" s="26" t="str">
        <f t="shared" si="14"/>
        <v/>
      </c>
      <c r="F60" s="313"/>
      <c r="G60" s="27"/>
      <c r="H60" s="26" t="str">
        <f t="shared" si="15"/>
        <v/>
      </c>
      <c r="I60" s="313"/>
      <c r="J60" s="142"/>
      <c r="N60" s="84">
        <f>报表格式!Z60</f>
        <v>0</v>
      </c>
      <c r="O60" s="859" t="str">
        <f>IF(OR(MID(TRIM(报表格式!AA60),2,1)="：",MID(TRIM(报表格式!AA60),2,1)="、"),REPLACEB(TRIM(报表格式!AA60),1,4,""),TRIM(报表格式!AA60))</f>
        <v/>
      </c>
    </row>
    <row r="61" spans="1:15" s="23" customFormat="1">
      <c r="A61" s="1161"/>
      <c r="B61" s="1164"/>
      <c r="C61" s="1167"/>
      <c r="D61" s="17"/>
      <c r="E61" s="26" t="str">
        <f t="shared" si="14"/>
        <v/>
      </c>
      <c r="F61" s="313"/>
      <c r="G61" s="27"/>
      <c r="H61" s="26" t="str">
        <f t="shared" si="15"/>
        <v/>
      </c>
      <c r="I61" s="313"/>
      <c r="J61" s="142"/>
      <c r="N61" s="84">
        <f>报表格式!Z61</f>
        <v>0</v>
      </c>
      <c r="O61" s="783" t="str">
        <f>IF(OR(MID(TRIM(报表格式!AA61),2,1)="：",MID(TRIM(报表格式!AA61),2,1)="、"),REPLACEB(TRIM(报表格式!AA61),1,4,""),TRIM(报表格式!AA61))</f>
        <v>流动负债：</v>
      </c>
    </row>
    <row r="62" spans="1:15" s="23" customFormat="1">
      <c r="A62" s="453"/>
      <c r="B62" s="453"/>
      <c r="C62" s="454"/>
      <c r="D62" s="455"/>
      <c r="E62" s="456"/>
      <c r="F62" s="456"/>
      <c r="G62" s="455"/>
      <c r="H62" s="456"/>
      <c r="I62" s="456"/>
      <c r="J62" s="457" t="str">
        <f>IF(ABS((SUMIF(E56:E61,"?*",J56:J61)-SUMIF(H56:H61,"?*",J56:J61)))&lt;0.005,"","借贷不等")</f>
        <v/>
      </c>
      <c r="N62" s="84" t="str">
        <f>报表格式!Z62</f>
        <v>E1</v>
      </c>
      <c r="O62" s="28" t="str">
        <f>IF(OR(MID(TRIM(报表格式!AA62),2,1)="：",MID(TRIM(报表格式!AA62),2,1)="、"),REPLACEB(TRIM(报表格式!AA62),1,4,""),TRIM(报表格式!AA62))</f>
        <v>短期借款</v>
      </c>
    </row>
    <row r="63" spans="1:15" s="23" customFormat="1">
      <c r="A63" s="1159">
        <v>9</v>
      </c>
      <c r="B63" s="1162"/>
      <c r="C63" s="1165"/>
      <c r="D63" s="17"/>
      <c r="E63" s="26" t="str">
        <f t="shared" ref="E63:E68" si="16">IF(D63=0,"",VLOOKUP(D63,$N:$O,2,0))</f>
        <v/>
      </c>
      <c r="F63" s="313"/>
      <c r="G63" s="27"/>
      <c r="H63" s="26" t="str">
        <f t="shared" ref="H63:H68" si="17">IF(G63=0,"",VLOOKUP(G63,$N:$O,2,0))</f>
        <v/>
      </c>
      <c r="I63" s="313"/>
      <c r="J63" s="142"/>
      <c r="N63" s="84" t="str">
        <f>报表格式!Z63</f>
        <v>E24</v>
      </c>
      <c r="O63" s="28" t="str">
        <f>IF(OR(MID(TRIM(报表格式!AA63),2,1)="：",MID(TRIM(报表格式!AA63),2,1)="、"),REPLACEB(TRIM(报表格式!AA63),1,4,""),TRIM(报表格式!AA63))</f>
        <v>向中央银行借款</v>
      </c>
    </row>
    <row r="64" spans="1:15" s="23" customFormat="1">
      <c r="A64" s="1160"/>
      <c r="B64" s="1163"/>
      <c r="C64" s="1166"/>
      <c r="D64" s="17"/>
      <c r="E64" s="26" t="str">
        <f t="shared" si="16"/>
        <v/>
      </c>
      <c r="F64" s="313"/>
      <c r="G64" s="27"/>
      <c r="H64" s="26" t="str">
        <f t="shared" si="17"/>
        <v/>
      </c>
      <c r="I64" s="313"/>
      <c r="J64" s="142"/>
      <c r="N64" s="84" t="str">
        <f>报表格式!Z64</f>
        <v>E25</v>
      </c>
      <c r="O64" s="28" t="str">
        <f>IF(OR(MID(TRIM(报表格式!AA64),2,1)="：",MID(TRIM(报表格式!AA64),2,1)="、"),REPLACEB(TRIM(报表格式!AA64),1,4,""),TRIM(报表格式!AA64))</f>
        <v>吸收存款及同业存放</v>
      </c>
    </row>
    <row r="65" spans="1:15" s="23" customFormat="1">
      <c r="A65" s="1160"/>
      <c r="B65" s="1163"/>
      <c r="C65" s="1166"/>
      <c r="D65" s="17"/>
      <c r="E65" s="26" t="str">
        <f t="shared" si="16"/>
        <v/>
      </c>
      <c r="F65" s="313"/>
      <c r="G65" s="27"/>
      <c r="H65" s="26" t="str">
        <f t="shared" si="17"/>
        <v/>
      </c>
      <c r="I65" s="313"/>
      <c r="J65" s="142"/>
      <c r="N65" s="84" t="str">
        <f>报表格式!Z65</f>
        <v>E26</v>
      </c>
      <c r="O65" s="28" t="str">
        <f>IF(OR(MID(TRIM(报表格式!AA65),2,1)="：",MID(TRIM(报表格式!AA65),2,1)="、"),REPLACEB(TRIM(报表格式!AA65),1,4,""),TRIM(报表格式!AA65))</f>
        <v>拆入资金</v>
      </c>
    </row>
    <row r="66" spans="1:15" s="23" customFormat="1">
      <c r="A66" s="1160"/>
      <c r="B66" s="1163"/>
      <c r="C66" s="1166"/>
      <c r="D66" s="17"/>
      <c r="E66" s="26" t="str">
        <f t="shared" si="16"/>
        <v/>
      </c>
      <c r="F66" s="313"/>
      <c r="G66" s="27"/>
      <c r="H66" s="26" t="str">
        <f t="shared" si="17"/>
        <v/>
      </c>
      <c r="I66" s="313"/>
      <c r="J66" s="142"/>
      <c r="N66" s="84" t="str">
        <f>报表格式!Z66</f>
        <v>E2</v>
      </c>
      <c r="O66" s="28" t="str">
        <f>IF(OR(MID(TRIM(报表格式!AA66),2,1)="：",MID(TRIM(报表格式!AA66),2,1)="、"),REPLACEB(TRIM(报表格式!AA66),1,4,""),TRIM(报表格式!AA66))</f>
        <v>交易性金融负债</v>
      </c>
    </row>
    <row r="67" spans="1:15" s="23" customFormat="1">
      <c r="A67" s="1160"/>
      <c r="B67" s="1163"/>
      <c r="C67" s="1166"/>
      <c r="D67" s="17"/>
      <c r="E67" s="26" t="str">
        <f t="shared" si="16"/>
        <v/>
      </c>
      <c r="F67" s="313"/>
      <c r="G67" s="27"/>
      <c r="H67" s="26" t="str">
        <f t="shared" si="17"/>
        <v/>
      </c>
      <c r="I67" s="313"/>
      <c r="J67" s="142"/>
      <c r="N67" s="84" t="str">
        <f>报表格式!Z67</f>
        <v>E3</v>
      </c>
      <c r="O67" s="28" t="str">
        <f>IF(OR(MID(TRIM(报表格式!AA67),2,1)="：",MID(TRIM(报表格式!AA67),2,1)="、"),REPLACEB(TRIM(报表格式!AA67),1,4,""),TRIM(报表格式!AA67))</f>
        <v>以公允价值计量且其变动计入当期损益的金融负债</v>
      </c>
    </row>
    <row r="68" spans="1:15" s="23" customFormat="1">
      <c r="A68" s="1161"/>
      <c r="B68" s="1164"/>
      <c r="C68" s="1167"/>
      <c r="D68" s="17"/>
      <c r="E68" s="26" t="str">
        <f t="shared" si="16"/>
        <v/>
      </c>
      <c r="F68" s="313"/>
      <c r="G68" s="27"/>
      <c r="H68" s="26" t="str">
        <f t="shared" si="17"/>
        <v/>
      </c>
      <c r="I68" s="313"/>
      <c r="J68" s="142"/>
      <c r="N68" s="84" t="str">
        <f>报表格式!Z68</f>
        <v>E4</v>
      </c>
      <c r="O68" s="28" t="str">
        <f>IF(OR(MID(TRIM(报表格式!AA68),2,1)="：",MID(TRIM(报表格式!AA68),2,1)="、"),REPLACEB(TRIM(报表格式!AA68),1,4,""),TRIM(报表格式!AA68))</f>
        <v>衍生金融负债</v>
      </c>
    </row>
    <row r="69" spans="1:15" s="23" customFormat="1">
      <c r="A69" s="453"/>
      <c r="B69" s="453"/>
      <c r="C69" s="454"/>
      <c r="D69" s="455"/>
      <c r="E69" s="456"/>
      <c r="F69" s="456"/>
      <c r="G69" s="455"/>
      <c r="H69" s="456"/>
      <c r="I69" s="456"/>
      <c r="J69" s="457" t="str">
        <f>IF(ABS((SUMIF(E63:E68,"?*",J63:J68)-SUMIF(H63:H68,"?*",J63:J68)))&lt;0.005,"","借贷不等")</f>
        <v/>
      </c>
      <c r="N69" s="84" t="str">
        <f>报表格式!Z69</f>
        <v>E5</v>
      </c>
      <c r="O69" s="28" t="str">
        <f>IF(OR(MID(TRIM(报表格式!AA69),2,1)="：",MID(TRIM(报表格式!AA69),2,1)="、"),REPLACEB(TRIM(报表格式!AA69),1,4,""),TRIM(报表格式!AA69))</f>
        <v>应付票据</v>
      </c>
    </row>
    <row r="70" spans="1:15" s="23" customFormat="1">
      <c r="A70" s="1159">
        <v>10</v>
      </c>
      <c r="B70" s="1162"/>
      <c r="C70" s="1165"/>
      <c r="D70" s="17"/>
      <c r="E70" s="26" t="str">
        <f t="shared" ref="E70:E75" si="18">IF(D70=0,"",VLOOKUP(D70,$N:$O,2,0))</f>
        <v/>
      </c>
      <c r="F70" s="313"/>
      <c r="G70" s="27"/>
      <c r="H70" s="26" t="str">
        <f t="shared" ref="H70:H75" si="19">IF(G70=0,"",VLOOKUP(G70,$N:$O,2,0))</f>
        <v/>
      </c>
      <c r="I70" s="313"/>
      <c r="J70" s="142"/>
      <c r="N70" s="84" t="str">
        <f>报表格式!Z70</f>
        <v>E6</v>
      </c>
      <c r="O70" s="28" t="str">
        <f>IF(OR(MID(TRIM(报表格式!AA70),2,1)="：",MID(TRIM(报表格式!AA70),2,1)="、"),REPLACEB(TRIM(报表格式!AA70),1,4,""),TRIM(报表格式!AA70))</f>
        <v>应付账款</v>
      </c>
    </row>
    <row r="71" spans="1:15" s="23" customFormat="1">
      <c r="A71" s="1160"/>
      <c r="B71" s="1163"/>
      <c r="C71" s="1166"/>
      <c r="D71" s="17"/>
      <c r="E71" s="26" t="str">
        <f t="shared" si="18"/>
        <v/>
      </c>
      <c r="F71" s="313"/>
      <c r="G71" s="27"/>
      <c r="H71" s="26" t="str">
        <f t="shared" si="19"/>
        <v/>
      </c>
      <c r="I71" s="313"/>
      <c r="J71" s="142"/>
      <c r="N71" s="84" t="str">
        <f>报表格式!Z71</f>
        <v>E7</v>
      </c>
      <c r="O71" s="28" t="str">
        <f>IF(OR(MID(TRIM(报表格式!AA71),2,1)="：",MID(TRIM(报表格式!AA71),2,1)="、"),REPLACEB(TRIM(报表格式!AA71),1,4,""),TRIM(报表格式!AA71))</f>
        <v>预收款项</v>
      </c>
    </row>
    <row r="72" spans="1:15" s="23" customFormat="1">
      <c r="A72" s="1160"/>
      <c r="B72" s="1163"/>
      <c r="C72" s="1166"/>
      <c r="D72" s="17"/>
      <c r="E72" s="26" t="str">
        <f t="shared" si="18"/>
        <v/>
      </c>
      <c r="F72" s="313"/>
      <c r="G72" s="27"/>
      <c r="H72" s="26" t="str">
        <f t="shared" si="19"/>
        <v/>
      </c>
      <c r="I72" s="313"/>
      <c r="J72" s="142"/>
      <c r="N72" s="84" t="str">
        <f>报表格式!Z72</f>
        <v>E27</v>
      </c>
      <c r="O72" s="28" t="str">
        <f>IF(OR(MID(TRIM(报表格式!AA72),2,1)="：",MID(TRIM(报表格式!AA72),2,1)="、"),REPLACEB(TRIM(报表格式!AA72),1,4,""),TRIM(报表格式!AA72))</f>
        <v>卖出回购金融资产款</v>
      </c>
    </row>
    <row r="73" spans="1:15" s="23" customFormat="1">
      <c r="A73" s="1160"/>
      <c r="B73" s="1163"/>
      <c r="C73" s="1166"/>
      <c r="D73" s="17"/>
      <c r="E73" s="26" t="str">
        <f t="shared" si="18"/>
        <v/>
      </c>
      <c r="F73" s="313"/>
      <c r="G73" s="27"/>
      <c r="H73" s="26" t="str">
        <f t="shared" si="19"/>
        <v/>
      </c>
      <c r="I73" s="313"/>
      <c r="J73" s="142"/>
      <c r="N73" s="84" t="str">
        <f>报表格式!Z73</f>
        <v>E28</v>
      </c>
      <c r="O73" s="28" t="str">
        <f>IF(OR(MID(TRIM(报表格式!AA73),2,1)="：",MID(TRIM(报表格式!AA73),2,1)="、"),REPLACEB(TRIM(报表格式!AA73),1,4,""),TRIM(报表格式!AA73))</f>
        <v>应付手续费及佣金</v>
      </c>
    </row>
    <row r="74" spans="1:15" s="23" customFormat="1">
      <c r="A74" s="1160"/>
      <c r="B74" s="1163"/>
      <c r="C74" s="1166"/>
      <c r="D74" s="17"/>
      <c r="E74" s="26" t="str">
        <f t="shared" si="18"/>
        <v/>
      </c>
      <c r="F74" s="313"/>
      <c r="G74" s="27"/>
      <c r="H74" s="26" t="str">
        <f t="shared" si="19"/>
        <v/>
      </c>
      <c r="I74" s="313"/>
      <c r="J74" s="142"/>
      <c r="N74" s="84" t="str">
        <f>报表格式!Z74</f>
        <v>E8</v>
      </c>
      <c r="O74" s="28" t="str">
        <f>IF(OR(MID(TRIM(报表格式!AA74),2,1)="：",MID(TRIM(报表格式!AA74),2,1)="、"),REPLACEB(TRIM(报表格式!AA74),1,4,""),TRIM(报表格式!AA74))</f>
        <v>合同负债</v>
      </c>
    </row>
    <row r="75" spans="1:15" s="23" customFormat="1">
      <c r="A75" s="1161"/>
      <c r="B75" s="1164"/>
      <c r="C75" s="1167"/>
      <c r="D75" s="17"/>
      <c r="E75" s="26" t="str">
        <f t="shared" si="18"/>
        <v/>
      </c>
      <c r="F75" s="313"/>
      <c r="G75" s="27"/>
      <c r="H75" s="26" t="str">
        <f t="shared" si="19"/>
        <v/>
      </c>
      <c r="I75" s="313"/>
      <c r="J75" s="142"/>
      <c r="N75" s="84" t="str">
        <f>报表格式!Z75</f>
        <v>E9</v>
      </c>
      <c r="O75" s="28" t="str">
        <f>IF(OR(MID(TRIM(报表格式!AA75),2,1)="：",MID(TRIM(报表格式!AA75),2,1)="、"),REPLACEB(TRIM(报表格式!AA75),1,4,""),TRIM(报表格式!AA75))</f>
        <v>应付职工薪酬</v>
      </c>
    </row>
    <row r="76" spans="1:15" s="23" customFormat="1">
      <c r="A76" s="453"/>
      <c r="B76" s="453"/>
      <c r="C76" s="454"/>
      <c r="D76" s="455"/>
      <c r="E76" s="456"/>
      <c r="F76" s="456"/>
      <c r="G76" s="455"/>
      <c r="H76" s="456"/>
      <c r="I76" s="456"/>
      <c r="J76" s="457" t="str">
        <f>IF(ABS((SUMIF(E70:E75,"?*",J70:J75)-SUMIF(H70:H75,"?*",J70:J75)))&lt;0.005,"","借贷不等")</f>
        <v/>
      </c>
      <c r="N76" s="84" t="str">
        <f>报表格式!Z76</f>
        <v>E10</v>
      </c>
      <c r="O76" s="28" t="str">
        <f>IF(OR(MID(TRIM(报表格式!AA76),2,1)="：",MID(TRIM(报表格式!AA76),2,1)="、"),REPLACEB(TRIM(报表格式!AA76),1,4,""),TRIM(报表格式!AA76))</f>
        <v>应交税费</v>
      </c>
    </row>
    <row r="77" spans="1:15" s="23" customFormat="1">
      <c r="A77" s="1159">
        <v>11</v>
      </c>
      <c r="B77" s="1162"/>
      <c r="C77" s="1165"/>
      <c r="D77" s="17"/>
      <c r="E77" s="26" t="str">
        <f t="shared" ref="E77:E82" si="20">IF(D77=0,"",VLOOKUP(D77,$N:$O,2,0))</f>
        <v/>
      </c>
      <c r="F77" s="313"/>
      <c r="G77" s="27"/>
      <c r="H77" s="26" t="str">
        <f t="shared" ref="H77:H82" si="21">IF(G77=0,"",VLOOKUP(G77,$N:$O,2,0))</f>
        <v/>
      </c>
      <c r="I77" s="313"/>
      <c r="J77" s="142"/>
      <c r="N77" s="84" t="str">
        <f>报表格式!Z77</f>
        <v>E11</v>
      </c>
      <c r="O77" s="28" t="str">
        <f>IF(OR(MID(TRIM(报表格式!AA77),2,1)="：",MID(TRIM(报表格式!AA77),2,1)="、"),REPLACEB(TRIM(报表格式!AA77),1,4,""),TRIM(报表格式!AA77))</f>
        <v>其他应付款</v>
      </c>
    </row>
    <row r="78" spans="1:15" s="23" customFormat="1">
      <c r="A78" s="1160"/>
      <c r="B78" s="1163"/>
      <c r="C78" s="1166"/>
      <c r="D78" s="17"/>
      <c r="E78" s="26" t="str">
        <f t="shared" si="20"/>
        <v/>
      </c>
      <c r="F78" s="313"/>
      <c r="G78" s="27"/>
      <c r="H78" s="26" t="str">
        <f t="shared" si="21"/>
        <v/>
      </c>
      <c r="I78" s="313"/>
      <c r="J78" s="142"/>
      <c r="N78" s="84">
        <f>报表格式!Z78</f>
        <v>0</v>
      </c>
      <c r="O78" s="28" t="str">
        <f>IF(OR(MID(TRIM(报表格式!AA78),3,1)="：",MID(TRIM(报表格式!AA78),2,1)="、"),REPLACEB(TRIM(报表格式!AA78),1,6,""),TRIM(报表格式!AA78))</f>
        <v>应付利息</v>
      </c>
    </row>
    <row r="79" spans="1:15" s="23" customFormat="1">
      <c r="A79" s="1160"/>
      <c r="B79" s="1163"/>
      <c r="C79" s="1166"/>
      <c r="D79" s="17"/>
      <c r="E79" s="26" t="str">
        <f t="shared" si="20"/>
        <v/>
      </c>
      <c r="F79" s="313"/>
      <c r="G79" s="27"/>
      <c r="H79" s="26" t="str">
        <f t="shared" si="21"/>
        <v/>
      </c>
      <c r="I79" s="313"/>
      <c r="J79" s="142"/>
      <c r="N79" s="84">
        <f>报表格式!Z79</f>
        <v>0</v>
      </c>
      <c r="O79" s="28" t="str">
        <f>IF(OR(MID(TRIM(报表格式!AA79),2,1)="：",MID(TRIM(报表格式!AA79),2,1)="、"),REPLACEB(TRIM(报表格式!AA79),1,4,""),TRIM(报表格式!AA79))</f>
        <v>应付股利</v>
      </c>
    </row>
    <row r="80" spans="1:15" s="23" customFormat="1">
      <c r="A80" s="1160"/>
      <c r="B80" s="1163"/>
      <c r="C80" s="1166"/>
      <c r="D80" s="17"/>
      <c r="E80" s="26" t="str">
        <f t="shared" si="20"/>
        <v/>
      </c>
      <c r="F80" s="313"/>
      <c r="G80" s="27"/>
      <c r="H80" s="26" t="str">
        <f t="shared" si="21"/>
        <v/>
      </c>
      <c r="I80" s="313"/>
      <c r="J80" s="142"/>
      <c r="N80" s="84" t="str">
        <f>报表格式!Z80</f>
        <v>E29</v>
      </c>
      <c r="O80" s="28" t="str">
        <f>IF(OR(MID(TRIM(报表格式!AA80),2,1)="：",MID(TRIM(报表格式!AA80),2,1)="、"),REPLACEB(TRIM(报表格式!AA80),1,4,""),TRIM(报表格式!AA80))</f>
        <v>应付分保账款</v>
      </c>
    </row>
    <row r="81" spans="1:15" s="23" customFormat="1">
      <c r="A81" s="1160"/>
      <c r="B81" s="1163"/>
      <c r="C81" s="1166"/>
      <c r="D81" s="17"/>
      <c r="E81" s="26" t="str">
        <f t="shared" si="20"/>
        <v/>
      </c>
      <c r="F81" s="313"/>
      <c r="G81" s="27"/>
      <c r="H81" s="26" t="str">
        <f t="shared" si="21"/>
        <v/>
      </c>
      <c r="I81" s="313"/>
      <c r="J81" s="142"/>
      <c r="N81" s="84" t="str">
        <f>报表格式!Z81</f>
        <v>E30</v>
      </c>
      <c r="O81" s="28" t="str">
        <f>IF(OR(MID(TRIM(报表格式!AA81),2,1)="：",MID(TRIM(报表格式!AA81),2,1)="、"),REPLACEB(TRIM(报表格式!AA81),1,4,""),TRIM(报表格式!AA81))</f>
        <v>保险合同准备金</v>
      </c>
    </row>
    <row r="82" spans="1:15" s="23" customFormat="1">
      <c r="A82" s="1161"/>
      <c r="B82" s="1164"/>
      <c r="C82" s="1167"/>
      <c r="D82" s="17"/>
      <c r="E82" s="26" t="str">
        <f t="shared" si="20"/>
        <v/>
      </c>
      <c r="F82" s="313"/>
      <c r="G82" s="27"/>
      <c r="H82" s="26" t="str">
        <f t="shared" si="21"/>
        <v/>
      </c>
      <c r="I82" s="313"/>
      <c r="J82" s="142"/>
      <c r="N82" s="84" t="str">
        <f>报表格式!Z82</f>
        <v>E31</v>
      </c>
      <c r="O82" s="28" t="str">
        <f>IF(OR(MID(TRIM(报表格式!AA82),2,1)="：",MID(TRIM(报表格式!AA82),2,1)="、"),REPLACEB(TRIM(报表格式!AA82),1,4,""),TRIM(报表格式!AA82))</f>
        <v>代理买卖证券款</v>
      </c>
    </row>
    <row r="83" spans="1:15" s="23" customFormat="1">
      <c r="A83" s="453"/>
      <c r="B83" s="453"/>
      <c r="C83" s="454"/>
      <c r="D83" s="455"/>
      <c r="E83" s="456"/>
      <c r="F83" s="456"/>
      <c r="G83" s="455"/>
      <c r="H83" s="456"/>
      <c r="I83" s="456"/>
      <c r="J83" s="457" t="str">
        <f>IF(ABS((SUMIF(E77:E82,"?*",J77:J82)-SUMIF(H77:H82,"?*",J77:J82)))&lt;0.005,"","借贷不等")</f>
        <v/>
      </c>
      <c r="N83" s="84" t="str">
        <f>报表格式!Z83</f>
        <v>E32</v>
      </c>
      <c r="O83" s="28" t="str">
        <f>IF(OR(MID(TRIM(报表格式!AA83),2,1)="：",MID(TRIM(报表格式!AA83),2,1)="、"),REPLACEB(TRIM(报表格式!AA83),1,4,""),TRIM(报表格式!AA83))</f>
        <v>代理承销证券款</v>
      </c>
    </row>
    <row r="84" spans="1:15" s="23" customFormat="1">
      <c r="A84" s="1159">
        <v>12</v>
      </c>
      <c r="B84" s="1162"/>
      <c r="C84" s="1165"/>
      <c r="D84" s="17"/>
      <c r="E84" s="26" t="str">
        <f t="shared" ref="E84:E89" si="22">IF(D84=0,"",VLOOKUP(D84,$N:$O,2,0))</f>
        <v/>
      </c>
      <c r="F84" s="313"/>
      <c r="G84" s="27"/>
      <c r="H84" s="26" t="str">
        <f t="shared" ref="H84:H89" si="23">IF(G84=0,"",VLOOKUP(G84,$N:$O,2,0))</f>
        <v/>
      </c>
      <c r="I84" s="313"/>
      <c r="J84" s="142"/>
      <c r="N84" s="84" t="str">
        <f>报表格式!Z84</f>
        <v>E12</v>
      </c>
      <c r="O84" s="28" t="str">
        <f>IF(OR(MID(TRIM(报表格式!AA84),2,1)="：",MID(TRIM(报表格式!AA84),2,1)="、"),REPLACEB(TRIM(报表格式!AA84),1,4,""),TRIM(报表格式!AA84))</f>
        <v>持有待售负债</v>
      </c>
    </row>
    <row r="85" spans="1:15" s="23" customFormat="1">
      <c r="A85" s="1160"/>
      <c r="B85" s="1163"/>
      <c r="C85" s="1166"/>
      <c r="D85" s="17"/>
      <c r="E85" s="26" t="str">
        <f t="shared" si="22"/>
        <v/>
      </c>
      <c r="F85" s="313"/>
      <c r="G85" s="27"/>
      <c r="H85" s="26" t="str">
        <f t="shared" si="23"/>
        <v/>
      </c>
      <c r="I85" s="313"/>
      <c r="J85" s="142"/>
      <c r="N85" s="84" t="str">
        <f>报表格式!Z85</f>
        <v>E13</v>
      </c>
      <c r="O85" s="28" t="str">
        <f>IF(OR(MID(TRIM(报表格式!AA85),2,1)="：",MID(TRIM(报表格式!AA85),2,1)="、"),REPLACEB(TRIM(报表格式!AA85),1,4,""),TRIM(报表格式!AA85))</f>
        <v>一年内到期的非流动负债</v>
      </c>
    </row>
    <row r="86" spans="1:15" s="23" customFormat="1">
      <c r="A86" s="1160"/>
      <c r="B86" s="1163"/>
      <c r="C86" s="1166"/>
      <c r="D86" s="17"/>
      <c r="E86" s="26" t="str">
        <f t="shared" si="22"/>
        <v/>
      </c>
      <c r="F86" s="313"/>
      <c r="G86" s="27"/>
      <c r="H86" s="26" t="str">
        <f t="shared" si="23"/>
        <v/>
      </c>
      <c r="I86" s="313"/>
      <c r="J86" s="142"/>
      <c r="N86" s="84" t="str">
        <f>报表格式!Z86</f>
        <v>E14</v>
      </c>
      <c r="O86" s="28" t="str">
        <f>IF(OR(MID(TRIM(报表格式!AA86),2,1)="：",MID(TRIM(报表格式!AA86),2,1)="、"),REPLACEB(TRIM(报表格式!AA86),1,4,""),TRIM(报表格式!AA86))</f>
        <v>其他流动负债</v>
      </c>
    </row>
    <row r="87" spans="1:15" s="23" customFormat="1">
      <c r="A87" s="1160"/>
      <c r="B87" s="1163"/>
      <c r="C87" s="1166"/>
      <c r="D87" s="17"/>
      <c r="E87" s="26" t="str">
        <f t="shared" si="22"/>
        <v/>
      </c>
      <c r="F87" s="313"/>
      <c r="G87" s="27"/>
      <c r="H87" s="26" t="str">
        <f t="shared" si="23"/>
        <v/>
      </c>
      <c r="I87" s="313"/>
      <c r="J87" s="142"/>
      <c r="N87" s="84">
        <f>报表格式!Z87</f>
        <v>0</v>
      </c>
      <c r="O87" s="859" t="str">
        <f>IF(OR(MID(TRIM(报表格式!AA87),2,1)="：",MID(TRIM(报表格式!AA87),2,1)="、"),REPLACEB(TRIM(报表格式!AA87),1,4,""),TRIM(报表格式!AA87))</f>
        <v>流动负债合计</v>
      </c>
    </row>
    <row r="88" spans="1:15" s="23" customFormat="1">
      <c r="A88" s="1160"/>
      <c r="B88" s="1163"/>
      <c r="C88" s="1166"/>
      <c r="D88" s="17"/>
      <c r="E88" s="26" t="str">
        <f t="shared" si="22"/>
        <v/>
      </c>
      <c r="F88" s="313"/>
      <c r="G88" s="27"/>
      <c r="H88" s="26" t="str">
        <f t="shared" si="23"/>
        <v/>
      </c>
      <c r="I88" s="313"/>
      <c r="J88" s="142"/>
      <c r="N88" s="84">
        <f>报表格式!Z88</f>
        <v>0</v>
      </c>
      <c r="O88" s="783" t="str">
        <f>IF(OR(MID(TRIM(报表格式!AA88),2,1)="：",MID(TRIM(报表格式!AA88),2,1)="、"),REPLACEB(TRIM(报表格式!AA88),1,4,""),TRIM(报表格式!AA88))</f>
        <v>非流动负债:</v>
      </c>
    </row>
    <row r="89" spans="1:15" s="23" customFormat="1">
      <c r="A89" s="1161"/>
      <c r="B89" s="1164"/>
      <c r="C89" s="1167"/>
      <c r="D89" s="17"/>
      <c r="E89" s="26" t="str">
        <f t="shared" si="22"/>
        <v/>
      </c>
      <c r="F89" s="313"/>
      <c r="G89" s="27"/>
      <c r="H89" s="26" t="str">
        <f t="shared" si="23"/>
        <v/>
      </c>
      <c r="I89" s="313"/>
      <c r="J89" s="142"/>
      <c r="N89" s="84" t="str">
        <f>报表格式!Z89</f>
        <v>E15</v>
      </c>
      <c r="O89" s="28" t="str">
        <f>IF(OR(MID(TRIM(报表格式!AA89),2,1)="：",MID(TRIM(报表格式!AA89),2,1)="、"),REPLACEB(TRIM(报表格式!AA89),1,4,""),TRIM(报表格式!AA89))</f>
        <v>长期借款</v>
      </c>
    </row>
    <row r="90" spans="1:15" s="23" customFormat="1">
      <c r="A90" s="453"/>
      <c r="B90" s="453"/>
      <c r="C90" s="454"/>
      <c r="D90" s="455"/>
      <c r="E90" s="456"/>
      <c r="F90" s="456"/>
      <c r="G90" s="455"/>
      <c r="H90" s="456"/>
      <c r="I90" s="456"/>
      <c r="J90" s="457" t="str">
        <f>IF(ABS((SUMIF(E84:E89,"?*",J84:J89)-SUMIF(H84:H89,"?*",J84:J89)))&lt;0.005,"","借贷不等")</f>
        <v/>
      </c>
      <c r="N90" s="84" t="str">
        <f>报表格式!Z90</f>
        <v>E16</v>
      </c>
      <c r="O90" s="28" t="str">
        <f>IF(OR(MID(TRIM(报表格式!AA90),2,1)="：",MID(TRIM(报表格式!AA90),2,1)="、"),REPLACEB(TRIM(报表格式!AA90),1,4,""),TRIM(报表格式!AA90))</f>
        <v>应付债券</v>
      </c>
    </row>
    <row r="91" spans="1:15" s="23" customFormat="1">
      <c r="A91" s="1159">
        <v>13</v>
      </c>
      <c r="B91" s="1162"/>
      <c r="C91" s="1165"/>
      <c r="D91" s="17"/>
      <c r="E91" s="26" t="str">
        <f t="shared" ref="E91:E96" si="24">IF(D91=0,"",VLOOKUP(D91,$N:$O,2,0))</f>
        <v/>
      </c>
      <c r="F91" s="313"/>
      <c r="G91" s="27"/>
      <c r="H91" s="26" t="str">
        <f t="shared" ref="H91:H96" si="25">IF(G91=0,"",VLOOKUP(G91,$N:$O,2,0))</f>
        <v/>
      </c>
      <c r="I91" s="313"/>
      <c r="J91" s="142"/>
      <c r="N91" s="84">
        <f>报表格式!Z91</f>
        <v>0</v>
      </c>
      <c r="O91" s="28" t="str">
        <f>IF(OR(MID(TRIM(报表格式!AA91),3,1)="：",MID(TRIM(报表格式!AA91),2,1)="、"),REPLACEB(TRIM(报表格式!AA91),1,6,""),TRIM(报表格式!AA91))</f>
        <v>优先股</v>
      </c>
    </row>
    <row r="92" spans="1:15" s="23" customFormat="1">
      <c r="A92" s="1160"/>
      <c r="B92" s="1163"/>
      <c r="C92" s="1166"/>
      <c r="D92" s="17"/>
      <c r="E92" s="26" t="str">
        <f t="shared" si="24"/>
        <v/>
      </c>
      <c r="F92" s="313"/>
      <c r="G92" s="27"/>
      <c r="H92" s="26" t="str">
        <f t="shared" si="25"/>
        <v/>
      </c>
      <c r="I92" s="313"/>
      <c r="J92" s="142"/>
      <c r="N92" s="84">
        <f>报表格式!Z92</f>
        <v>0</v>
      </c>
      <c r="O92" s="28" t="str">
        <f>IF(OR(MID(TRIM(报表格式!AA92),2,1)="：",MID(TRIM(报表格式!AA92),2,1)="、"),REPLACEB(TRIM(报表格式!AA92),1,4,""),TRIM(报表格式!AA92))</f>
        <v>永续债</v>
      </c>
    </row>
    <row r="93" spans="1:15" s="23" customFormat="1">
      <c r="A93" s="1160"/>
      <c r="B93" s="1163"/>
      <c r="C93" s="1166"/>
      <c r="D93" s="17"/>
      <c r="E93" s="26" t="str">
        <f t="shared" si="24"/>
        <v/>
      </c>
      <c r="F93" s="313"/>
      <c r="G93" s="27"/>
      <c r="H93" s="26" t="str">
        <f t="shared" si="25"/>
        <v/>
      </c>
      <c r="I93" s="313"/>
      <c r="J93" s="142"/>
      <c r="N93" s="84" t="str">
        <f>报表格式!Z93</f>
        <v>E17</v>
      </c>
      <c r="O93" s="28" t="str">
        <f>IF(OR(MID(TRIM(报表格式!AA93),2,1)="：",MID(TRIM(报表格式!AA93),2,1)="、"),REPLACEB(TRIM(报表格式!AA93),1,4,""),TRIM(报表格式!AA93))</f>
        <v>租赁负债</v>
      </c>
    </row>
    <row r="94" spans="1:15" s="23" customFormat="1">
      <c r="A94" s="1160"/>
      <c r="B94" s="1163"/>
      <c r="C94" s="1166"/>
      <c r="D94" s="17"/>
      <c r="E94" s="26" t="str">
        <f t="shared" si="24"/>
        <v/>
      </c>
      <c r="F94" s="313"/>
      <c r="G94" s="27"/>
      <c r="H94" s="26" t="str">
        <f t="shared" si="25"/>
        <v/>
      </c>
      <c r="I94" s="313"/>
      <c r="J94" s="142"/>
      <c r="N94" s="84" t="str">
        <f>报表格式!Z94</f>
        <v>E18</v>
      </c>
      <c r="O94" s="28" t="str">
        <f>IF(OR(MID(TRIM(报表格式!AA94),2,1)="：",MID(TRIM(报表格式!AA94),2,1)="、"),REPLACEB(TRIM(报表格式!AA94),1,4,""),TRIM(报表格式!AA94))</f>
        <v>长期应付款</v>
      </c>
    </row>
    <row r="95" spans="1:15" s="23" customFormat="1">
      <c r="A95" s="1160"/>
      <c r="B95" s="1163"/>
      <c r="C95" s="1166"/>
      <c r="D95" s="17"/>
      <c r="E95" s="26" t="str">
        <f t="shared" si="24"/>
        <v/>
      </c>
      <c r="F95" s="313"/>
      <c r="G95" s="27"/>
      <c r="H95" s="26" t="str">
        <f t="shared" si="25"/>
        <v/>
      </c>
      <c r="I95" s="313"/>
      <c r="J95" s="142"/>
      <c r="N95" s="84" t="str">
        <f>报表格式!Z95</f>
        <v>E19</v>
      </c>
      <c r="O95" s="28" t="str">
        <f>IF(OR(MID(TRIM(报表格式!AA95),2,1)="：",MID(TRIM(报表格式!AA95),2,1)="、"),REPLACEB(TRIM(报表格式!AA95),1,4,""),TRIM(报表格式!AA95))</f>
        <v>长期应付职工薪酬</v>
      </c>
    </row>
    <row r="96" spans="1:15" s="23" customFormat="1">
      <c r="A96" s="1161"/>
      <c r="B96" s="1164"/>
      <c r="C96" s="1167"/>
      <c r="D96" s="17"/>
      <c r="E96" s="26" t="str">
        <f t="shared" si="24"/>
        <v/>
      </c>
      <c r="F96" s="313"/>
      <c r="G96" s="27"/>
      <c r="H96" s="26" t="str">
        <f t="shared" si="25"/>
        <v/>
      </c>
      <c r="I96" s="313"/>
      <c r="J96" s="142"/>
      <c r="N96" s="84" t="str">
        <f>报表格式!Z96</f>
        <v>E20</v>
      </c>
      <c r="O96" s="28" t="str">
        <f>IF(OR(MID(TRIM(报表格式!AA96),2,1)="：",MID(TRIM(报表格式!AA96),2,1)="、"),REPLACEB(TRIM(报表格式!AA96),1,4,""),TRIM(报表格式!AA96))</f>
        <v>预计负债</v>
      </c>
    </row>
    <row r="97" spans="1:15" s="23" customFormat="1">
      <c r="A97" s="453"/>
      <c r="B97" s="453"/>
      <c r="C97" s="454"/>
      <c r="D97" s="455"/>
      <c r="E97" s="456"/>
      <c r="F97" s="456"/>
      <c r="G97" s="455"/>
      <c r="H97" s="456"/>
      <c r="I97" s="456"/>
      <c r="J97" s="457" t="str">
        <f>IF(ABS((SUMIF(E91:E96,"?*",J91:J96)-SUMIF(H91:H96,"?*",J91:J96)))&lt;0.005,"","借贷不等")</f>
        <v/>
      </c>
      <c r="N97" s="84" t="str">
        <f>报表格式!Z97</f>
        <v>E21</v>
      </c>
      <c r="O97" s="28" t="str">
        <f>IF(OR(MID(TRIM(报表格式!AA97),2,1)="：",MID(TRIM(报表格式!AA97),2,1)="、"),REPLACEB(TRIM(报表格式!AA97),1,4,""),TRIM(报表格式!AA97))</f>
        <v>递延收益</v>
      </c>
    </row>
    <row r="98" spans="1:15" s="23" customFormat="1">
      <c r="A98" s="1159">
        <v>14</v>
      </c>
      <c r="B98" s="1162"/>
      <c r="C98" s="1165"/>
      <c r="D98" s="17"/>
      <c r="E98" s="26" t="str">
        <f t="shared" ref="E98:E103" si="26">IF(D98=0,"",VLOOKUP(D98,$N:$O,2,0))</f>
        <v/>
      </c>
      <c r="F98" s="313"/>
      <c r="G98" s="27"/>
      <c r="H98" s="26" t="str">
        <f t="shared" ref="H98:H103" si="27">IF(G98=0,"",VLOOKUP(G98,$N:$O,2,0))</f>
        <v/>
      </c>
      <c r="I98" s="313"/>
      <c r="J98" s="142"/>
      <c r="N98" s="84" t="str">
        <f>报表格式!Z98</f>
        <v>E22</v>
      </c>
      <c r="O98" s="28" t="str">
        <f>IF(OR(MID(TRIM(报表格式!AA98),2,1)="：",MID(TRIM(报表格式!AA98),2,1)="、"),REPLACEB(TRIM(报表格式!AA98),1,4,""),TRIM(报表格式!AA98))</f>
        <v>递延所得税负债</v>
      </c>
    </row>
    <row r="99" spans="1:15" s="23" customFormat="1">
      <c r="A99" s="1160"/>
      <c r="B99" s="1163"/>
      <c r="C99" s="1166"/>
      <c r="D99" s="17"/>
      <c r="E99" s="26" t="str">
        <f t="shared" si="26"/>
        <v/>
      </c>
      <c r="F99" s="313"/>
      <c r="G99" s="27"/>
      <c r="H99" s="26" t="str">
        <f t="shared" si="27"/>
        <v/>
      </c>
      <c r="I99" s="313"/>
      <c r="J99" s="142"/>
      <c r="N99" s="84" t="str">
        <f>报表格式!Z99</f>
        <v>E23</v>
      </c>
      <c r="O99" s="28" t="str">
        <f>IF(OR(MID(TRIM(报表格式!AA99),2,1)="：",MID(TRIM(报表格式!AA99),2,1)="、"),REPLACEB(TRIM(报表格式!AA99),1,4,""),TRIM(报表格式!AA99))</f>
        <v>其他非流动负债</v>
      </c>
    </row>
    <row r="100" spans="1:15" s="23" customFormat="1">
      <c r="A100" s="1160"/>
      <c r="B100" s="1163"/>
      <c r="C100" s="1166"/>
      <c r="D100" s="17"/>
      <c r="E100" s="26" t="str">
        <f t="shared" si="26"/>
        <v/>
      </c>
      <c r="F100" s="313"/>
      <c r="G100" s="27"/>
      <c r="H100" s="26" t="str">
        <f t="shared" si="27"/>
        <v/>
      </c>
      <c r="I100" s="313"/>
      <c r="J100" s="142"/>
      <c r="N100" s="84">
        <f>报表格式!Z100</f>
        <v>0</v>
      </c>
      <c r="O100" s="859" t="str">
        <f>IF(OR(MID(TRIM(报表格式!AA100),2,1)="：",MID(TRIM(报表格式!AA100),2,1)="、"),REPLACEB(TRIM(报表格式!AA100),1,4,""),TRIM(报表格式!AA100))</f>
        <v>非流动负债合计</v>
      </c>
    </row>
    <row r="101" spans="1:15" s="23" customFormat="1">
      <c r="A101" s="1160"/>
      <c r="B101" s="1163"/>
      <c r="C101" s="1166"/>
      <c r="D101" s="17"/>
      <c r="E101" s="26" t="str">
        <f t="shared" si="26"/>
        <v/>
      </c>
      <c r="F101" s="313"/>
      <c r="G101" s="27"/>
      <c r="H101" s="26" t="str">
        <f t="shared" si="27"/>
        <v/>
      </c>
      <c r="I101" s="313"/>
      <c r="J101" s="142"/>
      <c r="N101" s="84">
        <f>报表格式!Z101</f>
        <v>0</v>
      </c>
      <c r="O101" s="859" t="str">
        <f>IF(OR(MID(TRIM(报表格式!AA101),2,1)="：",MID(TRIM(报表格式!AA101),2,1)="、"),REPLACEB(TRIM(报表格式!AA101),1,4,""),TRIM(报表格式!AA101))</f>
        <v>负 债 合 计</v>
      </c>
    </row>
    <row r="102" spans="1:15" s="23" customFormat="1">
      <c r="A102" s="1160"/>
      <c r="B102" s="1163"/>
      <c r="C102" s="1166"/>
      <c r="D102" s="17"/>
      <c r="E102" s="26" t="str">
        <f t="shared" si="26"/>
        <v/>
      </c>
      <c r="F102" s="313"/>
      <c r="G102" s="27"/>
      <c r="H102" s="26" t="str">
        <f t="shared" si="27"/>
        <v/>
      </c>
      <c r="I102" s="313"/>
      <c r="J102" s="142"/>
      <c r="N102" s="84">
        <f>报表格式!Z102</f>
        <v>0</v>
      </c>
      <c r="O102" s="783" t="str">
        <f>IF(OR(MID(TRIM(报表格式!AA102),2,1)="：",MID(TRIM(报表格式!AA102),2,1)="、"),REPLACEB(TRIM(报表格式!AA102),1,4,""),TRIM(报表格式!AA102))</f>
        <v>股东权益：</v>
      </c>
    </row>
    <row r="103" spans="1:15" s="23" customFormat="1">
      <c r="A103" s="1161"/>
      <c r="B103" s="1164"/>
      <c r="C103" s="1167"/>
      <c r="D103" s="17"/>
      <c r="E103" s="26" t="str">
        <f t="shared" si="26"/>
        <v/>
      </c>
      <c r="F103" s="313"/>
      <c r="G103" s="27"/>
      <c r="H103" s="26" t="str">
        <f t="shared" si="27"/>
        <v/>
      </c>
      <c r="I103" s="313"/>
      <c r="J103" s="142"/>
      <c r="N103" s="84" t="str">
        <f>报表格式!Z103</f>
        <v>F1</v>
      </c>
      <c r="O103" s="28" t="str">
        <f>IF(OR(MID(TRIM(报表格式!AA103),2,1)="：",MID(TRIM(报表格式!AA103),2,1)="、"),REPLACEB(TRIM(报表格式!AA103),1,4,""),TRIM(报表格式!AA103))</f>
        <v>股本</v>
      </c>
    </row>
    <row r="104" spans="1:15" s="23" customFormat="1">
      <c r="A104" s="453"/>
      <c r="B104" s="453"/>
      <c r="C104" s="454"/>
      <c r="D104" s="455"/>
      <c r="E104" s="456"/>
      <c r="F104" s="456"/>
      <c r="G104" s="455"/>
      <c r="H104" s="456"/>
      <c r="I104" s="456"/>
      <c r="J104" s="457" t="str">
        <f>IF(ABS((SUMIF(E98:E103,"?*",J98:J103)-SUMIF(H98:H103,"?*",J98:J103)))&lt;0.005,"","借贷不等")</f>
        <v/>
      </c>
      <c r="N104" s="84" t="str">
        <f>报表格式!Z104</f>
        <v>F2</v>
      </c>
      <c r="O104" s="28" t="str">
        <f>IF(OR(MID(TRIM(报表格式!AA104),2,1)="：",MID(TRIM(报表格式!AA104),2,1)="、"),REPLACEB(TRIM(报表格式!AA104),1,4,""),TRIM(报表格式!AA104))</f>
        <v>其他权益工具</v>
      </c>
    </row>
    <row r="105" spans="1:15" s="23" customFormat="1">
      <c r="A105" s="1159">
        <v>15</v>
      </c>
      <c r="B105" s="1162"/>
      <c r="C105" s="1165"/>
      <c r="D105" s="17"/>
      <c r="E105" s="26" t="str">
        <f t="shared" ref="E105:E110" si="28">IF(D105=0,"",VLOOKUP(D105,$N:$O,2,0))</f>
        <v/>
      </c>
      <c r="F105" s="313"/>
      <c r="G105" s="27"/>
      <c r="H105" s="26" t="str">
        <f t="shared" ref="H105:H110" si="29">IF(G105=0,"",VLOOKUP(G105,$N:$O,2,0))</f>
        <v/>
      </c>
      <c r="I105" s="313"/>
      <c r="J105" s="142"/>
      <c r="N105" s="84">
        <f>报表格式!Z105</f>
        <v>0</v>
      </c>
      <c r="O105" s="28" t="str">
        <f>IF(OR(MID(TRIM(报表格式!AA105),3,1)="：",MID(TRIM(报表格式!AA105),2,1)="、"),REPLACEB(TRIM(报表格式!AA105),1,6,""),TRIM(报表格式!AA105))</f>
        <v>优先股</v>
      </c>
    </row>
    <row r="106" spans="1:15" s="23" customFormat="1">
      <c r="A106" s="1160"/>
      <c r="B106" s="1163"/>
      <c r="C106" s="1166"/>
      <c r="D106" s="17"/>
      <c r="E106" s="26" t="str">
        <f t="shared" si="28"/>
        <v/>
      </c>
      <c r="F106" s="313"/>
      <c r="G106" s="27"/>
      <c r="H106" s="26" t="str">
        <f t="shared" si="29"/>
        <v/>
      </c>
      <c r="I106" s="313"/>
      <c r="J106" s="142"/>
      <c r="N106" s="84">
        <f>报表格式!Z106</f>
        <v>0</v>
      </c>
      <c r="O106" s="28" t="str">
        <f>IF(OR(MID(TRIM(报表格式!AA106),2,1)="：",MID(TRIM(报表格式!AA106),2,1)="、"),REPLACEB(TRIM(报表格式!AA106),1,4,""),TRIM(报表格式!AA106))</f>
        <v>永续债</v>
      </c>
    </row>
    <row r="107" spans="1:15" s="23" customFormat="1">
      <c r="A107" s="1160"/>
      <c r="B107" s="1163"/>
      <c r="C107" s="1166"/>
      <c r="D107" s="17"/>
      <c r="E107" s="26" t="str">
        <f t="shared" si="28"/>
        <v/>
      </c>
      <c r="F107" s="313"/>
      <c r="G107" s="27"/>
      <c r="H107" s="26" t="str">
        <f t="shared" si="29"/>
        <v/>
      </c>
      <c r="I107" s="313"/>
      <c r="J107" s="142"/>
      <c r="N107" s="84" t="str">
        <f>报表格式!Z107</f>
        <v>F3</v>
      </c>
      <c r="O107" s="28" t="str">
        <f>IF(OR(MID(TRIM(报表格式!AA107),2,1)="：",MID(TRIM(报表格式!AA107),2,1)="、"),REPLACEB(TRIM(报表格式!AA107),1,4,""),TRIM(报表格式!AA107))</f>
        <v>资本公积</v>
      </c>
    </row>
    <row r="108" spans="1:15" s="23" customFormat="1">
      <c r="A108" s="1160"/>
      <c r="B108" s="1163"/>
      <c r="C108" s="1166"/>
      <c r="D108" s="17"/>
      <c r="E108" s="26" t="str">
        <f t="shared" si="28"/>
        <v/>
      </c>
      <c r="F108" s="313"/>
      <c r="G108" s="27"/>
      <c r="H108" s="26" t="str">
        <f t="shared" si="29"/>
        <v/>
      </c>
      <c r="I108" s="313"/>
      <c r="J108" s="142"/>
      <c r="N108" s="84" t="str">
        <f>报表格式!Z108</f>
        <v>F4</v>
      </c>
      <c r="O108" s="28" t="str">
        <f>IF(OR(MID(TRIM(报表格式!AA108),2,1)="：",MID(TRIM(报表格式!AA108),2,1)="、"),REPLACEB(TRIM(报表格式!AA108),1,4,""),TRIM(报表格式!AA108))</f>
        <v>库存股</v>
      </c>
    </row>
    <row r="109" spans="1:15" s="23" customFormat="1">
      <c r="A109" s="1160"/>
      <c r="B109" s="1163"/>
      <c r="C109" s="1166"/>
      <c r="D109" s="17"/>
      <c r="E109" s="26" t="str">
        <f t="shared" si="28"/>
        <v/>
      </c>
      <c r="F109" s="313"/>
      <c r="G109" s="27"/>
      <c r="H109" s="26" t="str">
        <f t="shared" si="29"/>
        <v/>
      </c>
      <c r="I109" s="313"/>
      <c r="J109" s="142"/>
      <c r="N109" s="84" t="str">
        <f>报表格式!Z109</f>
        <v>F5</v>
      </c>
      <c r="O109" s="28" t="str">
        <f>IF(OR(MID(TRIM(报表格式!AA109),2,1)="：",MID(TRIM(报表格式!AA109),2,1)="、"),REPLACEB(TRIM(报表格式!AA109),1,4,""),TRIM(报表格式!AA109))</f>
        <v>其他综合收益</v>
      </c>
    </row>
    <row r="110" spans="1:15" s="23" customFormat="1">
      <c r="A110" s="1161"/>
      <c r="B110" s="1164"/>
      <c r="C110" s="1167"/>
      <c r="D110" s="17"/>
      <c r="E110" s="26" t="str">
        <f t="shared" si="28"/>
        <v/>
      </c>
      <c r="F110" s="313"/>
      <c r="G110" s="27"/>
      <c r="H110" s="26" t="str">
        <f t="shared" si="29"/>
        <v/>
      </c>
      <c r="I110" s="313"/>
      <c r="J110" s="142"/>
      <c r="N110" s="84" t="str">
        <f>报表格式!Z110</f>
        <v>F6</v>
      </c>
      <c r="O110" s="28" t="str">
        <f>IF(OR(MID(TRIM(报表格式!AA110),2,1)="：",MID(TRIM(报表格式!AA110),2,1)="、"),REPLACEB(TRIM(报表格式!AA110),1,4,""),TRIM(报表格式!AA110))</f>
        <v>专项储备</v>
      </c>
    </row>
    <row r="111" spans="1:15" s="23" customFormat="1">
      <c r="A111" s="453"/>
      <c r="B111" s="453"/>
      <c r="C111" s="454"/>
      <c r="D111" s="455"/>
      <c r="E111" s="456"/>
      <c r="F111" s="456"/>
      <c r="G111" s="455"/>
      <c r="H111" s="456"/>
      <c r="I111" s="456"/>
      <c r="J111" s="457" t="str">
        <f>IF(ABS((SUMIF(E105:E110,"?*",J105:J110)-SUMIF(H105:H110,"?*",J105:J110)))&lt;0.005,"","借贷不等")</f>
        <v/>
      </c>
      <c r="N111" s="84" t="str">
        <f>报表格式!Z111</f>
        <v>F7</v>
      </c>
      <c r="O111" s="28" t="str">
        <f>IF(OR(MID(TRIM(报表格式!AA111),2,1)="：",MID(TRIM(报表格式!AA111),2,1)="、"),REPLACEB(TRIM(报表格式!AA111),1,4,""),TRIM(报表格式!AA111))</f>
        <v>盈余公积</v>
      </c>
    </row>
    <row r="112" spans="1:15" s="23" customFormat="1">
      <c r="A112" s="1159">
        <v>16</v>
      </c>
      <c r="B112" s="1162"/>
      <c r="C112" s="1165"/>
      <c r="D112" s="17"/>
      <c r="E112" s="26" t="str">
        <f t="shared" ref="E112:E117" si="30">IF(D112=0,"",VLOOKUP(D112,$N:$O,2,0))</f>
        <v/>
      </c>
      <c r="F112" s="313"/>
      <c r="G112" s="27"/>
      <c r="H112" s="26" t="str">
        <f t="shared" ref="H112:H117" si="31">IF(G112=0,"",VLOOKUP(G112,$N:$O,2,0))</f>
        <v/>
      </c>
      <c r="I112" s="313"/>
      <c r="J112" s="142"/>
      <c r="N112" s="84" t="str">
        <f>报表格式!Z112</f>
        <v>F10</v>
      </c>
      <c r="O112" s="28" t="str">
        <f>IF(OR(MID(TRIM(报表格式!AA112),2,1)="：",MID(TRIM(报表格式!AA112),2,1)="、"),REPLACEB(TRIM(报表格式!AA112),1,4,""),TRIM(报表格式!AA112))</f>
        <v>一般风险准备</v>
      </c>
    </row>
    <row r="113" spans="1:15" s="23" customFormat="1">
      <c r="A113" s="1160"/>
      <c r="B113" s="1163"/>
      <c r="C113" s="1166"/>
      <c r="D113" s="17"/>
      <c r="E113" s="26" t="str">
        <f t="shared" si="30"/>
        <v/>
      </c>
      <c r="F113" s="313"/>
      <c r="G113" s="27"/>
      <c r="H113" s="26" t="str">
        <f t="shared" si="31"/>
        <v/>
      </c>
      <c r="I113" s="313"/>
      <c r="J113" s="142"/>
      <c r="N113" s="84" t="str">
        <f>报表格式!Z113</f>
        <v>F8</v>
      </c>
      <c r="O113" s="28" t="str">
        <f>IF(OR(MID(TRIM(报表格式!AA113),2,1)="：",MID(TRIM(报表格式!AA113),2,1)="、"),REPLACEB(TRIM(报表格式!AA113),1,4,""),TRIM(报表格式!AA113))</f>
        <v>未分配利润</v>
      </c>
    </row>
    <row r="114" spans="1:15" s="23" customFormat="1">
      <c r="A114" s="1160"/>
      <c r="B114" s="1163"/>
      <c r="C114" s="1166"/>
      <c r="D114" s="17"/>
      <c r="E114" s="26" t="str">
        <f t="shared" si="30"/>
        <v/>
      </c>
      <c r="F114" s="313"/>
      <c r="G114" s="27"/>
      <c r="H114" s="26" t="str">
        <f t="shared" si="31"/>
        <v/>
      </c>
      <c r="I114" s="313"/>
      <c r="J114" s="142"/>
      <c r="N114" s="84"/>
      <c r="O114" s="28" t="str">
        <f>IF(OR(MID(TRIM(报表格式!AA114),2,1)="：",MID(TRIM(报表格式!AA114),2,1)="、"),REPLACEB(TRIM(报表格式!AA114),1,4,""),TRIM(报表格式!AA114))</f>
        <v>归属于母公司股东权益合计</v>
      </c>
    </row>
    <row r="115" spans="1:15" s="23" customFormat="1">
      <c r="A115" s="1160"/>
      <c r="B115" s="1163"/>
      <c r="C115" s="1166"/>
      <c r="D115" s="17"/>
      <c r="E115" s="26" t="str">
        <f t="shared" si="30"/>
        <v/>
      </c>
      <c r="F115" s="313"/>
      <c r="G115" s="27"/>
      <c r="H115" s="26" t="str">
        <f t="shared" si="31"/>
        <v/>
      </c>
      <c r="I115" s="313"/>
      <c r="J115" s="142"/>
      <c r="N115" s="84" t="str">
        <f>报表格式!Z115</f>
        <v>F9</v>
      </c>
      <c r="O115" s="28" t="str">
        <f>IF(OR(MID(TRIM(报表格式!AA115),2,1)="：",MID(TRIM(报表格式!AA115),2,1)="、"),REPLACEB(TRIM(报表格式!AA115),1,4,""),TRIM(报表格式!AA115))</f>
        <v>少数股东权益</v>
      </c>
    </row>
    <row r="116" spans="1:15" s="23" customFormat="1">
      <c r="A116" s="1160"/>
      <c r="B116" s="1163"/>
      <c r="C116" s="1166"/>
      <c r="D116" s="17"/>
      <c r="E116" s="26" t="str">
        <f t="shared" si="30"/>
        <v/>
      </c>
      <c r="F116" s="313"/>
      <c r="G116" s="27"/>
      <c r="H116" s="26" t="str">
        <f t="shared" si="31"/>
        <v/>
      </c>
      <c r="I116" s="313"/>
      <c r="J116" s="142"/>
      <c r="N116" s="84">
        <f>报表格式!Z116</f>
        <v>0</v>
      </c>
      <c r="O116" s="859" t="str">
        <f>IF(OR(MID(TRIM(报表格式!AA116),2,1)="：",MID(TRIM(报表格式!AA116),2,1)="、"),REPLACEB(TRIM(报表格式!AA116),1,4,""),TRIM(报表格式!AA116))</f>
        <v>股东权益合计</v>
      </c>
    </row>
    <row r="117" spans="1:15" s="23" customFormat="1">
      <c r="A117" s="1161"/>
      <c r="B117" s="1164"/>
      <c r="C117" s="1167"/>
      <c r="D117" s="17"/>
      <c r="E117" s="26" t="str">
        <f t="shared" si="30"/>
        <v/>
      </c>
      <c r="F117" s="313"/>
      <c r="G117" s="27"/>
      <c r="H117" s="26" t="str">
        <f t="shared" si="31"/>
        <v/>
      </c>
      <c r="I117" s="313"/>
      <c r="J117" s="142"/>
      <c r="N117" s="84">
        <f>报表格式!Z117</f>
        <v>0</v>
      </c>
      <c r="O117" s="859" t="str">
        <f>IF(OR(MID(TRIM(报表格式!AA117),2,1)="：",MID(TRIM(报表格式!AA117),2,1)="、"),REPLACEB(TRIM(报表格式!AA117),1,4,""),TRIM(报表格式!AA117))</f>
        <v>负债和股东权益合计</v>
      </c>
    </row>
    <row r="118" spans="1:15" s="23" customFormat="1">
      <c r="A118" s="453"/>
      <c r="B118" s="453"/>
      <c r="C118" s="454"/>
      <c r="D118" s="455"/>
      <c r="E118" s="456"/>
      <c r="F118" s="456"/>
      <c r="G118" s="455"/>
      <c r="H118" s="456"/>
      <c r="I118" s="456"/>
      <c r="J118" s="457" t="str">
        <f>IF(ABS((SUMIF(E112:E117,"?*",J112:J117)-SUMIF(H112:H117,"?*",J112:J117)))&lt;0.005,"","借贷不等")</f>
        <v/>
      </c>
      <c r="N118" s="84">
        <f>报表格式!Z118</f>
        <v>0</v>
      </c>
      <c r="O118" s="28" t="str">
        <f>IF(OR(MID(TRIM(报表格式!AA118),2,1)="：",MID(TRIM(报表格式!AA118),2,1)="、"),REPLACEB(TRIM(报表格式!AA118),1,4,""),TRIM(报表格式!AA118))</f>
        <v>0</v>
      </c>
    </row>
    <row r="119" spans="1:15" s="23" customFormat="1">
      <c r="A119" s="1159">
        <v>17</v>
      </c>
      <c r="B119" s="1162"/>
      <c r="C119" s="1165"/>
      <c r="D119" s="17"/>
      <c r="E119" s="26" t="str">
        <f t="shared" ref="E119:E124" si="32">IF(D119=0,"",VLOOKUP(D119,$N:$O,2,0))</f>
        <v/>
      </c>
      <c r="F119" s="313"/>
      <c r="G119" s="27"/>
      <c r="H119" s="26" t="str">
        <f t="shared" ref="H119:H124" si="33">IF(G119=0,"",VLOOKUP(G119,$N:$O,2,0))</f>
        <v/>
      </c>
      <c r="I119" s="313"/>
      <c r="J119" s="142"/>
      <c r="N119" s="84">
        <f>报表格式!Z119</f>
        <v>0</v>
      </c>
      <c r="O119" s="28" t="str">
        <f>IF(OR(MID(TRIM(报表格式!AA119),2,1)="：",MID(TRIM(报表格式!AA119),2,1)="、"),REPLACEB(TRIM(报表格式!AA119),1,4,""),TRIM(报表格式!AA119))</f>
        <v>0</v>
      </c>
    </row>
    <row r="120" spans="1:15" s="23" customFormat="1">
      <c r="A120" s="1160"/>
      <c r="B120" s="1163"/>
      <c r="C120" s="1166"/>
      <c r="D120" s="17"/>
      <c r="E120" s="26" t="str">
        <f t="shared" si="32"/>
        <v/>
      </c>
      <c r="F120" s="313"/>
      <c r="G120" s="27"/>
      <c r="H120" s="26" t="str">
        <f t="shared" si="33"/>
        <v/>
      </c>
      <c r="I120" s="313"/>
      <c r="J120" s="142"/>
      <c r="N120" s="84">
        <f>报表格式!Z120</f>
        <v>0</v>
      </c>
      <c r="O120" s="28" t="str">
        <f>IF(OR(MID(TRIM(报表格式!AA120),2,1)="：",MID(TRIM(报表格式!AA120),2,1)="、"),REPLACEB(TRIM(报表格式!AA120),1,4,""),TRIM(报表格式!AA120))</f>
        <v/>
      </c>
    </row>
    <row r="121" spans="1:15" s="23" customFormat="1">
      <c r="A121" s="1160"/>
      <c r="B121" s="1163"/>
      <c r="C121" s="1166"/>
      <c r="D121" s="17"/>
      <c r="E121" s="26" t="str">
        <f t="shared" si="32"/>
        <v/>
      </c>
      <c r="F121" s="313"/>
      <c r="G121" s="27"/>
      <c r="H121" s="26" t="str">
        <f t="shared" si="33"/>
        <v/>
      </c>
      <c r="I121" s="313"/>
      <c r="J121" s="142"/>
      <c r="N121" s="84" t="str">
        <f>报表格式!Z121</f>
        <v>G1</v>
      </c>
      <c r="O121" s="782" t="str">
        <f>IF(OR(MID(TRIM(报表格式!AA121),2,1)="：",MID(TRIM(报表格式!AA121),2,1)="、"),REPLACEB(TRIM(报表格式!AA121),1,4,""),TRIM(报表格式!AA121))</f>
        <v>营业收入</v>
      </c>
    </row>
    <row r="122" spans="1:15" s="23" customFormat="1">
      <c r="A122" s="1160"/>
      <c r="B122" s="1163"/>
      <c r="C122" s="1166"/>
      <c r="D122" s="17"/>
      <c r="E122" s="26" t="str">
        <f t="shared" si="32"/>
        <v/>
      </c>
      <c r="F122" s="313"/>
      <c r="G122" s="27"/>
      <c r="H122" s="26" t="str">
        <f t="shared" si="33"/>
        <v/>
      </c>
      <c r="I122" s="313"/>
      <c r="J122" s="142"/>
      <c r="N122" s="84">
        <f>报表格式!Z122</f>
        <v>0</v>
      </c>
      <c r="O122" s="28" t="str">
        <f>IF(OR(MID(TRIM(报表格式!AA122),3,1)="：",MID(TRIM(报表格式!AA122),2,1)="、"),REPLACEB(TRIM(报表格式!AA122),1,6,""),TRIM(报表格式!AA122))</f>
        <v>主营业务收入</v>
      </c>
    </row>
    <row r="123" spans="1:15" s="23" customFormat="1">
      <c r="A123" s="1160"/>
      <c r="B123" s="1163"/>
      <c r="C123" s="1166"/>
      <c r="D123" s="17"/>
      <c r="E123" s="26" t="str">
        <f t="shared" si="32"/>
        <v/>
      </c>
      <c r="F123" s="313"/>
      <c r="G123" s="27"/>
      <c r="H123" s="26" t="str">
        <f t="shared" si="33"/>
        <v/>
      </c>
      <c r="I123" s="313"/>
      <c r="J123" s="142"/>
      <c r="N123" s="84">
        <f>报表格式!Z123</f>
        <v>0</v>
      </c>
      <c r="O123" s="28" t="str">
        <f>IF(OR(MID(TRIM(报表格式!AA123),3,1)="：",MID(TRIM(报表格式!AA123),2,1)="、"),REPLACEB(TRIM(报表格式!AA123),1,6,""),TRIM(报表格式!AA123))</f>
        <v>利息收入</v>
      </c>
    </row>
    <row r="124" spans="1:15" s="23" customFormat="1">
      <c r="A124" s="1161"/>
      <c r="B124" s="1164"/>
      <c r="C124" s="1167"/>
      <c r="D124" s="17"/>
      <c r="E124" s="26" t="str">
        <f t="shared" si="32"/>
        <v/>
      </c>
      <c r="F124" s="313"/>
      <c r="G124" s="27"/>
      <c r="H124" s="26" t="str">
        <f t="shared" si="33"/>
        <v/>
      </c>
      <c r="I124" s="313"/>
      <c r="J124" s="142"/>
      <c r="N124" s="84">
        <f>报表格式!Z124</f>
        <v>0</v>
      </c>
      <c r="O124" s="28" t="str">
        <f>IF(OR(MID(TRIM(报表格式!AA124),3,1)="：",MID(TRIM(报表格式!AA124),2,1)="、"),REPLACEB(TRIM(报表格式!AA124),1,6,""),TRIM(报表格式!AA124))</f>
        <v>已赚保费</v>
      </c>
    </row>
    <row r="125" spans="1:15" s="23" customFormat="1">
      <c r="A125" s="453"/>
      <c r="B125" s="453"/>
      <c r="C125" s="454"/>
      <c r="D125" s="455"/>
      <c r="E125" s="456"/>
      <c r="F125" s="456"/>
      <c r="G125" s="455"/>
      <c r="H125" s="456"/>
      <c r="I125" s="456"/>
      <c r="J125" s="457" t="str">
        <f>IF(ABS((SUMIF(E119:E124,"?*",J119:J124)-SUMIF(H119:H124,"?*",J119:J124)))&lt;0.005,"","借贷不等")</f>
        <v/>
      </c>
      <c r="N125" s="84">
        <f>报表格式!Z125</f>
        <v>0</v>
      </c>
      <c r="O125" s="28" t="str">
        <f>IF(OR(MID(TRIM(报表格式!AA125),3,1)="：",MID(TRIM(报表格式!AA125),2,1)="、"),REPLACEB(TRIM(报表格式!AA125),1,6,""),TRIM(报表格式!AA125))</f>
        <v>手续费及佣金收入</v>
      </c>
    </row>
    <row r="126" spans="1:15" s="23" customFormat="1">
      <c r="A126" s="1159">
        <v>18</v>
      </c>
      <c r="B126" s="1162"/>
      <c r="C126" s="1165"/>
      <c r="D126" s="17"/>
      <c r="E126" s="26" t="str">
        <f t="shared" ref="E126:E131" si="34">IF(D126=0,"",VLOOKUP(D126,$N:$O,2,0))</f>
        <v/>
      </c>
      <c r="F126" s="313"/>
      <c r="G126" s="27"/>
      <c r="H126" s="26" t="str">
        <f t="shared" ref="H126:H131" si="35">IF(G126=0,"",VLOOKUP(G126,$N:$O,2,0))</f>
        <v/>
      </c>
      <c r="I126" s="313"/>
      <c r="J126" s="142"/>
      <c r="N126" s="84">
        <f>报表格式!Z126</f>
        <v>0</v>
      </c>
      <c r="O126" s="28" t="str">
        <f>IF(OR(MID(TRIM(报表格式!AA126),2,1)="：",MID(TRIM(报表格式!AA126),2,1)="、"),REPLACEB(TRIM(报表格式!AA126),1,4,""),TRIM(报表格式!AA126))</f>
        <v>其他业务收入</v>
      </c>
    </row>
    <row r="127" spans="1:15" s="23" customFormat="1">
      <c r="A127" s="1160"/>
      <c r="B127" s="1163"/>
      <c r="C127" s="1166"/>
      <c r="D127" s="17"/>
      <c r="E127" s="26" t="str">
        <f t="shared" si="34"/>
        <v/>
      </c>
      <c r="F127" s="313"/>
      <c r="G127" s="27"/>
      <c r="H127" s="26" t="str">
        <f t="shared" si="35"/>
        <v/>
      </c>
      <c r="I127" s="313"/>
      <c r="J127" s="142"/>
      <c r="N127" s="84" t="str">
        <f>报表格式!Z127</f>
        <v>G2</v>
      </c>
      <c r="O127" s="782" t="str">
        <f>IF(OR(MID(TRIM(报表格式!AA127),2,1)="：",MID(TRIM(报表格式!AA127),2,1)="、"),REPLACEB(TRIM(报表格式!AA127),1,4,""),TRIM(报表格式!AA127))</f>
        <v>营业成本</v>
      </c>
    </row>
    <row r="128" spans="1:15" s="23" customFormat="1">
      <c r="A128" s="1160"/>
      <c r="B128" s="1163"/>
      <c r="C128" s="1166"/>
      <c r="D128" s="17"/>
      <c r="E128" s="26" t="str">
        <f t="shared" si="34"/>
        <v/>
      </c>
      <c r="F128" s="313"/>
      <c r="G128" s="27"/>
      <c r="H128" s="26" t="str">
        <f t="shared" si="35"/>
        <v/>
      </c>
      <c r="I128" s="313"/>
      <c r="J128" s="142"/>
      <c r="N128" s="84">
        <f>报表格式!Z128</f>
        <v>0</v>
      </c>
      <c r="O128" s="28" t="str">
        <f>IF(OR(MID(TRIM(报表格式!AA128),3,1)="：",MID(TRIM(报表格式!AA128),2,1)="、"),REPLACEB(TRIM(报表格式!AA128),1,6,""),TRIM(报表格式!AA128))</f>
        <v>主营业务成本</v>
      </c>
    </row>
    <row r="129" spans="1:15" s="23" customFormat="1">
      <c r="A129" s="1160"/>
      <c r="B129" s="1163"/>
      <c r="C129" s="1166"/>
      <c r="D129" s="17"/>
      <c r="E129" s="26" t="str">
        <f t="shared" si="34"/>
        <v/>
      </c>
      <c r="F129" s="313"/>
      <c r="G129" s="27"/>
      <c r="H129" s="26" t="str">
        <f t="shared" si="35"/>
        <v/>
      </c>
      <c r="I129" s="313"/>
      <c r="J129" s="142"/>
      <c r="N129" s="84">
        <f>报表格式!Z129</f>
        <v>0</v>
      </c>
      <c r="O129" s="28" t="str">
        <f>IF(OR(MID(TRIM(报表格式!AA129),3,1)="：",MID(TRIM(报表格式!AA129),2,1)="、"),REPLACEB(TRIM(报表格式!AA129),1,6,""),TRIM(报表格式!AA129))</f>
        <v>利息支出</v>
      </c>
    </row>
    <row r="130" spans="1:15" s="23" customFormat="1">
      <c r="A130" s="1160"/>
      <c r="B130" s="1163"/>
      <c r="C130" s="1166"/>
      <c r="D130" s="17"/>
      <c r="E130" s="26" t="str">
        <f t="shared" si="34"/>
        <v/>
      </c>
      <c r="F130" s="313"/>
      <c r="G130" s="27"/>
      <c r="H130" s="26" t="str">
        <f t="shared" si="35"/>
        <v/>
      </c>
      <c r="I130" s="313"/>
      <c r="J130" s="142"/>
      <c r="N130" s="84">
        <f>报表格式!Z130</f>
        <v>0</v>
      </c>
      <c r="O130" s="28" t="str">
        <f>IF(OR(MID(TRIM(报表格式!AA130),3,1)="：",MID(TRIM(报表格式!AA130),2,1)="、"),REPLACEB(TRIM(报表格式!AA130),1,6,""),TRIM(报表格式!AA130))</f>
        <v>手续费及佣金支出</v>
      </c>
    </row>
    <row r="131" spans="1:15" s="23" customFormat="1">
      <c r="A131" s="1161"/>
      <c r="B131" s="1164"/>
      <c r="C131" s="1167"/>
      <c r="D131" s="17"/>
      <c r="E131" s="26" t="str">
        <f t="shared" si="34"/>
        <v/>
      </c>
      <c r="F131" s="313"/>
      <c r="G131" s="27"/>
      <c r="H131" s="26" t="str">
        <f t="shared" si="35"/>
        <v/>
      </c>
      <c r="I131" s="313"/>
      <c r="J131" s="142"/>
      <c r="N131" s="84">
        <f>报表格式!Z131</f>
        <v>0</v>
      </c>
      <c r="O131" s="28" t="str">
        <f>IF(OR(MID(TRIM(报表格式!AA131),3,1)="：",MID(TRIM(报表格式!AA131),2,1)="、"),REPLACEB(TRIM(报表格式!AA131),1,6,""),TRIM(报表格式!AA131))</f>
        <v>退保金</v>
      </c>
    </row>
    <row r="132" spans="1:15" s="23" customFormat="1">
      <c r="A132" s="453"/>
      <c r="B132" s="453"/>
      <c r="C132" s="454"/>
      <c r="D132" s="455"/>
      <c r="E132" s="456"/>
      <c r="F132" s="456"/>
      <c r="G132" s="455"/>
      <c r="H132" s="456"/>
      <c r="I132" s="456"/>
      <c r="J132" s="457" t="str">
        <f>IF(ABS((SUMIF(E126:E131,"?*",J126:J131)-SUMIF(H126:H131,"?*",J126:J131)))&lt;0.005,"","借贷不等")</f>
        <v/>
      </c>
      <c r="N132" s="84">
        <f>报表格式!Z132</f>
        <v>0</v>
      </c>
      <c r="O132" s="28" t="str">
        <f>IF(OR(MID(TRIM(报表格式!AA132),3,1)="：",MID(TRIM(报表格式!AA132),2,1)="、"),REPLACEB(TRIM(报表格式!AA132),1,6,""),TRIM(报表格式!AA132))</f>
        <v>赔付支出净额</v>
      </c>
    </row>
    <row r="133" spans="1:15" s="23" customFormat="1">
      <c r="A133" s="1159">
        <v>19</v>
      </c>
      <c r="B133" s="1162"/>
      <c r="C133" s="1165"/>
      <c r="D133" s="17"/>
      <c r="E133" s="26" t="str">
        <f t="shared" ref="E133:E138" si="36">IF(D133=0,"",VLOOKUP(D133,$N:$O,2,0))</f>
        <v/>
      </c>
      <c r="F133" s="313"/>
      <c r="G133" s="27"/>
      <c r="H133" s="26" t="str">
        <f t="shared" ref="H133:H138" si="37">IF(G133=0,"",VLOOKUP(G133,$N:$O,2,0))</f>
        <v/>
      </c>
      <c r="I133" s="313"/>
      <c r="J133" s="142"/>
      <c r="N133" s="84">
        <f>报表格式!Z133</f>
        <v>0</v>
      </c>
      <c r="O133" s="28" t="str">
        <f>IF(OR(MID(TRIM(报表格式!AA133),3,1)="：",MID(TRIM(报表格式!AA133),2,1)="、"),REPLACEB(TRIM(报表格式!AA133),1,6,""),TRIM(报表格式!AA133))</f>
        <v>提取保险合同准备金净额</v>
      </c>
    </row>
    <row r="134" spans="1:15" s="23" customFormat="1">
      <c r="A134" s="1160"/>
      <c r="B134" s="1163"/>
      <c r="C134" s="1166"/>
      <c r="D134" s="17"/>
      <c r="E134" s="26" t="str">
        <f t="shared" si="36"/>
        <v/>
      </c>
      <c r="F134" s="313"/>
      <c r="G134" s="27"/>
      <c r="H134" s="26" t="str">
        <f t="shared" si="37"/>
        <v/>
      </c>
      <c r="I134" s="313"/>
      <c r="J134" s="142"/>
      <c r="N134" s="84">
        <f>报表格式!Z134</f>
        <v>0</v>
      </c>
      <c r="O134" s="28" t="str">
        <f>IF(OR(MID(TRIM(报表格式!AA134),3,1)="：",MID(TRIM(报表格式!AA134),2,1)="、"),REPLACEB(TRIM(报表格式!AA134),1,6,""),TRIM(报表格式!AA134))</f>
        <v>保单红利支出</v>
      </c>
    </row>
    <row r="135" spans="1:15" s="23" customFormat="1">
      <c r="A135" s="1160"/>
      <c r="B135" s="1163"/>
      <c r="C135" s="1166"/>
      <c r="D135" s="17"/>
      <c r="E135" s="26" t="str">
        <f t="shared" si="36"/>
        <v/>
      </c>
      <c r="F135" s="313"/>
      <c r="G135" s="27"/>
      <c r="H135" s="26" t="str">
        <f t="shared" si="37"/>
        <v/>
      </c>
      <c r="I135" s="313"/>
      <c r="J135" s="142"/>
      <c r="N135" s="84">
        <f>报表格式!Z135</f>
        <v>0</v>
      </c>
      <c r="O135" s="28" t="str">
        <f>IF(OR(MID(TRIM(报表格式!AA135),3,1)="：",MID(TRIM(报表格式!AA135),2,1)="、"),REPLACEB(TRIM(报表格式!AA135),1,6,""),TRIM(报表格式!AA135))</f>
        <v>分保费用</v>
      </c>
    </row>
    <row r="136" spans="1:15" s="23" customFormat="1">
      <c r="A136" s="1160"/>
      <c r="B136" s="1163"/>
      <c r="C136" s="1166"/>
      <c r="D136" s="17"/>
      <c r="E136" s="26" t="str">
        <f t="shared" si="36"/>
        <v/>
      </c>
      <c r="F136" s="313"/>
      <c r="G136" s="27"/>
      <c r="H136" s="26" t="str">
        <f t="shared" si="37"/>
        <v/>
      </c>
      <c r="I136" s="313"/>
      <c r="J136" s="142"/>
      <c r="N136" s="84">
        <f>报表格式!Z136</f>
        <v>0</v>
      </c>
      <c r="O136" s="28" t="str">
        <f>IF(OR(MID(TRIM(报表格式!AA136),2,1)="：",MID(TRIM(报表格式!AA136),2,1)="、"),REPLACEB(TRIM(报表格式!AA136),1,4,""),TRIM(报表格式!AA136))</f>
        <v>其他业务成本</v>
      </c>
    </row>
    <row r="137" spans="1:15" s="23" customFormat="1">
      <c r="A137" s="1160"/>
      <c r="B137" s="1163"/>
      <c r="C137" s="1166"/>
      <c r="D137" s="17"/>
      <c r="E137" s="26" t="str">
        <f t="shared" si="36"/>
        <v/>
      </c>
      <c r="F137" s="313"/>
      <c r="G137" s="27"/>
      <c r="H137" s="26" t="str">
        <f t="shared" si="37"/>
        <v/>
      </c>
      <c r="I137" s="313"/>
      <c r="J137" s="142"/>
      <c r="N137" s="84" t="str">
        <f>报表格式!Z137</f>
        <v>G3</v>
      </c>
      <c r="O137" s="28" t="str">
        <f>IF(OR(MID(TRIM(报表格式!AA137),2,1)="：",MID(TRIM(报表格式!AA137),2,1)="、"),REPLACEB(TRIM(报表格式!AA137),1,4,""),TRIM(报表格式!AA137))</f>
        <v>税金及附加</v>
      </c>
    </row>
    <row r="138" spans="1:15" s="23" customFormat="1">
      <c r="A138" s="1161"/>
      <c r="B138" s="1164"/>
      <c r="C138" s="1167"/>
      <c r="D138" s="17"/>
      <c r="E138" s="26" t="str">
        <f t="shared" si="36"/>
        <v/>
      </c>
      <c r="F138" s="313"/>
      <c r="G138" s="27"/>
      <c r="H138" s="26" t="str">
        <f t="shared" si="37"/>
        <v/>
      </c>
      <c r="I138" s="313"/>
      <c r="J138" s="142"/>
      <c r="N138" s="84" t="str">
        <f>报表格式!Z138</f>
        <v>G4</v>
      </c>
      <c r="O138" s="28" t="str">
        <f>IF(OR(MID(TRIM(报表格式!AA138),2,1)="：",MID(TRIM(报表格式!AA138),2,1)="、"),REPLACEB(TRIM(报表格式!AA138),1,4,""),TRIM(报表格式!AA138))</f>
        <v>销售费用</v>
      </c>
    </row>
    <row r="139" spans="1:15" s="23" customFormat="1">
      <c r="A139" s="453"/>
      <c r="B139" s="453"/>
      <c r="C139" s="454"/>
      <c r="D139" s="455"/>
      <c r="E139" s="456"/>
      <c r="F139" s="456"/>
      <c r="G139" s="455"/>
      <c r="H139" s="456"/>
      <c r="I139" s="456"/>
      <c r="J139" s="457" t="str">
        <f>IF(ABS((SUMIF(E133:E138,"?*",J133:J138)-SUMIF(H133:H138,"?*",J133:J138)))&lt;0.005,"","借贷不等")</f>
        <v/>
      </c>
      <c r="N139" s="84" t="str">
        <f>报表格式!Z139</f>
        <v>G5</v>
      </c>
      <c r="O139" s="28" t="str">
        <f>IF(OR(MID(TRIM(报表格式!AA139),2,1)="：",MID(TRIM(报表格式!AA139),2,1)="、"),REPLACEB(TRIM(报表格式!AA139),1,4,""),TRIM(报表格式!AA139))</f>
        <v>管理费用</v>
      </c>
    </row>
    <row r="140" spans="1:15" s="23" customFormat="1">
      <c r="A140" s="1159">
        <v>20</v>
      </c>
      <c r="B140" s="1162"/>
      <c r="C140" s="1165"/>
      <c r="D140" s="17"/>
      <c r="E140" s="26" t="str">
        <f t="shared" ref="E140:E145" si="38">IF(D140=0,"",VLOOKUP(D140,$N:$O,2,0))</f>
        <v/>
      </c>
      <c r="F140" s="313"/>
      <c r="G140" s="27"/>
      <c r="H140" s="26" t="str">
        <f t="shared" ref="H140:H145" si="39">IF(G140=0,"",VLOOKUP(G140,$N:$O,2,0))</f>
        <v/>
      </c>
      <c r="I140" s="313"/>
      <c r="J140" s="142"/>
      <c r="N140" s="84" t="str">
        <f>报表格式!Z140</f>
        <v>G6</v>
      </c>
      <c r="O140" s="28" t="str">
        <f>IF(OR(MID(TRIM(报表格式!AA140),2,1)="：",MID(TRIM(报表格式!AA140),2,1)="、"),REPLACEB(TRIM(报表格式!AA140),1,4,""),TRIM(报表格式!AA140))</f>
        <v>研发费用</v>
      </c>
    </row>
    <row r="141" spans="1:15" s="23" customFormat="1">
      <c r="A141" s="1160"/>
      <c r="B141" s="1163"/>
      <c r="C141" s="1166"/>
      <c r="D141" s="17"/>
      <c r="E141" s="26" t="str">
        <f t="shared" si="38"/>
        <v/>
      </c>
      <c r="F141" s="313"/>
      <c r="G141" s="27"/>
      <c r="H141" s="26" t="str">
        <f t="shared" si="39"/>
        <v/>
      </c>
      <c r="I141" s="313"/>
      <c r="J141" s="142"/>
      <c r="N141" s="84" t="str">
        <f>报表格式!Z141</f>
        <v>G7</v>
      </c>
      <c r="O141" s="28" t="str">
        <f>IF(OR(MID(TRIM(报表格式!AA141),2,1)="：",MID(TRIM(报表格式!AA141),2,1)="、"),REPLACEB(TRIM(报表格式!AA141),1,4,""),TRIM(报表格式!AA141))</f>
        <v>财务费用</v>
      </c>
    </row>
    <row r="142" spans="1:15" s="23" customFormat="1">
      <c r="A142" s="1160"/>
      <c r="B142" s="1163"/>
      <c r="C142" s="1166"/>
      <c r="D142" s="17"/>
      <c r="E142" s="26" t="str">
        <f t="shared" si="38"/>
        <v/>
      </c>
      <c r="F142" s="313"/>
      <c r="G142" s="27"/>
      <c r="H142" s="26" t="str">
        <f t="shared" si="39"/>
        <v/>
      </c>
      <c r="I142" s="313"/>
      <c r="J142" s="142"/>
      <c r="N142" s="84">
        <f>报表格式!Z142</f>
        <v>0</v>
      </c>
      <c r="O142" s="28" t="str">
        <f>IF(OR(MID(TRIM(报表格式!AA142),3,1)="：",MID(TRIM(报表格式!AA142),2,1)="、"),REPLACEB(TRIM(报表格式!AA142),1,6,""),TRIM(报表格式!AA142))</f>
        <v>利息费用</v>
      </c>
    </row>
    <row r="143" spans="1:15" s="23" customFormat="1">
      <c r="A143" s="1160"/>
      <c r="B143" s="1163"/>
      <c r="C143" s="1166"/>
      <c r="D143" s="17"/>
      <c r="E143" s="26" t="str">
        <f t="shared" si="38"/>
        <v/>
      </c>
      <c r="F143" s="313"/>
      <c r="G143" s="27"/>
      <c r="H143" s="26" t="str">
        <f t="shared" si="39"/>
        <v/>
      </c>
      <c r="I143" s="313"/>
      <c r="J143" s="142"/>
      <c r="N143" s="84">
        <f>报表格式!Z143</f>
        <v>0</v>
      </c>
      <c r="O143" s="28" t="str">
        <f>IF(OR(MID(TRIM(报表格式!AA143),2,1)="：",MID(TRIM(报表格式!AA143),2,1)="、"),REPLACEB(TRIM(报表格式!AA143),1,4,""),TRIM(报表格式!AA143))</f>
        <v>利息收入</v>
      </c>
    </row>
    <row r="144" spans="1:15" s="23" customFormat="1">
      <c r="A144" s="1160"/>
      <c r="B144" s="1163"/>
      <c r="C144" s="1166"/>
      <c r="D144" s="17"/>
      <c r="E144" s="26" t="str">
        <f t="shared" si="38"/>
        <v/>
      </c>
      <c r="F144" s="313"/>
      <c r="G144" s="27"/>
      <c r="H144" s="26" t="str">
        <f t="shared" si="39"/>
        <v/>
      </c>
      <c r="I144" s="313"/>
      <c r="J144" s="142"/>
      <c r="N144" s="84" t="str">
        <f>报表格式!Z144</f>
        <v>G8</v>
      </c>
      <c r="O144" s="28" t="str">
        <f>IF(OR(MID(TRIM(报表格式!AA144),2,1)="：",MID(TRIM(报表格式!AA144),2,1)="、"),REPLACEB(TRIM(报表格式!AA144),1,4,""),TRIM(报表格式!AA144))</f>
        <v>其他收益</v>
      </c>
    </row>
    <row r="145" spans="1:15" s="23" customFormat="1">
      <c r="A145" s="1161"/>
      <c r="B145" s="1164"/>
      <c r="C145" s="1167"/>
      <c r="D145" s="17"/>
      <c r="E145" s="26" t="str">
        <f t="shared" si="38"/>
        <v/>
      </c>
      <c r="F145" s="313"/>
      <c r="G145" s="27"/>
      <c r="H145" s="26" t="str">
        <f t="shared" si="39"/>
        <v/>
      </c>
      <c r="I145" s="313"/>
      <c r="J145" s="142"/>
      <c r="N145" s="84" t="str">
        <f>报表格式!Z145</f>
        <v>G9</v>
      </c>
      <c r="O145" s="28" t="str">
        <f>LEFT(IF(OR(MID(TRIM(报表格式!AA145),2,1)="：",MID(TRIM(报表格式!AA145),2,1)="、"),REPLACEB(TRIM(报表格式!AA145),1,4,""),TRIM(报表格式!AA145)),4)</f>
        <v>投资收益</v>
      </c>
    </row>
    <row r="146" spans="1:15" s="23" customFormat="1">
      <c r="A146" s="453"/>
      <c r="B146" s="453"/>
      <c r="C146" s="454"/>
      <c r="D146" s="455"/>
      <c r="E146" s="456"/>
      <c r="F146" s="456"/>
      <c r="G146" s="455"/>
      <c r="H146" s="456"/>
      <c r="I146" s="456"/>
      <c r="J146" s="457" t="str">
        <f>IF(ABS((SUMIF(E140:E145,"?*",J140:J145)-SUMIF(H140:H145,"?*",J140:J145)))&lt;0.005,"","借贷不等")</f>
        <v/>
      </c>
      <c r="N146" s="84">
        <f>报表格式!Z146</f>
        <v>0</v>
      </c>
      <c r="O146" s="28" t="str">
        <f>IF(OR(MID(TRIM(报表格式!AA146),3,1)="：",MID(TRIM(报表格式!AA146),2,1)="、"),REPLACEB(TRIM(报表格式!AA146),1,6,""),TRIM(报表格式!AA146))</f>
        <v>对联营企业和合营企业的投资收益</v>
      </c>
    </row>
    <row r="147" spans="1:15" s="23" customFormat="1">
      <c r="A147" s="1159">
        <v>21</v>
      </c>
      <c r="B147" s="1162"/>
      <c r="C147" s="1165"/>
      <c r="D147" s="17"/>
      <c r="E147" s="26" t="str">
        <f t="shared" ref="E147:E152" si="40">IF(D147=0,"",VLOOKUP(D147,$N:$O,2,0))</f>
        <v/>
      </c>
      <c r="F147" s="313"/>
      <c r="G147" s="27"/>
      <c r="H147" s="26" t="str">
        <f t="shared" ref="H147:H152" si="41">IF(G147=0,"",VLOOKUP(G147,$N:$O,2,0))</f>
        <v/>
      </c>
      <c r="I147" s="313"/>
      <c r="J147" s="142"/>
      <c r="N147" s="84">
        <f>报表格式!Z147</f>
        <v>0</v>
      </c>
      <c r="O147" s="28" t="str">
        <f>LEFT(IF(OR(MID(TRIM(报表格式!AA147),2,1)="：",MID(TRIM(报表格式!AA147),2,1)="、"),REPLACEB(TRIM(报表格式!AA147),1,4,""),TRIM(报表格式!AA147)),18)</f>
        <v>以摊余成本计量的金融资产终止确认收益</v>
      </c>
    </row>
    <row r="148" spans="1:15" s="23" customFormat="1">
      <c r="A148" s="1160"/>
      <c r="B148" s="1163"/>
      <c r="C148" s="1166"/>
      <c r="D148" s="17"/>
      <c r="E148" s="26" t="str">
        <f t="shared" si="40"/>
        <v/>
      </c>
      <c r="F148" s="313"/>
      <c r="G148" s="27"/>
      <c r="H148" s="26" t="str">
        <f t="shared" si="41"/>
        <v/>
      </c>
      <c r="I148" s="313"/>
      <c r="J148" s="142"/>
      <c r="N148" s="84" t="str">
        <f>报表格式!Z148</f>
        <v>G10</v>
      </c>
      <c r="O148" s="28" t="str">
        <f>LEFT(IF(OR(MID(TRIM(报表格式!AA148),2,1)="：",MID(TRIM(报表格式!AA148),2,1)="、"),REPLACEB(TRIM(报表格式!AA148),1,4,""),TRIM(报表格式!AA148)),7)</f>
        <v>净敞口套期收益</v>
      </c>
    </row>
    <row r="149" spans="1:15" s="23" customFormat="1">
      <c r="A149" s="1160"/>
      <c r="B149" s="1163"/>
      <c r="C149" s="1166"/>
      <c r="D149" s="17"/>
      <c r="E149" s="26" t="str">
        <f t="shared" si="40"/>
        <v/>
      </c>
      <c r="F149" s="313"/>
      <c r="G149" s="27"/>
      <c r="H149" s="26" t="str">
        <f t="shared" si="41"/>
        <v/>
      </c>
      <c r="I149" s="313"/>
      <c r="J149" s="142"/>
      <c r="N149" s="84" t="str">
        <f>报表格式!Z149</f>
        <v>G11</v>
      </c>
      <c r="O149" s="28" t="str">
        <f>LEFT(IF(OR(MID(TRIM(报表格式!AA149),2,1)="：",MID(TRIM(报表格式!AA149),2,1)="、"),REPLACEB(TRIM(报表格式!AA149),1,4,""),TRIM(报表格式!AA149)),8)</f>
        <v>公允价值变动收益</v>
      </c>
    </row>
    <row r="150" spans="1:15" s="23" customFormat="1">
      <c r="A150" s="1160"/>
      <c r="B150" s="1163"/>
      <c r="C150" s="1166"/>
      <c r="D150" s="17"/>
      <c r="E150" s="26" t="str">
        <f t="shared" si="40"/>
        <v/>
      </c>
      <c r="F150" s="313"/>
      <c r="G150" s="27"/>
      <c r="H150" s="26" t="str">
        <f t="shared" si="41"/>
        <v/>
      </c>
      <c r="I150" s="313"/>
      <c r="J150" s="142"/>
      <c r="N150" s="84" t="str">
        <f>报表格式!Z150</f>
        <v>G12</v>
      </c>
      <c r="O150" s="28" t="str">
        <f>LEFT(IF(OR(MID(TRIM(报表格式!AA150),2,1)="：",MID(TRIM(报表格式!AA150),2,1)="、"),REPLACEB(TRIM(报表格式!AA150),1,4,""),TRIM(报表格式!AA150)),8)</f>
        <v>信用减值损失(损</v>
      </c>
    </row>
    <row r="151" spans="1:15" s="23" customFormat="1">
      <c r="A151" s="1160"/>
      <c r="B151" s="1163"/>
      <c r="C151" s="1166"/>
      <c r="D151" s="17"/>
      <c r="E151" s="26" t="str">
        <f t="shared" si="40"/>
        <v/>
      </c>
      <c r="F151" s="313"/>
      <c r="G151" s="27"/>
      <c r="H151" s="26" t="str">
        <f t="shared" si="41"/>
        <v/>
      </c>
      <c r="I151" s="313"/>
      <c r="J151" s="142"/>
      <c r="N151" s="84" t="str">
        <f>报表格式!Z151</f>
        <v>G13</v>
      </c>
      <c r="O151" s="28" t="str">
        <f>LEFT(IF(OR(MID(TRIM(报表格式!AA151),2,1)="：",MID(TRIM(报表格式!AA151),2,1)="、"),REPLACEB(TRIM(报表格式!AA151),1,4,""),TRIM(报表格式!AA151)),6)</f>
        <v>资产减值损失</v>
      </c>
    </row>
    <row r="152" spans="1:15" s="23" customFormat="1">
      <c r="A152" s="1161"/>
      <c r="B152" s="1164"/>
      <c r="C152" s="1167"/>
      <c r="D152" s="17"/>
      <c r="E152" s="26" t="str">
        <f t="shared" si="40"/>
        <v/>
      </c>
      <c r="F152" s="313"/>
      <c r="G152" s="27"/>
      <c r="H152" s="26" t="str">
        <f t="shared" si="41"/>
        <v/>
      </c>
      <c r="I152" s="313"/>
      <c r="J152" s="142"/>
      <c r="N152" s="84" t="str">
        <f>报表格式!Z152</f>
        <v>G14</v>
      </c>
      <c r="O152" s="28" t="str">
        <f>LEFT(IF(OR(MID(TRIM(报表格式!AA152),2,1)="：",MID(TRIM(报表格式!AA152),2,1)="、"),REPLACEB(TRIM(报表格式!AA152),1,4,""),TRIM(报表格式!AA152)),6)</f>
        <v>资产处置收益</v>
      </c>
    </row>
    <row r="153" spans="1:15" s="23" customFormat="1">
      <c r="A153" s="453"/>
      <c r="B153" s="453"/>
      <c r="C153" s="454"/>
      <c r="D153" s="455"/>
      <c r="E153" s="456"/>
      <c r="F153" s="456"/>
      <c r="G153" s="455"/>
      <c r="H153" s="456"/>
      <c r="I153" s="456"/>
      <c r="J153" s="457" t="str">
        <f>IF(ABS((SUMIF(E147:E152,"?*",J147:J152)-SUMIF(H147:H152,"?*",J147:J152)))&lt;0.005,"","借贷不等")</f>
        <v/>
      </c>
      <c r="N153" s="84">
        <f>报表格式!Z153</f>
        <v>0</v>
      </c>
      <c r="O153" s="782" t="str">
        <f>LEFT(IF(OR(MID(TRIM(报表格式!AA153),2,1)="：",MID(TRIM(报表格式!AA153),2,1)="、"),REPLACEB(TRIM(报表格式!AA153),1,4,""),TRIM(报表格式!AA153)),4)</f>
        <v>营业利润</v>
      </c>
    </row>
    <row r="154" spans="1:15" s="23" customFormat="1">
      <c r="A154" s="1159">
        <v>22</v>
      </c>
      <c r="B154" s="1162"/>
      <c r="C154" s="1165"/>
      <c r="D154" s="17"/>
      <c r="E154" s="26" t="str">
        <f t="shared" ref="E154:E159" si="42">IF(D154=0,"",VLOOKUP(D154,$N:$O,2,0))</f>
        <v/>
      </c>
      <c r="F154" s="313"/>
      <c r="G154" s="27"/>
      <c r="H154" s="26" t="str">
        <f t="shared" ref="H154:H159" si="43">IF(G154=0,"",VLOOKUP(G154,$N:$O,2,0))</f>
        <v/>
      </c>
      <c r="I154" s="313"/>
      <c r="J154" s="142"/>
      <c r="N154" s="84" t="str">
        <f>报表格式!Z154</f>
        <v>G15</v>
      </c>
      <c r="O154" s="28" t="str">
        <f>IF(OR(MID(TRIM(报表格式!AA154),2,1)="：",MID(TRIM(报表格式!AA154),2,1)="、"),REPLACEB(TRIM(报表格式!AA154),1,4,""),TRIM(报表格式!AA154))</f>
        <v>营业外收入</v>
      </c>
    </row>
    <row r="155" spans="1:15" s="23" customFormat="1">
      <c r="A155" s="1160"/>
      <c r="B155" s="1163"/>
      <c r="C155" s="1166"/>
      <c r="D155" s="17"/>
      <c r="E155" s="26" t="str">
        <f t="shared" si="42"/>
        <v/>
      </c>
      <c r="F155" s="313"/>
      <c r="G155" s="27"/>
      <c r="H155" s="26" t="str">
        <f t="shared" si="43"/>
        <v/>
      </c>
      <c r="I155" s="313"/>
      <c r="J155" s="142"/>
      <c r="N155" s="84" t="str">
        <f>报表格式!Z155</f>
        <v>G16</v>
      </c>
      <c r="O155" s="28" t="str">
        <f>IF(OR(MID(TRIM(报表格式!AA155),2,1)="：",MID(TRIM(报表格式!AA155),2,1)="、"),REPLACEB(TRIM(报表格式!AA155),1,4,""),TRIM(报表格式!AA155))</f>
        <v>营业外支出</v>
      </c>
    </row>
    <row r="156" spans="1:15" s="23" customFormat="1">
      <c r="A156" s="1160"/>
      <c r="B156" s="1163"/>
      <c r="C156" s="1166"/>
      <c r="D156" s="17"/>
      <c r="E156" s="26" t="str">
        <f t="shared" si="42"/>
        <v/>
      </c>
      <c r="F156" s="313"/>
      <c r="G156" s="27"/>
      <c r="H156" s="26" t="str">
        <f t="shared" si="43"/>
        <v/>
      </c>
      <c r="I156" s="313"/>
      <c r="J156" s="142"/>
      <c r="N156" s="84">
        <f>报表格式!Z156</f>
        <v>0</v>
      </c>
      <c r="O156" s="782" t="str">
        <f>LEFT(IF(OR(MID(TRIM(报表格式!AA156),2,1)="：",MID(TRIM(报表格式!AA156),2,1)="、"),REPLACEB(TRIM(报表格式!AA156),1,4,""),TRIM(报表格式!AA156)),4)</f>
        <v>利润总额</v>
      </c>
    </row>
    <row r="157" spans="1:15" s="23" customFormat="1">
      <c r="A157" s="1160"/>
      <c r="B157" s="1163"/>
      <c r="C157" s="1166"/>
      <c r="D157" s="17"/>
      <c r="E157" s="26" t="str">
        <f t="shared" si="42"/>
        <v/>
      </c>
      <c r="F157" s="313"/>
      <c r="G157" s="27"/>
      <c r="H157" s="26" t="str">
        <f t="shared" si="43"/>
        <v/>
      </c>
      <c r="I157" s="313"/>
      <c r="J157" s="142"/>
      <c r="N157" s="84" t="str">
        <f>报表格式!Z157</f>
        <v>G17</v>
      </c>
      <c r="O157" s="28" t="str">
        <f>IF(OR(MID(TRIM(报表格式!AA157),2,1)="：",MID(TRIM(报表格式!AA157),2,1)="、"),REPLACEB(TRIM(报表格式!AA157),1,4,""),TRIM(报表格式!AA157))</f>
        <v>所得税费用</v>
      </c>
    </row>
    <row r="158" spans="1:15" s="23" customFormat="1">
      <c r="A158" s="1160"/>
      <c r="B158" s="1163"/>
      <c r="C158" s="1166"/>
      <c r="D158" s="17"/>
      <c r="E158" s="26" t="str">
        <f t="shared" si="42"/>
        <v/>
      </c>
      <c r="F158" s="313"/>
      <c r="G158" s="27"/>
      <c r="H158" s="26" t="str">
        <f t="shared" si="43"/>
        <v/>
      </c>
      <c r="I158" s="313"/>
      <c r="J158" s="142"/>
      <c r="N158" s="84" t="str">
        <f>报表格式!Z158</f>
        <v>G18</v>
      </c>
      <c r="O158" s="28" t="str">
        <f>IF(OR(MID(TRIM(报表格式!AA158),2,1)="：",MID(TRIM(报表格式!AA158),2,1)="、"),REPLACEB(TRIM(报表格式!AA158),1,4,""),TRIM(报表格式!AA158))</f>
        <v>0</v>
      </c>
    </row>
    <row r="159" spans="1:15" s="23" customFormat="1">
      <c r="A159" s="1161"/>
      <c r="B159" s="1164"/>
      <c r="C159" s="1167"/>
      <c r="D159" s="17"/>
      <c r="E159" s="26" t="str">
        <f t="shared" si="42"/>
        <v/>
      </c>
      <c r="F159" s="313"/>
      <c r="G159" s="27"/>
      <c r="H159" s="26" t="str">
        <f t="shared" si="43"/>
        <v/>
      </c>
      <c r="I159" s="313"/>
      <c r="J159" s="142"/>
      <c r="N159" s="84">
        <f>报表格式!Z159</f>
        <v>0</v>
      </c>
      <c r="O159" s="782" t="str">
        <f>LEFT(IF(OR(MID(TRIM(报表格式!AA159),2,1)="：",MID(TRIM(报表格式!AA159),2,1)="、"),REPLACEB(TRIM(报表格式!AA159),1,4,""),TRIM(报表格式!AA159)),3)</f>
        <v>净利润</v>
      </c>
    </row>
    <row r="160" spans="1:15" s="23" customFormat="1">
      <c r="A160" s="453"/>
      <c r="B160" s="453"/>
      <c r="C160" s="454"/>
      <c r="D160" s="455"/>
      <c r="E160" s="456"/>
      <c r="F160" s="456"/>
      <c r="G160" s="455"/>
      <c r="H160" s="456"/>
      <c r="I160" s="456"/>
      <c r="J160" s="457" t="str">
        <f>IF(ABS((SUMIF(E154:E159,"?*",J154:J159)-SUMIF(H154:H159,"?*",J154:J159)))&lt;0.005,"","借贷不等")</f>
        <v/>
      </c>
      <c r="N160" s="84">
        <f>报表格式!Z160</f>
        <v>0</v>
      </c>
      <c r="O160" s="28" t="str">
        <f>IF(OR(MID(TRIM(报表格式!AA160),2,1)="：",MID(TRIM(报表格式!AA160),2,1)="、"),REPLACEB(TRIM(报表格式!AA160),1,4,""),TRIM(报表格式!AA160))</f>
        <v>（一）按经营持续性分类</v>
      </c>
    </row>
    <row r="161" spans="1:15" s="23" customFormat="1">
      <c r="A161" s="1159">
        <v>23</v>
      </c>
      <c r="B161" s="1162"/>
      <c r="C161" s="1165"/>
      <c r="D161" s="17"/>
      <c r="E161" s="26" t="str">
        <f t="shared" ref="E161:E166" si="44">IF(D161=0,"",VLOOKUP(D161,$N:$O,2,0))</f>
        <v/>
      </c>
      <c r="F161" s="313"/>
      <c r="G161" s="27"/>
      <c r="H161" s="26" t="str">
        <f t="shared" ref="H161:H166" si="45">IF(G161=0,"",VLOOKUP(G161,$N:$O,2,0))</f>
        <v/>
      </c>
      <c r="I161" s="313"/>
      <c r="J161" s="142"/>
      <c r="N161" s="84">
        <f>报表格式!Z161</f>
        <v>0</v>
      </c>
      <c r="O161" s="28" t="str">
        <f>LEFT(IF(OR(MID(TRIM(报表格式!AA161),3,1)="：",MID(TRIM(报表格式!AA161),2,1)="、"),REPLACEB(TRIM(报表格式!AA161),1,6,""),TRIM(报表格式!AA161)),7)</f>
        <v>持续经营净利润</v>
      </c>
    </row>
    <row r="162" spans="1:15" s="23" customFormat="1">
      <c r="A162" s="1160"/>
      <c r="B162" s="1163"/>
      <c r="C162" s="1166"/>
      <c r="D162" s="17"/>
      <c r="E162" s="26" t="str">
        <f t="shared" si="44"/>
        <v/>
      </c>
      <c r="F162" s="313"/>
      <c r="G162" s="27"/>
      <c r="H162" s="26" t="str">
        <f t="shared" si="45"/>
        <v/>
      </c>
      <c r="I162" s="313"/>
      <c r="J162" s="142"/>
      <c r="N162" s="84">
        <f>报表格式!Z162</f>
        <v>0</v>
      </c>
      <c r="O162" s="28" t="str">
        <f>LEFT(IF(OR(MID(TRIM(报表格式!AA162),2,1)="：",MID(TRIM(报表格式!AA162),2,1)="、"),REPLACEB(TRIM(报表格式!AA162),1,4,""),TRIM(报表格式!AA162)),7)</f>
        <v>终止经营净利润</v>
      </c>
    </row>
    <row r="163" spans="1:15" s="23" customFormat="1">
      <c r="A163" s="1160"/>
      <c r="B163" s="1163"/>
      <c r="C163" s="1166"/>
      <c r="D163" s="17"/>
      <c r="E163" s="26" t="str">
        <f t="shared" si="44"/>
        <v/>
      </c>
      <c r="F163" s="313"/>
      <c r="G163" s="27"/>
      <c r="H163" s="26" t="str">
        <f t="shared" si="45"/>
        <v/>
      </c>
      <c r="I163" s="313"/>
      <c r="J163" s="142"/>
      <c r="N163" s="84">
        <f>报表格式!Z163</f>
        <v>0</v>
      </c>
      <c r="O163" s="28" t="str">
        <f>IF(OR(MID(TRIM(报表格式!AA163),2,1)="：",MID(TRIM(报表格式!AA163),2,1)="、"),REPLACEB(TRIM(报表格式!AA163),1,4,""),TRIM(报表格式!AA163))</f>
        <v>（二）按所有权归属分类</v>
      </c>
    </row>
    <row r="164" spans="1:15" s="23" customFormat="1">
      <c r="A164" s="1160"/>
      <c r="B164" s="1163"/>
      <c r="C164" s="1166"/>
      <c r="D164" s="17"/>
      <c r="E164" s="26" t="str">
        <f t="shared" si="44"/>
        <v/>
      </c>
      <c r="F164" s="313"/>
      <c r="G164" s="27"/>
      <c r="H164" s="26" t="str">
        <f t="shared" si="45"/>
        <v/>
      </c>
      <c r="I164" s="313"/>
      <c r="J164" s="142"/>
      <c r="N164" s="84">
        <f>报表格式!Z164</f>
        <v>0</v>
      </c>
      <c r="O164" s="28" t="str">
        <f>LEFT(IF(OR(MID(TRIM(报表格式!AA164),3,1)="：",MID(TRIM(报表格式!AA164),2,1)="、"),REPLACEB(TRIM(报表格式!AA164),1,6,""),TRIM(报表格式!AA164)),12)</f>
        <v>归属于母公司股东的净利润</v>
      </c>
    </row>
    <row r="165" spans="1:15" s="23" customFormat="1">
      <c r="A165" s="1160"/>
      <c r="B165" s="1163"/>
      <c r="C165" s="1166"/>
      <c r="D165" s="17"/>
      <c r="E165" s="26" t="str">
        <f t="shared" si="44"/>
        <v/>
      </c>
      <c r="F165" s="313"/>
      <c r="G165" s="27"/>
      <c r="H165" s="26" t="str">
        <f t="shared" si="45"/>
        <v/>
      </c>
      <c r="I165" s="313"/>
      <c r="J165" s="142"/>
      <c r="N165" s="84" t="str">
        <f>报表格式!Z165</f>
        <v>G19</v>
      </c>
      <c r="O165" s="28" t="str">
        <f>LEFT(IF(OR(MID(TRIM(报表格式!AA165),2,1)="：",MID(TRIM(报表格式!AA165),2,1)="、"),REPLACEB(TRIM(报表格式!AA165),1,4,""),TRIM(报表格式!AA165)),6)</f>
        <v>少数股东损益</v>
      </c>
    </row>
    <row r="166" spans="1:15" s="23" customFormat="1">
      <c r="A166" s="1161"/>
      <c r="B166" s="1164"/>
      <c r="C166" s="1167"/>
      <c r="D166" s="17"/>
      <c r="E166" s="26" t="str">
        <f t="shared" si="44"/>
        <v/>
      </c>
      <c r="F166" s="313"/>
      <c r="G166" s="27"/>
      <c r="H166" s="26" t="str">
        <f t="shared" si="45"/>
        <v/>
      </c>
      <c r="I166" s="313"/>
      <c r="J166" s="142"/>
      <c r="N166" s="84">
        <f>报表格式!Z166</f>
        <v>0</v>
      </c>
      <c r="O166" s="782" t="str">
        <f>IF(OR(MID(TRIM(报表格式!AA166),2,1)="：",MID(TRIM(报表格式!AA166),2,1)="、"),REPLACEB(TRIM(报表格式!AA166),1,4,""),TRIM(报表格式!AA166))</f>
        <v>其他综合收益的税后净额</v>
      </c>
    </row>
    <row r="167" spans="1:15" s="23" customFormat="1">
      <c r="A167" s="453"/>
      <c r="B167" s="453"/>
      <c r="C167" s="454"/>
      <c r="D167" s="455"/>
      <c r="E167" s="456"/>
      <c r="F167" s="456"/>
      <c r="G167" s="455"/>
      <c r="H167" s="456"/>
      <c r="I167" s="456"/>
      <c r="J167" s="457" t="str">
        <f>IF(ABS((SUMIF(E161:E166,"?*",J161:J166)-SUMIF(H161:H166,"?*",J161:J166)))&lt;0.005,"","借贷不等")</f>
        <v/>
      </c>
      <c r="N167" s="84">
        <f>报表格式!Z167</f>
        <v>0</v>
      </c>
      <c r="O167" s="28" t="str">
        <f>IF(OR(MID(TRIM(报表格式!AA167),2,1)="：",MID(TRIM(报表格式!AA167),2,1)="、"),REPLACEB(TRIM(报表格式!AA167),1,4,""),TRIM(报表格式!AA167))</f>
        <v>归属于母公司股东的其他综合收益的税后净额</v>
      </c>
    </row>
    <row r="168" spans="1:15" s="23" customFormat="1">
      <c r="A168" s="1159">
        <v>24</v>
      </c>
      <c r="B168" s="1162"/>
      <c r="C168" s="1165"/>
      <c r="D168" s="17"/>
      <c r="E168" s="26" t="str">
        <f t="shared" ref="E168:E173" si="46">IF(D168=0,"",VLOOKUP(D168,$N:$O,2,0))</f>
        <v/>
      </c>
      <c r="F168" s="313"/>
      <c r="G168" s="27"/>
      <c r="H168" s="26" t="str">
        <f t="shared" ref="H168:H173" si="47">IF(G168=0,"",VLOOKUP(G168,$N:$O,2,0))</f>
        <v/>
      </c>
      <c r="I168" s="313"/>
      <c r="J168" s="142"/>
      <c r="N168" s="84">
        <f>报表格式!Z168</f>
        <v>0</v>
      </c>
      <c r="O168" s="28" t="str">
        <f>IF(OR(MID(TRIM(报表格式!AA168),2,1)="：",MID(TRIM(报表格式!AA168),2,1)="、"),REPLACEB(TRIM(报表格式!AA168),1,4,""),TRIM(报表格式!AA168))</f>
        <v>（一）不能重分类进损益的其他综合收益</v>
      </c>
    </row>
    <row r="169" spans="1:15" s="23" customFormat="1">
      <c r="A169" s="1160"/>
      <c r="B169" s="1163"/>
      <c r="C169" s="1166"/>
      <c r="D169" s="17"/>
      <c r="E169" s="26" t="str">
        <f t="shared" si="46"/>
        <v/>
      </c>
      <c r="F169" s="313"/>
      <c r="G169" s="27"/>
      <c r="H169" s="26" t="str">
        <f t="shared" si="47"/>
        <v/>
      </c>
      <c r="I169" s="313"/>
      <c r="J169" s="142"/>
      <c r="N169" s="84" t="str">
        <f>报表格式!Z169</f>
        <v>G21</v>
      </c>
      <c r="O169" s="28" t="str">
        <f>IF(OR(MID(TRIM(报表格式!AA169),2,1)="：",MID(TRIM(报表格式!AA169),2,1)="、"),REPLACEB(TRIM(报表格式!AA169),1,4,""),TRIM(报表格式!AA169))</f>
        <v>1.重新计量设定受益计划变动额</v>
      </c>
    </row>
    <row r="170" spans="1:15" s="23" customFormat="1">
      <c r="A170" s="1160"/>
      <c r="B170" s="1163"/>
      <c r="C170" s="1166"/>
      <c r="D170" s="17"/>
      <c r="E170" s="26" t="str">
        <f t="shared" si="46"/>
        <v/>
      </c>
      <c r="F170" s="313"/>
      <c r="G170" s="27"/>
      <c r="H170" s="26" t="str">
        <f t="shared" si="47"/>
        <v/>
      </c>
      <c r="I170" s="313"/>
      <c r="J170" s="142"/>
      <c r="N170" s="84" t="str">
        <f>报表格式!Z170</f>
        <v>G22</v>
      </c>
      <c r="O170" s="28" t="str">
        <f>IF(OR(MID(TRIM(报表格式!AA170),2,1)="：",MID(TRIM(报表格式!AA170),2,1)="、"),REPLACEB(TRIM(报表格式!AA170),1,4,""),TRIM(报表格式!AA170))</f>
        <v>2.权益法下不能转损益的其他综合收益</v>
      </c>
    </row>
    <row r="171" spans="1:15" s="23" customFormat="1">
      <c r="A171" s="1160"/>
      <c r="B171" s="1163"/>
      <c r="C171" s="1166"/>
      <c r="D171" s="17"/>
      <c r="E171" s="26" t="str">
        <f t="shared" si="46"/>
        <v/>
      </c>
      <c r="F171" s="313"/>
      <c r="G171" s="27"/>
      <c r="H171" s="26" t="str">
        <f t="shared" si="47"/>
        <v/>
      </c>
      <c r="I171" s="313"/>
      <c r="J171" s="142"/>
      <c r="N171" s="84" t="str">
        <f>报表格式!Z171</f>
        <v>G23</v>
      </c>
      <c r="O171" s="28" t="str">
        <f>IF(OR(MID(TRIM(报表格式!AA171),2,1)="：",MID(TRIM(报表格式!AA171),2,1)="、"),REPLACEB(TRIM(报表格式!AA171),1,4,""),TRIM(报表格式!AA171))</f>
        <v>3.其他权益工具投资公允价值变动</v>
      </c>
    </row>
    <row r="172" spans="1:15" s="23" customFormat="1">
      <c r="A172" s="1160"/>
      <c r="B172" s="1163"/>
      <c r="C172" s="1166"/>
      <c r="D172" s="17"/>
      <c r="E172" s="26" t="str">
        <f t="shared" si="46"/>
        <v/>
      </c>
      <c r="F172" s="313"/>
      <c r="G172" s="27"/>
      <c r="H172" s="26" t="str">
        <f t="shared" si="47"/>
        <v/>
      </c>
      <c r="I172" s="313"/>
      <c r="J172" s="142"/>
      <c r="N172" s="84" t="str">
        <f>报表格式!Z172</f>
        <v>G24</v>
      </c>
      <c r="O172" s="28" t="str">
        <f>IF(OR(MID(TRIM(报表格式!AA172),2,1)="：",MID(TRIM(报表格式!AA172),2,1)="、"),REPLACEB(TRIM(报表格式!AA172),1,4,""),TRIM(报表格式!AA172))</f>
        <v>4.企业自身信用风险公允价值变动</v>
      </c>
    </row>
    <row r="173" spans="1:15" s="23" customFormat="1">
      <c r="A173" s="1161"/>
      <c r="B173" s="1164"/>
      <c r="C173" s="1167"/>
      <c r="D173" s="17"/>
      <c r="E173" s="26" t="str">
        <f t="shared" si="46"/>
        <v/>
      </c>
      <c r="F173" s="313"/>
      <c r="G173" s="27"/>
      <c r="H173" s="26" t="str">
        <f t="shared" si="47"/>
        <v/>
      </c>
      <c r="I173" s="313"/>
      <c r="J173" s="142"/>
      <c r="N173" s="84" t="str">
        <f>报表格式!Z173</f>
        <v>G25</v>
      </c>
      <c r="O173" s="28" t="str">
        <f>IF(OR(MID(TRIM(报表格式!AA173),2,1)="：",MID(TRIM(报表格式!AA173),2,1)="、"),REPLACEB(TRIM(报表格式!AA173),1,4,""),TRIM(报表格式!AA173))</f>
        <v>5.其他</v>
      </c>
    </row>
    <row r="174" spans="1:15" s="23" customFormat="1">
      <c r="A174" s="453"/>
      <c r="B174" s="453"/>
      <c r="C174" s="454"/>
      <c r="D174" s="455"/>
      <c r="E174" s="456"/>
      <c r="F174" s="456"/>
      <c r="G174" s="455"/>
      <c r="H174" s="456"/>
      <c r="I174" s="456"/>
      <c r="J174" s="457" t="str">
        <f>IF(ABS((SUMIF(E168:E173,"?*",J168:J173)-SUMIF(H168:H173,"?*",J168:J173)))&lt;0.005,"","借贷不等")</f>
        <v/>
      </c>
      <c r="N174" s="84">
        <f>报表格式!Z174</f>
        <v>0</v>
      </c>
      <c r="O174" s="28" t="str">
        <f>IF(OR(MID(TRIM(报表格式!AA174),2,1)="：",MID(TRIM(报表格式!AA174),2,1)="、"),REPLACEB(TRIM(报表格式!AA174),1,4,""),TRIM(报表格式!AA174))</f>
        <v>（二）将重分类进损益的其他综合收益</v>
      </c>
    </row>
    <row r="175" spans="1:15" s="23" customFormat="1">
      <c r="A175" s="1159">
        <v>25</v>
      </c>
      <c r="B175" s="1162"/>
      <c r="C175" s="1165"/>
      <c r="D175" s="17"/>
      <c r="E175" s="26" t="str">
        <f t="shared" ref="E175:E180" si="48">IF(D175=0,"",VLOOKUP(D175,$N:$O,2,0))</f>
        <v/>
      </c>
      <c r="F175" s="313"/>
      <c r="G175" s="27"/>
      <c r="H175" s="26" t="str">
        <f t="shared" ref="H175:H180" si="49">IF(G175=0,"",VLOOKUP(G175,$N:$O,2,0))</f>
        <v/>
      </c>
      <c r="I175" s="313"/>
      <c r="J175" s="142"/>
      <c r="N175" s="84" t="str">
        <f>报表格式!Z175</f>
        <v>G26</v>
      </c>
      <c r="O175" s="28" t="str">
        <f>IF(OR(MID(TRIM(报表格式!AA175),2,1)="：",MID(TRIM(报表格式!AA175),2,1)="、"),REPLACEB(TRIM(报表格式!AA175),1,4,""),TRIM(报表格式!AA175))</f>
        <v>1.权益法下可转损益的其他综合收益</v>
      </c>
    </row>
    <row r="176" spans="1:15" s="23" customFormat="1">
      <c r="A176" s="1160"/>
      <c r="B176" s="1163"/>
      <c r="C176" s="1166"/>
      <c r="D176" s="17"/>
      <c r="E176" s="26" t="str">
        <f t="shared" si="48"/>
        <v/>
      </c>
      <c r="F176" s="313"/>
      <c r="G176" s="27"/>
      <c r="H176" s="26" t="str">
        <f t="shared" si="49"/>
        <v/>
      </c>
      <c r="I176" s="313"/>
      <c r="J176" s="142"/>
      <c r="N176" s="84" t="str">
        <f>报表格式!Z176</f>
        <v>G27</v>
      </c>
      <c r="O176" s="28" t="str">
        <f>IF(OR(MID(TRIM(报表格式!AA176),2,1)="：",MID(TRIM(报表格式!AA176),2,1)="、"),REPLACEB(TRIM(报表格式!AA176),1,4,""),TRIM(报表格式!AA176))</f>
        <v>2.其他债权投资公允价值变动</v>
      </c>
    </row>
    <row r="177" spans="1:15" s="23" customFormat="1">
      <c r="A177" s="1160"/>
      <c r="B177" s="1163"/>
      <c r="C177" s="1166"/>
      <c r="D177" s="17"/>
      <c r="E177" s="26" t="str">
        <f t="shared" si="48"/>
        <v/>
      </c>
      <c r="F177" s="313"/>
      <c r="G177" s="27"/>
      <c r="H177" s="26" t="str">
        <f t="shared" si="49"/>
        <v/>
      </c>
      <c r="I177" s="313"/>
      <c r="J177" s="142"/>
      <c r="N177" s="84" t="str">
        <f>报表格式!Z177</f>
        <v>G28</v>
      </c>
      <c r="O177" s="28" t="str">
        <f>IF(OR(MID(TRIM(报表格式!AA177),2,1)="：",MID(TRIM(报表格式!AA177),2,1)="、"),REPLACEB(TRIM(报表格式!AA177),1,4,""),TRIM(报表格式!AA177))</f>
        <v>3.可供出售金融资产公允价值变动损益</v>
      </c>
    </row>
    <row r="178" spans="1:15" s="23" customFormat="1">
      <c r="A178" s="1160"/>
      <c r="B178" s="1163"/>
      <c r="C178" s="1166"/>
      <c r="D178" s="17"/>
      <c r="E178" s="26" t="str">
        <f t="shared" si="48"/>
        <v/>
      </c>
      <c r="F178" s="313"/>
      <c r="G178" s="27"/>
      <c r="H178" s="26" t="str">
        <f t="shared" si="49"/>
        <v/>
      </c>
      <c r="I178" s="313"/>
      <c r="J178" s="142"/>
      <c r="N178" s="84" t="str">
        <f>报表格式!Z178</f>
        <v>G29</v>
      </c>
      <c r="O178" s="28" t="str">
        <f>IF(OR(MID(TRIM(报表格式!AA178),2,1)="：",MID(TRIM(报表格式!AA178),2,1)="、"),REPLACEB(TRIM(报表格式!AA178),1,4,""),TRIM(报表格式!AA178))</f>
        <v>4.金融资产重分类计入其他综合收益的金额</v>
      </c>
    </row>
    <row r="179" spans="1:15" s="23" customFormat="1">
      <c r="A179" s="1160"/>
      <c r="B179" s="1163"/>
      <c r="C179" s="1166"/>
      <c r="D179" s="17"/>
      <c r="E179" s="26" t="str">
        <f t="shared" si="48"/>
        <v/>
      </c>
      <c r="F179" s="313"/>
      <c r="G179" s="27"/>
      <c r="H179" s="26" t="str">
        <f t="shared" si="49"/>
        <v/>
      </c>
      <c r="I179" s="313"/>
      <c r="J179" s="142"/>
      <c r="N179" s="84" t="str">
        <f>报表格式!Z179</f>
        <v>G30</v>
      </c>
      <c r="O179" s="28" t="str">
        <f>IF(OR(MID(TRIM(报表格式!AA179),2,1)="：",MID(TRIM(报表格式!AA179),2,1)="、"),REPLACEB(TRIM(报表格式!AA179),1,4,""),TRIM(报表格式!AA179))</f>
        <v>5.持有至到期投资重分类为可供出售金融资产损益</v>
      </c>
    </row>
    <row r="180" spans="1:15" s="23" customFormat="1">
      <c r="A180" s="1161"/>
      <c r="B180" s="1164"/>
      <c r="C180" s="1167"/>
      <c r="D180" s="17"/>
      <c r="E180" s="26" t="str">
        <f t="shared" si="48"/>
        <v/>
      </c>
      <c r="F180" s="313"/>
      <c r="G180" s="27"/>
      <c r="H180" s="26" t="str">
        <f t="shared" si="49"/>
        <v/>
      </c>
      <c r="I180" s="313"/>
      <c r="J180" s="142"/>
      <c r="N180" s="84" t="str">
        <f>报表格式!Z180</f>
        <v>G31</v>
      </c>
      <c r="O180" s="28" t="str">
        <f>IF(OR(MID(TRIM(报表格式!AA180),2,1)="：",MID(TRIM(报表格式!AA180),2,1)="、"),REPLACEB(TRIM(报表格式!AA180),1,4,""),TRIM(报表格式!AA180))</f>
        <v>6.其他债权投资信用减值准备</v>
      </c>
    </row>
    <row r="181" spans="1:15" s="23" customFormat="1">
      <c r="A181" s="453"/>
      <c r="B181" s="453"/>
      <c r="C181" s="454"/>
      <c r="D181" s="455"/>
      <c r="E181" s="456"/>
      <c r="F181" s="456"/>
      <c r="G181" s="455"/>
      <c r="H181" s="456"/>
      <c r="I181" s="456"/>
      <c r="J181" s="457" t="str">
        <f>IF(ABS((SUMIF(E175:E180,"?*",J175:J180)-SUMIF(H175:H180,"?*",J175:J180)))&lt;0.005,"","借贷不等")</f>
        <v/>
      </c>
      <c r="N181" s="84" t="str">
        <f>报表格式!Z181</f>
        <v>G32</v>
      </c>
      <c r="O181" s="28" t="str">
        <f>IF(OR(MID(TRIM(报表格式!AA181),2,1)="：",MID(TRIM(报表格式!AA181),2,1)="、"),REPLACEB(TRIM(报表格式!AA181),1,4,""),TRIM(报表格式!AA181))</f>
        <v>7.现金流量套期储备</v>
      </c>
    </row>
    <row r="182" spans="1:15" s="23" customFormat="1">
      <c r="A182" s="1159">
        <v>26</v>
      </c>
      <c r="B182" s="1162"/>
      <c r="C182" s="1165"/>
      <c r="D182" s="17"/>
      <c r="E182" s="26" t="str">
        <f t="shared" ref="E182:E187" si="50">IF(D182=0,"",VLOOKUP(D182,$N:$O,2,0))</f>
        <v/>
      </c>
      <c r="F182" s="313"/>
      <c r="G182" s="27"/>
      <c r="H182" s="26" t="str">
        <f t="shared" ref="H182:H187" si="51">IF(G182=0,"",VLOOKUP(G182,$N:$O,2,0))</f>
        <v/>
      </c>
      <c r="I182" s="313"/>
      <c r="J182" s="142"/>
      <c r="N182" s="84" t="str">
        <f>报表格式!Z182</f>
        <v>G33</v>
      </c>
      <c r="O182" s="28" t="str">
        <f>IF(OR(MID(TRIM(报表格式!AA182),2,1)="：",MID(TRIM(报表格式!AA182),2,1)="、"),REPLACEB(TRIM(报表格式!AA182),1,4,""),TRIM(报表格式!AA182))</f>
        <v>8.外币财务报表折算差额</v>
      </c>
    </row>
    <row r="183" spans="1:15" s="23" customFormat="1">
      <c r="A183" s="1160"/>
      <c r="B183" s="1163"/>
      <c r="C183" s="1166"/>
      <c r="D183" s="17"/>
      <c r="E183" s="26" t="str">
        <f t="shared" si="50"/>
        <v/>
      </c>
      <c r="F183" s="313"/>
      <c r="G183" s="27"/>
      <c r="H183" s="26" t="str">
        <f t="shared" si="51"/>
        <v/>
      </c>
      <c r="I183" s="313"/>
      <c r="J183" s="142"/>
      <c r="N183" s="84" t="str">
        <f>报表格式!Z183</f>
        <v>G34</v>
      </c>
      <c r="O183" s="28" t="str">
        <f>IF(OR(MID(TRIM(报表格式!AA183),2,1)="：",MID(TRIM(报表格式!AA183),2,1)="、"),REPLACEB(TRIM(报表格式!AA183),1,4,""),TRIM(报表格式!AA183))</f>
        <v>9.自用房地产或作为存货的房地产转换为以公允价值计量的投资性房地产在转换日公允价值大于账面价值部分</v>
      </c>
    </row>
    <row r="184" spans="1:15" s="23" customFormat="1">
      <c r="A184" s="1160"/>
      <c r="B184" s="1163"/>
      <c r="C184" s="1166"/>
      <c r="D184" s="17"/>
      <c r="E184" s="26" t="str">
        <f t="shared" si="50"/>
        <v/>
      </c>
      <c r="F184" s="313"/>
      <c r="G184" s="27"/>
      <c r="H184" s="26" t="str">
        <f t="shared" si="51"/>
        <v/>
      </c>
      <c r="I184" s="313"/>
      <c r="J184" s="142"/>
      <c r="N184" s="84" t="str">
        <f>报表格式!Z184</f>
        <v>G35</v>
      </c>
      <c r="O184" s="28" t="str">
        <f>IF(OR(MID(TRIM(报表格式!AA184),2,1)="：",MID(TRIM(报表格式!AA184),2,1)="、"),REPLACEB(TRIM(报表格式!AA184),1,4,""),TRIM(报表格式!AA184))</f>
        <v>10.多次交易分步处置子公司股权构成一揽子交易的，丧失控制权之前各次交易处置价款与对应净资产账面价值份额的差额</v>
      </c>
    </row>
    <row r="185" spans="1:15" s="23" customFormat="1">
      <c r="A185" s="1160"/>
      <c r="B185" s="1163"/>
      <c r="C185" s="1166"/>
      <c r="D185" s="17"/>
      <c r="E185" s="26" t="str">
        <f t="shared" si="50"/>
        <v/>
      </c>
      <c r="F185" s="313"/>
      <c r="G185" s="27"/>
      <c r="H185" s="26" t="str">
        <f t="shared" si="51"/>
        <v/>
      </c>
      <c r="I185" s="313"/>
      <c r="J185" s="142"/>
      <c r="N185" s="84" t="str">
        <f>报表格式!Z185</f>
        <v>G36</v>
      </c>
      <c r="O185" s="28" t="str">
        <f>IF(OR(MID(TRIM(报表格式!AA185),2,1)="：",MID(TRIM(报表格式!AA185),2,1)="、"),REPLACEB(TRIM(报表格式!AA185),1,4,""),TRIM(报表格式!AA185))</f>
        <v>11.其他</v>
      </c>
    </row>
    <row r="186" spans="1:15" s="23" customFormat="1">
      <c r="A186" s="1160"/>
      <c r="B186" s="1163"/>
      <c r="C186" s="1166"/>
      <c r="D186" s="17"/>
      <c r="E186" s="26" t="str">
        <f t="shared" si="50"/>
        <v/>
      </c>
      <c r="F186" s="313"/>
      <c r="G186" s="27"/>
      <c r="H186" s="26" t="str">
        <f t="shared" si="51"/>
        <v/>
      </c>
      <c r="I186" s="313"/>
      <c r="J186" s="142"/>
      <c r="N186" s="84" t="str">
        <f>报表格式!Z186</f>
        <v>G37</v>
      </c>
      <c r="O186" s="28" t="str">
        <f>IF(OR(MID(TRIM(报表格式!AA186),2,1)="：",MID(TRIM(报表格式!AA186),2,1)="、"),REPLACEB(TRIM(报表格式!AA186),1,4,""),TRIM(报表格式!AA186))</f>
        <v>归属于少数股东的其他综合收益的税后净额</v>
      </c>
    </row>
    <row r="187" spans="1:15" s="23" customFormat="1">
      <c r="A187" s="1161"/>
      <c r="B187" s="1164"/>
      <c r="C187" s="1167"/>
      <c r="D187" s="17"/>
      <c r="E187" s="26" t="str">
        <f t="shared" si="50"/>
        <v/>
      </c>
      <c r="F187" s="313"/>
      <c r="G187" s="27"/>
      <c r="H187" s="26" t="str">
        <f t="shared" si="51"/>
        <v/>
      </c>
      <c r="I187" s="313"/>
      <c r="J187" s="142"/>
      <c r="N187" s="84">
        <f>报表格式!Z187</f>
        <v>0</v>
      </c>
      <c r="O187" s="782" t="str">
        <f>IF(OR(MID(TRIM(报表格式!AA187),2,1)="：",MID(TRIM(报表格式!AA187),2,1)="、"),REPLACEB(TRIM(报表格式!AA187),1,4,""),TRIM(报表格式!AA187))</f>
        <v>综合收益总额</v>
      </c>
    </row>
    <row r="188" spans="1:15" s="23" customFormat="1">
      <c r="A188" s="453"/>
      <c r="B188" s="453"/>
      <c r="C188" s="454"/>
      <c r="D188" s="455"/>
      <c r="E188" s="456"/>
      <c r="F188" s="456"/>
      <c r="G188" s="455"/>
      <c r="H188" s="456"/>
      <c r="I188" s="456"/>
      <c r="J188" s="457" t="str">
        <f>IF(ABS((SUMIF(E182:E187,"?*",J182:J187)-SUMIF(H182:H187,"?*",J182:J187)))&lt;0.005,"","借贷不等")</f>
        <v/>
      </c>
      <c r="N188" s="84">
        <f>报表格式!Z188</f>
        <v>0</v>
      </c>
      <c r="O188" s="28" t="str">
        <f>IF(OR(MID(TRIM(报表格式!AA188),2,1)="：",MID(TRIM(报表格式!AA188),2,1)="、"),REPLACEB(TRIM(报表格式!AA188),1,4,""),TRIM(报表格式!AA188))</f>
        <v>归属于母公司股东的综合收益总额</v>
      </c>
    </row>
    <row r="189" spans="1:15" s="23" customFormat="1">
      <c r="A189" s="1159">
        <v>27</v>
      </c>
      <c r="B189" s="1162"/>
      <c r="C189" s="1165"/>
      <c r="D189" s="17"/>
      <c r="E189" s="26" t="str">
        <f t="shared" ref="E189:E194" si="52">IF(D189=0,"",VLOOKUP(D189,$N:$O,2,0))</f>
        <v/>
      </c>
      <c r="F189" s="313"/>
      <c r="G189" s="27"/>
      <c r="H189" s="26" t="str">
        <f t="shared" ref="H189:H194" si="53">IF(G189=0,"",VLOOKUP(G189,$N:$O,2,0))</f>
        <v/>
      </c>
      <c r="I189" s="313"/>
      <c r="J189" s="142"/>
      <c r="N189" s="84">
        <f>报表格式!Z189</f>
        <v>0</v>
      </c>
      <c r="O189" s="28" t="str">
        <f>IF(OR(MID(TRIM(报表格式!AA189),2,1)="：",MID(TRIM(报表格式!AA189),2,1)="、"),REPLACEB(TRIM(报表格式!AA189),1,4,""),TRIM(报表格式!AA189))</f>
        <v>归属于少数股东的综合收益总额</v>
      </c>
    </row>
    <row r="190" spans="1:15" s="23" customFormat="1">
      <c r="A190" s="1160"/>
      <c r="B190" s="1163"/>
      <c r="C190" s="1166"/>
      <c r="D190" s="17"/>
      <c r="E190" s="26" t="str">
        <f t="shared" si="52"/>
        <v/>
      </c>
      <c r="F190" s="313"/>
      <c r="G190" s="27"/>
      <c r="H190" s="26" t="str">
        <f t="shared" si="53"/>
        <v/>
      </c>
      <c r="I190" s="313"/>
      <c r="J190" s="142"/>
      <c r="N190" s="84">
        <f>报表格式!Z190</f>
        <v>0</v>
      </c>
      <c r="O190" s="782" t="str">
        <f>IF(OR(MID(TRIM(报表格式!AA190),2,1)="：",MID(TRIM(报表格式!AA190),2,1)="、"),REPLACEB(TRIM(报表格式!AA190),1,4,""),TRIM(报表格式!AA190))</f>
        <v>每股收益</v>
      </c>
    </row>
    <row r="191" spans="1:15" s="23" customFormat="1">
      <c r="A191" s="1160"/>
      <c r="B191" s="1163"/>
      <c r="C191" s="1166"/>
      <c r="D191" s="17"/>
      <c r="E191" s="26" t="str">
        <f t="shared" si="52"/>
        <v/>
      </c>
      <c r="F191" s="313"/>
      <c r="G191" s="27"/>
      <c r="H191" s="26" t="str">
        <f t="shared" si="53"/>
        <v/>
      </c>
      <c r="I191" s="313"/>
      <c r="J191" s="142"/>
      <c r="N191" s="84" t="str">
        <f>报表格式!Z191</f>
        <v>G38</v>
      </c>
      <c r="O191" s="28" t="str">
        <f>IF(OR(MID(TRIM(报表格式!AA191),1,1)="（",MID(TRIM(报表格式!AA191),2,1)="、"),REPLACEB(TRIM(报表格式!AA191),1,6,""),TRIM(报表格式!AA191))</f>
        <v>基本每股收益</v>
      </c>
    </row>
    <row r="192" spans="1:15" s="23" customFormat="1">
      <c r="A192" s="1160"/>
      <c r="B192" s="1163"/>
      <c r="C192" s="1166"/>
      <c r="D192" s="17"/>
      <c r="E192" s="26" t="str">
        <f t="shared" si="52"/>
        <v/>
      </c>
      <c r="F192" s="313"/>
      <c r="G192" s="27"/>
      <c r="H192" s="26" t="str">
        <f t="shared" si="53"/>
        <v/>
      </c>
      <c r="I192" s="313"/>
      <c r="J192" s="142"/>
      <c r="N192" s="84" t="str">
        <f>报表格式!Z192</f>
        <v>G39</v>
      </c>
      <c r="O192" s="28" t="str">
        <f>IF(OR(MID(TRIM(报表格式!AA192),1,1)="（",MID(TRIM(报表格式!AA192),2,1)="、"),REPLACEB(TRIM(报表格式!AA192),1,6,""),TRIM(报表格式!AA192))</f>
        <v>稀释每股收益</v>
      </c>
    </row>
    <row r="193" spans="1:15" s="23" customFormat="1">
      <c r="A193" s="1160"/>
      <c r="B193" s="1163"/>
      <c r="C193" s="1166"/>
      <c r="D193" s="17"/>
      <c r="E193" s="26" t="str">
        <f t="shared" si="52"/>
        <v/>
      </c>
      <c r="F193" s="313"/>
      <c r="G193" s="27"/>
      <c r="H193" s="26" t="str">
        <f t="shared" si="53"/>
        <v/>
      </c>
      <c r="I193" s="313"/>
      <c r="J193" s="142"/>
      <c r="N193" s="84">
        <f>报表格式!Z193</f>
        <v>0</v>
      </c>
      <c r="O193" s="782" t="str">
        <f>IF(OR(MID(TRIM(报表格式!AA193),2,1)="：",MID(TRIM(报表格式!AA193),2,1)="、"),REPLACEB(TRIM(报表格式!AA193),1,4,""),TRIM(报表格式!AA193))</f>
        <v>利润分配</v>
      </c>
    </row>
    <row r="194" spans="1:15" s="23" customFormat="1">
      <c r="A194" s="1161"/>
      <c r="B194" s="1164"/>
      <c r="C194" s="1167"/>
      <c r="D194" s="17"/>
      <c r="E194" s="26" t="str">
        <f t="shared" si="52"/>
        <v/>
      </c>
      <c r="F194" s="313"/>
      <c r="G194" s="27"/>
      <c r="H194" s="26" t="str">
        <f t="shared" si="53"/>
        <v/>
      </c>
      <c r="I194" s="313"/>
      <c r="J194" s="142"/>
      <c r="N194" s="84" t="str">
        <f>报表格式!Z194</f>
        <v>G40</v>
      </c>
      <c r="O194" s="28" t="str">
        <f>IF(OR(MID(TRIM(报表格式!AA194),1,1)="（",MID(TRIM(报表格式!AA194),2,1)="、"),REPLACEB(TRIM(报表格式!AA194),1,6,""),TRIM(报表格式!AA194))</f>
        <v>年初未分配利润</v>
      </c>
    </row>
    <row r="195" spans="1:15" s="23" customFormat="1">
      <c r="A195" s="453"/>
      <c r="B195" s="453"/>
      <c r="C195" s="454"/>
      <c r="D195" s="455"/>
      <c r="E195" s="456"/>
      <c r="F195" s="456"/>
      <c r="G195" s="455"/>
      <c r="H195" s="456"/>
      <c r="I195" s="456"/>
      <c r="J195" s="457" t="str">
        <f>IF(ABS((SUMIF(E189:E194,"?*",J189:J194)-SUMIF(H189:H194,"?*",J189:J194)))&lt;0.005,"","借贷不等")</f>
        <v/>
      </c>
      <c r="N195" s="84">
        <f>报表格式!Z195</f>
        <v>0</v>
      </c>
      <c r="O195" s="28" t="str">
        <f>IF(OR(MID(TRIM(报表格式!AA195),1,1)="（",MID(TRIM(报表格式!AA195),2,1)="、"),REPLACEB(TRIM(报表格式!AA195),1,6,""),TRIM(报表格式!AA195))</f>
        <v>可供分配的利润</v>
      </c>
    </row>
    <row r="196" spans="1:15" s="23" customFormat="1">
      <c r="A196" s="1159">
        <v>28</v>
      </c>
      <c r="B196" s="1162"/>
      <c r="C196" s="1165"/>
      <c r="D196" s="17"/>
      <c r="E196" s="26" t="str">
        <f t="shared" ref="E196:E201" si="54">IF(D196=0,"",VLOOKUP(D196,$N:$O,2,0))</f>
        <v/>
      </c>
      <c r="F196" s="313"/>
      <c r="G196" s="27"/>
      <c r="H196" s="26" t="str">
        <f t="shared" ref="H196:H201" si="55">IF(G196=0,"",VLOOKUP(G196,$N:$O,2,0))</f>
        <v/>
      </c>
      <c r="I196" s="313"/>
      <c r="J196" s="142"/>
      <c r="N196" s="84" t="str">
        <f>报表格式!Z196</f>
        <v>G41</v>
      </c>
      <c r="O196" s="28" t="str">
        <f>IF(OR(MID(TRIM(报表格式!AA196),2,1)="：",MID(TRIM(报表格式!AA196),2,1)="."),REPLACEB(TRIM(报表格式!AA196),1,4,""),TRIM(报表格式!AA196))</f>
        <v>1、提取法定盈余公积</v>
      </c>
    </row>
    <row r="197" spans="1:15" s="23" customFormat="1">
      <c r="A197" s="1160"/>
      <c r="B197" s="1163"/>
      <c r="C197" s="1166"/>
      <c r="D197" s="17"/>
      <c r="E197" s="26" t="str">
        <f t="shared" si="54"/>
        <v/>
      </c>
      <c r="F197" s="313"/>
      <c r="G197" s="27"/>
      <c r="H197" s="26" t="str">
        <f t="shared" si="55"/>
        <v/>
      </c>
      <c r="I197" s="313"/>
      <c r="J197" s="142"/>
      <c r="N197" s="84" t="str">
        <f>报表格式!Z197</f>
        <v>G42</v>
      </c>
      <c r="O197" s="28" t="str">
        <f>IF(OR(MID(TRIM(报表格式!AA197),2,1)="：",MID(TRIM(报表格式!AA197),2,1)="."),REPLACEB(TRIM(报表格式!AA197),1,4,""),TRIM(报表格式!AA197))</f>
        <v>2、其他</v>
      </c>
    </row>
    <row r="198" spans="1:15" s="23" customFormat="1">
      <c r="A198" s="1160"/>
      <c r="B198" s="1163"/>
      <c r="C198" s="1166"/>
      <c r="D198" s="17"/>
      <c r="E198" s="26" t="str">
        <f t="shared" si="54"/>
        <v/>
      </c>
      <c r="F198" s="313"/>
      <c r="G198" s="27"/>
      <c r="H198" s="26" t="str">
        <f t="shared" si="55"/>
        <v/>
      </c>
      <c r="I198" s="313"/>
      <c r="J198" s="142"/>
      <c r="N198" s="84">
        <f>报表格式!Z198</f>
        <v>0</v>
      </c>
      <c r="O198" s="28" t="str">
        <f>IF(OR(MID(TRIM(报表格式!AA198),1,1)="（",MID(TRIM(报表格式!AA198),2,1)="、"),REPLACEB(TRIM(报表格式!AA198),1,6,""),TRIM(报表格式!AA198))</f>
        <v>可供投资者分配的利润</v>
      </c>
    </row>
    <row r="199" spans="1:15" s="23" customFormat="1">
      <c r="A199" s="1160"/>
      <c r="B199" s="1163"/>
      <c r="C199" s="1166"/>
      <c r="D199" s="17"/>
      <c r="E199" s="26" t="str">
        <f t="shared" si="54"/>
        <v/>
      </c>
      <c r="F199" s="313"/>
      <c r="G199" s="27"/>
      <c r="H199" s="26" t="str">
        <f t="shared" si="55"/>
        <v/>
      </c>
      <c r="I199" s="313"/>
      <c r="J199" s="142"/>
      <c r="N199" s="84" t="str">
        <f>报表格式!Z199</f>
        <v>G43</v>
      </c>
      <c r="O199" s="28" t="str">
        <f>IF(OR(MID(TRIM(报表格式!AA199),2,1)="：",MID(TRIM(报表格式!AA199),2,1)="."),REPLACEB(TRIM(报表格式!AA199),1,4,""),TRIM(报表格式!AA199))</f>
        <v>1、应付优先股股利</v>
      </c>
    </row>
    <row r="200" spans="1:15" s="23" customFormat="1">
      <c r="A200" s="1160"/>
      <c r="B200" s="1163"/>
      <c r="C200" s="1166"/>
      <c r="D200" s="17"/>
      <c r="E200" s="26" t="str">
        <f t="shared" si="54"/>
        <v/>
      </c>
      <c r="F200" s="313"/>
      <c r="G200" s="27"/>
      <c r="H200" s="26" t="str">
        <f t="shared" si="55"/>
        <v/>
      </c>
      <c r="I200" s="313"/>
      <c r="J200" s="142"/>
      <c r="N200" s="84" t="str">
        <f>报表格式!Z200</f>
        <v>G44</v>
      </c>
      <c r="O200" s="28" t="str">
        <f>IF(OR(MID(TRIM(报表格式!AA200),2,1)="：",MID(TRIM(报表格式!AA200),2,1)="."),REPLACEB(TRIM(报表格式!AA200),1,4,""),TRIM(报表格式!AA200))</f>
        <v>2、提取任意盈余公积</v>
      </c>
    </row>
    <row r="201" spans="1:15" s="23" customFormat="1">
      <c r="A201" s="1161"/>
      <c r="B201" s="1164"/>
      <c r="C201" s="1167"/>
      <c r="D201" s="17"/>
      <c r="E201" s="26" t="str">
        <f t="shared" si="54"/>
        <v/>
      </c>
      <c r="F201" s="313"/>
      <c r="G201" s="27"/>
      <c r="H201" s="26" t="str">
        <f t="shared" si="55"/>
        <v/>
      </c>
      <c r="I201" s="313"/>
      <c r="J201" s="142"/>
      <c r="N201" s="84" t="str">
        <f>报表格式!Z201</f>
        <v>G45</v>
      </c>
      <c r="O201" s="28" t="str">
        <f>IF(OR(MID(TRIM(报表格式!AA201),2,1)="：",MID(TRIM(报表格式!AA201),2,1)="."),REPLACEB(TRIM(报表格式!AA201),1,4,""),TRIM(报表格式!AA201))</f>
        <v>3、应付普通股股利（应付利润）</v>
      </c>
    </row>
    <row r="202" spans="1:15" s="23" customFormat="1">
      <c r="A202" s="453"/>
      <c r="B202" s="453"/>
      <c r="C202" s="454"/>
      <c r="D202" s="455"/>
      <c r="E202" s="456"/>
      <c r="F202" s="456"/>
      <c r="G202" s="455"/>
      <c r="H202" s="456"/>
      <c r="I202" s="456"/>
      <c r="J202" s="457" t="str">
        <f>IF(ABS((SUMIF(E196:E201,"?*",J196:J201)-SUMIF(H196:H201,"?*",J196:J201)))&lt;0.005,"","借贷不等")</f>
        <v/>
      </c>
      <c r="N202" s="84" t="str">
        <f>报表格式!Z202</f>
        <v>G46</v>
      </c>
      <c r="O202" s="28" t="str">
        <f>IF(OR(MID(TRIM(报表格式!AA202),2,1)="：",MID(TRIM(报表格式!AA202),2,1)="."),REPLACEB(TRIM(报表格式!AA202),1,4,""),TRIM(报表格式!AA202))</f>
        <v>4、转作资本（或股本）的普通股股利</v>
      </c>
    </row>
    <row r="203" spans="1:15" s="23" customFormat="1">
      <c r="A203" s="1159">
        <v>29</v>
      </c>
      <c r="B203" s="1162"/>
      <c r="C203" s="1165"/>
      <c r="D203" s="17"/>
      <c r="E203" s="26" t="str">
        <f t="shared" ref="E203:E208" si="56">IF(D203=0,"",VLOOKUP(D203,$N:$O,2,0))</f>
        <v/>
      </c>
      <c r="F203" s="313"/>
      <c r="G203" s="27"/>
      <c r="H203" s="26" t="str">
        <f t="shared" ref="H203:H208" si="57">IF(G203=0,"",VLOOKUP(G203,$N:$O,2,0))</f>
        <v/>
      </c>
      <c r="I203" s="313"/>
      <c r="J203" s="142"/>
      <c r="N203" s="84" t="str">
        <f>报表格式!Z203</f>
        <v>G47</v>
      </c>
      <c r="O203" s="28" t="str">
        <f>IF(OR(MID(TRIM(报表格式!AA203),2,1)="：",MID(TRIM(报表格式!AA203),2,1)="."),REPLACEB(TRIM(报表格式!AA203),1,4,""),TRIM(报表格式!AA203))</f>
        <v>5、其他</v>
      </c>
    </row>
    <row r="204" spans="1:15" s="23" customFormat="1">
      <c r="A204" s="1160"/>
      <c r="B204" s="1163"/>
      <c r="C204" s="1166"/>
      <c r="D204" s="17"/>
      <c r="E204" s="26" t="str">
        <f t="shared" si="56"/>
        <v/>
      </c>
      <c r="F204" s="313"/>
      <c r="G204" s="27"/>
      <c r="H204" s="26" t="str">
        <f t="shared" si="57"/>
        <v/>
      </c>
      <c r="I204" s="313"/>
      <c r="J204" s="142"/>
      <c r="N204" s="84">
        <f>报表格式!Z204</f>
        <v>0</v>
      </c>
      <c r="O204" s="782" t="str">
        <f>IF(OR(MID(TRIM(报表格式!AA204),2,1)="：",MID(TRIM(报表格式!AA204),2,1)="、"),REPLACEB(TRIM(报表格式!AA204),1,4,""),TRIM(报表格式!AA204))</f>
        <v>未分配利润</v>
      </c>
    </row>
    <row r="205" spans="1:15" s="23" customFormat="1">
      <c r="A205" s="1160"/>
      <c r="B205" s="1163"/>
      <c r="C205" s="1166"/>
      <c r="D205" s="17"/>
      <c r="E205" s="26" t="str">
        <f t="shared" si="56"/>
        <v/>
      </c>
      <c r="F205" s="313"/>
      <c r="G205" s="27"/>
      <c r="H205" s="26" t="str">
        <f t="shared" si="57"/>
        <v/>
      </c>
      <c r="I205" s="313"/>
      <c r="J205" s="142"/>
      <c r="N205" s="84">
        <f>报表格式!Z205</f>
        <v>0</v>
      </c>
      <c r="O205" s="28" t="str">
        <f>IF(OR(MID(TRIM(报表格式!AA205),2,1)="：",MID(TRIM(报表格式!AA205),2,1)="、"),REPLACEB(TRIM(报表格式!AA205),1,4,""),TRIM(报表格式!AA205))</f>
        <v/>
      </c>
    </row>
    <row r="206" spans="1:15" s="23" customFormat="1">
      <c r="A206" s="1160"/>
      <c r="B206" s="1163"/>
      <c r="C206" s="1166"/>
      <c r="D206" s="17"/>
      <c r="E206" s="26" t="str">
        <f t="shared" si="56"/>
        <v/>
      </c>
      <c r="F206" s="313"/>
      <c r="G206" s="27"/>
      <c r="H206" s="26" t="str">
        <f t="shared" si="57"/>
        <v/>
      </c>
      <c r="I206" s="313"/>
      <c r="J206" s="142"/>
      <c r="N206" s="84">
        <f>报表格式!Z206</f>
        <v>0</v>
      </c>
      <c r="O206" s="28" t="str">
        <f>IF(OR(MID(TRIM(报表格式!AA206),2,1)="：",MID(TRIM(报表格式!AA206),2,1)="、"),REPLACEB(TRIM(报表格式!AA206),1,4,""),TRIM(报表格式!AA206))</f>
        <v/>
      </c>
    </row>
    <row r="207" spans="1:15" s="23" customFormat="1">
      <c r="A207" s="1160"/>
      <c r="B207" s="1163"/>
      <c r="C207" s="1166"/>
      <c r="D207" s="17"/>
      <c r="E207" s="26" t="str">
        <f t="shared" si="56"/>
        <v/>
      </c>
      <c r="F207" s="313"/>
      <c r="G207" s="27"/>
      <c r="H207" s="26" t="str">
        <f t="shared" si="57"/>
        <v/>
      </c>
      <c r="I207" s="313"/>
      <c r="J207" s="142"/>
      <c r="N207" s="84">
        <f>报表格式!Z207</f>
        <v>0</v>
      </c>
      <c r="O207" s="28" t="str">
        <f>IF(OR(MID(TRIM(报表格式!AA207),2,1)="：",MID(TRIM(报表格式!AA207),2,1)="、"),REPLACEB(TRIM(报表格式!AA207),1,4,""),TRIM(报表格式!AA207))</f>
        <v/>
      </c>
    </row>
    <row r="208" spans="1:15" s="23" customFormat="1">
      <c r="A208" s="1161"/>
      <c r="B208" s="1164"/>
      <c r="C208" s="1167"/>
      <c r="D208" s="17"/>
      <c r="E208" s="26" t="str">
        <f t="shared" si="56"/>
        <v/>
      </c>
      <c r="F208" s="313"/>
      <c r="G208" s="27"/>
      <c r="H208" s="26" t="str">
        <f t="shared" si="57"/>
        <v/>
      </c>
      <c r="I208" s="313"/>
      <c r="J208" s="142"/>
      <c r="N208" s="84">
        <f>报表格式!Z208</f>
        <v>0</v>
      </c>
      <c r="O208" s="28" t="str">
        <f>IF(OR(MID(TRIM(报表格式!AA208),2,1)="：",MID(TRIM(报表格式!AA208),2,1)="、"),REPLACEB(TRIM(报表格式!AA208),1,4,""),TRIM(报表格式!AA208))</f>
        <v/>
      </c>
    </row>
    <row r="209" spans="1:15" s="23" customFormat="1">
      <c r="A209" s="453"/>
      <c r="B209" s="453"/>
      <c r="C209" s="454"/>
      <c r="D209" s="455"/>
      <c r="E209" s="456"/>
      <c r="F209" s="456"/>
      <c r="G209" s="455"/>
      <c r="H209" s="456"/>
      <c r="I209" s="456"/>
      <c r="J209" s="457" t="str">
        <f>IF(ABS((SUMIF(E203:E208,"?*",J203:J208)-SUMIF(H203:H208,"?*",J203:J208)))&lt;0.005,"","借贷不等")</f>
        <v/>
      </c>
      <c r="N209" s="84"/>
      <c r="O209" s="85"/>
    </row>
    <row r="210" spans="1:15">
      <c r="N210" s="84"/>
      <c r="O210" s="85"/>
    </row>
    <row r="211" spans="1:15">
      <c r="N211" s="84"/>
      <c r="O211" s="87"/>
    </row>
    <row r="212" spans="1:15">
      <c r="N212" s="84"/>
      <c r="O212" s="85"/>
    </row>
    <row r="213" spans="1:15">
      <c r="N213" s="84"/>
      <c r="O213" s="85"/>
    </row>
    <row r="214" spans="1:15">
      <c r="N214" s="84"/>
      <c r="O214" s="85"/>
    </row>
    <row r="215" spans="1:15">
      <c r="N215" s="84"/>
      <c r="O215" s="87"/>
    </row>
    <row r="216" spans="1:15">
      <c r="N216" s="84"/>
      <c r="O216" s="85"/>
    </row>
    <row r="217" spans="1:15">
      <c r="N217" s="84"/>
      <c r="O217" s="85"/>
    </row>
    <row r="218" spans="1:15">
      <c r="N218" s="84"/>
      <c r="O218" s="85"/>
    </row>
    <row r="219" spans="1:15">
      <c r="N219" s="84"/>
      <c r="O219" s="85"/>
    </row>
    <row r="220" spans="1:15">
      <c r="N220" s="84"/>
      <c r="O220" s="85"/>
    </row>
    <row r="221" spans="1:15">
      <c r="N221" s="84"/>
      <c r="O221" s="85"/>
    </row>
    <row r="222" spans="1:15">
      <c r="N222" s="84"/>
      <c r="O222" s="85"/>
    </row>
    <row r="223" spans="1:15">
      <c r="N223" s="84"/>
      <c r="O223" s="85"/>
    </row>
    <row r="224" spans="1:15">
      <c r="N224" s="84"/>
      <c r="O224" s="85"/>
    </row>
    <row r="225" spans="14:15">
      <c r="N225" s="84"/>
      <c r="O225" s="87"/>
    </row>
    <row r="226" spans="14:15">
      <c r="N226" s="84"/>
      <c r="O226" s="85"/>
    </row>
    <row r="227" spans="14:15">
      <c r="N227" s="84"/>
      <c r="O227" s="85"/>
    </row>
    <row r="228" spans="14:15">
      <c r="N228" s="84"/>
      <c r="O228" s="85"/>
    </row>
    <row r="229" spans="14:15">
      <c r="N229" s="84"/>
      <c r="O229" s="85"/>
    </row>
    <row r="230" spans="14:15">
      <c r="N230" s="84"/>
      <c r="O230" s="85"/>
    </row>
    <row r="231" spans="14:15">
      <c r="N231" s="84"/>
      <c r="O231" s="86"/>
    </row>
    <row r="232" spans="14:15">
      <c r="N232" s="84"/>
      <c r="O232" s="85"/>
    </row>
    <row r="233" spans="14:15">
      <c r="N233" s="84"/>
      <c r="O233" s="83"/>
    </row>
    <row r="234" spans="14:15">
      <c r="N234" s="23"/>
      <c r="O234" s="23"/>
    </row>
  </sheetData>
  <sheetProtection formatCells="0" formatColumns="0" formatRows="0" insertRows="0" autoFilter="0" pivotTables="0"/>
  <mergeCells count="87">
    <mergeCell ref="A28:A33"/>
    <mergeCell ref="A35:A40"/>
    <mergeCell ref="A126:A131"/>
    <mergeCell ref="A133:A138"/>
    <mergeCell ref="A140:A145"/>
    <mergeCell ref="A98:A103"/>
    <mergeCell ref="A42:A47"/>
    <mergeCell ref="A63:A68"/>
    <mergeCell ref="A70:A75"/>
    <mergeCell ref="A84:A89"/>
    <mergeCell ref="A49:A54"/>
    <mergeCell ref="A56:A61"/>
    <mergeCell ref="A77:A82"/>
    <mergeCell ref="A105:A110"/>
    <mergeCell ref="A112:A117"/>
    <mergeCell ref="C28:C33"/>
    <mergeCell ref="B35:B40"/>
    <mergeCell ref="C35:C40"/>
    <mergeCell ref="B98:B103"/>
    <mergeCell ref="C98:C103"/>
    <mergeCell ref="B42:B47"/>
    <mergeCell ref="C42:C47"/>
    <mergeCell ref="B63:B68"/>
    <mergeCell ref="C63:C68"/>
    <mergeCell ref="B70:B75"/>
    <mergeCell ref="B28:B33"/>
    <mergeCell ref="B49:B54"/>
    <mergeCell ref="C49:C54"/>
    <mergeCell ref="B56:B61"/>
    <mergeCell ref="C56:C61"/>
    <mergeCell ref="C70:C75"/>
    <mergeCell ref="C21:C26"/>
    <mergeCell ref="A14:A19"/>
    <mergeCell ref="B5:B12"/>
    <mergeCell ref="C5:C12"/>
    <mergeCell ref="B14:B19"/>
    <mergeCell ref="C14:C19"/>
    <mergeCell ref="A5:A12"/>
    <mergeCell ref="B21:B26"/>
    <mergeCell ref="A21:A26"/>
    <mergeCell ref="B77:B82"/>
    <mergeCell ref="C77:C82"/>
    <mergeCell ref="B140:B145"/>
    <mergeCell ref="C140:C145"/>
    <mergeCell ref="B126:B131"/>
    <mergeCell ref="C126:C131"/>
    <mergeCell ref="B133:B138"/>
    <mergeCell ref="C133:C138"/>
    <mergeCell ref="C112:C117"/>
    <mergeCell ref="B105:B110"/>
    <mergeCell ref="C147:C152"/>
    <mergeCell ref="C105:C110"/>
    <mergeCell ref="A161:A166"/>
    <mergeCell ref="B84:B89"/>
    <mergeCell ref="C84:C89"/>
    <mergeCell ref="A91:A96"/>
    <mergeCell ref="B91:B96"/>
    <mergeCell ref="C91:C96"/>
    <mergeCell ref="B161:B166"/>
    <mergeCell ref="C161:C166"/>
    <mergeCell ref="B154:B159"/>
    <mergeCell ref="C154:C159"/>
    <mergeCell ref="C119:C124"/>
    <mergeCell ref="B119:B124"/>
    <mergeCell ref="A119:A124"/>
    <mergeCell ref="A154:A159"/>
    <mergeCell ref="A147:A152"/>
    <mergeCell ref="B112:B117"/>
    <mergeCell ref="A168:A173"/>
    <mergeCell ref="B168:B173"/>
    <mergeCell ref="B147:B152"/>
    <mergeCell ref="C168:C173"/>
    <mergeCell ref="A175:A180"/>
    <mergeCell ref="B175:B180"/>
    <mergeCell ref="C175:C180"/>
    <mergeCell ref="A182:A187"/>
    <mergeCell ref="B182:B187"/>
    <mergeCell ref="C182:C187"/>
    <mergeCell ref="A203:A208"/>
    <mergeCell ref="B203:B208"/>
    <mergeCell ref="C203:C208"/>
    <mergeCell ref="A189:A194"/>
    <mergeCell ref="B189:B194"/>
    <mergeCell ref="C189:C194"/>
    <mergeCell ref="A196:A201"/>
    <mergeCell ref="B196:B201"/>
    <mergeCell ref="C196:C201"/>
  </mergeCells>
  <phoneticPr fontId="50" type="noConversion"/>
  <conditionalFormatting sqref="A1">
    <cfRule type="cellIs" dxfId="45"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9"/>
    <dataValidation type="list" allowBlank="1" showDropDown="1" showInputMessage="1" showErrorMessage="1" errorTitle="警告" error="   您输入的科目不是报表标准科目_x000a__x000a_请对应“调整事项转换表”核对科目名称" sqref="E20 E209 H209 E202 H202 E195 H195 E188 H188 E181 H181 E174 H174 E167 H167 E160 H160 E153 H153 E146 H146 E139 H139 E132 H132 E125 H125 E118 H118 E111 H111 E104 H104 E97 H97 E90 H90 E83 H83 E76 H76 E69 H69 E62 H62 E55 H55 E13 H13 H20 E27 H27 E34 H34 E41 H41 E48 H48">
      <formula1>$O$6:$O$144</formula1>
    </dataValidation>
    <dataValidation type="list" allowBlank="1" showDropDown="1" showInputMessage="1" showErrorMessage="1" errorTitle="警告" error="   您输入的科目不是报表标准科目_x000a__x000a_请对应“报表项目”核对科目名称" sqref="E203:E208 H5 H7:H12 E14:E19 E6:E12 E42:E47 E35:E40 E28:E33 E21:E26 H6:I6 E49:E54 E56:E61 E63:E68 E70:E75 E77:E82 E84:E89 E91:E96 E98:E103 E105:E110 E112:E117 E119:E124 E126:E131 E133:E138 E140:E145 E147:E152 E154:E159 E161:E166 E168:E173 E175:E180 E182:E187 E189:E194 E196:E201">
      <formula1>$O:$O</formula1>
    </dataValidation>
    <dataValidation type="list" allowBlank="1" showDropDown="1" showInputMessage="1" showErrorMessage="1" errorTitle="警告" error="   您输入的科目不是报表标准科目_x000a__x000a_请对应“调整事项转换表”核对科目名称" sqref="H42:H47 H14:H19 H35:H40 H28:H33 H21:H26 H49:H54 H56:H61 H63:H68 H70:H75 H77:H82 H84:H89 H91:H96 H98:H103 H105:H110 H112:H117 H119:H124 H126:H131 H133:H138 H140:H145 H147:H152 H154:H159 H161:H166 H168:H173 H175:H180 H182:H187 H189:H194 H196:H201 H203:H208">
      <formula1>$O:$O</formula1>
    </dataValidation>
    <dataValidation type="list" allowBlank="1" showDropDown="1" showInputMessage="1" showErrorMessage="1" prompt="可直接输入科目名称；也可以在“code”列输入代码" sqref="E5">
      <formula1>$O:$O</formula1>
    </dataValidation>
  </dataValidations>
  <printOptions horizontalCentered="1"/>
  <pageMargins left="0.6" right="0.23622047244094491" top="0.63" bottom="0.63" header="0.38" footer="0.28999999999999998"/>
  <pageSetup paperSize="9" orientation="portrait" horizontalDpi="360" verticalDpi="360" r:id="rId1"/>
  <headerFooter alignWithMargins="0">
    <oddFooter>&amp;C&amp;9&amp;P/&amp;N</oddFooter>
  </headerFooter>
  <colBreaks count="1" manualBreakCount="1">
    <brk id="1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sheetPr>
  <dimension ref="A1:O234"/>
  <sheetViews>
    <sheetView workbookViewId="0">
      <selection activeCell="K30" sqref="K30"/>
    </sheetView>
  </sheetViews>
  <sheetFormatPr defaultColWidth="9" defaultRowHeight="13.5"/>
  <cols>
    <col min="1" max="1" width="3.25" style="201" customWidth="1"/>
    <col min="2" max="2" width="5.5" style="201" customWidth="1"/>
    <col min="3" max="3" width="19.375" style="824" customWidth="1"/>
    <col min="4" max="4" width="3.625" style="825" customWidth="1"/>
    <col min="5" max="5" width="9.25" style="826" customWidth="1"/>
    <col min="6" max="6" width="12.375" style="826" customWidth="1"/>
    <col min="7" max="7" width="3.375" style="825" customWidth="1"/>
    <col min="8" max="8" width="10.125" style="826" customWidth="1"/>
    <col min="9" max="9" width="12.5" style="826" customWidth="1"/>
    <col min="10" max="10" width="11.5" style="821" customWidth="1"/>
    <col min="11" max="11" width="7.375" style="826" customWidth="1"/>
    <col min="12" max="12" width="8.375" style="826" customWidth="1"/>
    <col min="13" max="13" width="0.5" style="826" customWidth="1"/>
    <col min="14" max="14" width="6" style="827" customWidth="1"/>
    <col min="15" max="15" width="22.375" style="828" bestFit="1" customWidth="1"/>
    <col min="16" max="16384" width="9" style="826"/>
  </cols>
  <sheetData>
    <row r="1" spans="1:15" s="20" customFormat="1" ht="19.5" customHeight="1">
      <c r="A1" s="128" t="str">
        <f>IF((L2-(母公司TB资产!E60+母公司TB负债!E63+母公司TB损益!E90)-IF(COUNTIF(E5:E666,"未分配利润")&gt;=1,VLOOKUP("未分配利润",E5:J666,6,0),0))&lt;0.005,"母公司账项调整事项汇总表","调整事项未全部链入试算平衡表，请检查调整科目是否为报表项目!")</f>
        <v>母公司账项调整事项汇总表</v>
      </c>
      <c r="B1" s="18"/>
      <c r="C1" s="147"/>
      <c r="D1" s="19"/>
      <c r="E1" s="19"/>
      <c r="F1" s="19"/>
      <c r="G1" s="19"/>
      <c r="H1" s="19"/>
      <c r="I1" s="19"/>
      <c r="J1" s="143"/>
      <c r="K1" s="564">
        <f>SUM(L2:L3)</f>
        <v>0</v>
      </c>
      <c r="L1" s="564"/>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日期：2019.12.31</v>
      </c>
      <c r="J2" s="144" t="s">
        <v>271</v>
      </c>
      <c r="K2" s="565" t="s">
        <v>272</v>
      </c>
      <c r="L2" s="566">
        <f>SUMIF(E5:E65536,"?*",J5:J65536)</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273</v>
      </c>
      <c r="K3" s="565" t="s">
        <v>274</v>
      </c>
      <c r="L3" s="566">
        <f>SUMIF(H5:H65536,"?*",J5:J65536)</f>
        <v>0</v>
      </c>
      <c r="N3" s="82">
        <f>母公司汇总抵销!N3</f>
        <v>0</v>
      </c>
      <c r="O3" s="83">
        <f>母公司汇总抵销!O3</f>
        <v>0</v>
      </c>
    </row>
    <row r="4" spans="1:15" s="23" customFormat="1">
      <c r="A4" s="569" t="s">
        <v>275</v>
      </c>
      <c r="B4" s="124" t="s">
        <v>276</v>
      </c>
      <c r="C4" s="149" t="s">
        <v>277</v>
      </c>
      <c r="D4" s="126" t="s">
        <v>293</v>
      </c>
      <c r="E4" s="125" t="s">
        <v>278</v>
      </c>
      <c r="F4" s="127" t="s">
        <v>279</v>
      </c>
      <c r="G4" s="126" t="s">
        <v>293</v>
      </c>
      <c r="H4" s="125" t="s">
        <v>280</v>
      </c>
      <c r="I4" s="127" t="s">
        <v>279</v>
      </c>
      <c r="J4" s="145" t="s">
        <v>281</v>
      </c>
      <c r="K4" s="567"/>
      <c r="L4" s="568">
        <f>L2-L3</f>
        <v>0</v>
      </c>
      <c r="N4" s="82">
        <f>母公司汇总抵销!N4</f>
        <v>0</v>
      </c>
      <c r="O4" s="83">
        <f>母公司汇总抵销!O4</f>
        <v>0</v>
      </c>
    </row>
    <row r="5" spans="1:15" s="23" customFormat="1">
      <c r="A5" s="1159">
        <v>1</v>
      </c>
      <c r="B5" s="1162"/>
      <c r="C5" s="1165"/>
      <c r="D5" s="17"/>
      <c r="E5" s="21" t="str">
        <f t="shared" ref="E5:E10" si="0">IF(D5=0,"",VLOOKUP(D5,$N:$O,2,0))</f>
        <v/>
      </c>
      <c r="F5" s="811"/>
      <c r="G5" s="25"/>
      <c r="H5" s="26" t="str">
        <f t="shared" ref="H5:H10" si="1">IF(G5=0,"",VLOOKUP(G5,$N:$O,2,0))</f>
        <v/>
      </c>
      <c r="I5" s="313"/>
      <c r="J5" s="142"/>
      <c r="K5" s="171" t="s">
        <v>362</v>
      </c>
      <c r="N5" s="82">
        <f>母公司汇总抵销!N5</f>
        <v>0</v>
      </c>
      <c r="O5" s="71" t="str">
        <f>母公司汇总抵销!O5</f>
        <v>流动资产：</v>
      </c>
    </row>
    <row r="6" spans="1:15" s="23" customFormat="1">
      <c r="A6" s="1160"/>
      <c r="B6" s="1163"/>
      <c r="C6" s="1166"/>
      <c r="D6" s="17"/>
      <c r="E6" s="26" t="str">
        <f t="shared" si="0"/>
        <v/>
      </c>
      <c r="F6" s="811"/>
      <c r="G6" s="864"/>
      <c r="H6" s="26" t="str">
        <f t="shared" si="1"/>
        <v/>
      </c>
      <c r="I6" s="868"/>
      <c r="J6" s="142"/>
      <c r="K6" s="171" t="s">
        <v>363</v>
      </c>
      <c r="N6" s="84" t="str">
        <f>母公司汇总抵销!N6</f>
        <v>D1</v>
      </c>
      <c r="O6" s="28" t="str">
        <f>母公司汇总抵销!O6</f>
        <v>货币资金</v>
      </c>
    </row>
    <row r="7" spans="1:15" s="23" customFormat="1">
      <c r="A7" s="1160"/>
      <c r="B7" s="1163"/>
      <c r="C7" s="1166"/>
      <c r="D7" s="850"/>
      <c r="E7" s="26" t="str">
        <f t="shared" si="0"/>
        <v/>
      </c>
      <c r="F7" s="811"/>
      <c r="G7" s="27"/>
      <c r="H7" s="26" t="str">
        <f t="shared" si="1"/>
        <v/>
      </c>
      <c r="I7" s="313"/>
      <c r="J7" s="142"/>
      <c r="N7" s="84" t="str">
        <f>母公司汇总抵销!N7</f>
        <v>D41</v>
      </c>
      <c r="O7" s="28" t="str">
        <f>母公司汇总抵销!O7</f>
        <v>结算备付金</v>
      </c>
    </row>
    <row r="8" spans="1:15" s="23" customFormat="1">
      <c r="A8" s="1160"/>
      <c r="B8" s="1163"/>
      <c r="C8" s="1166"/>
      <c r="D8" s="17"/>
      <c r="E8" s="26" t="str">
        <f t="shared" si="0"/>
        <v/>
      </c>
      <c r="F8" s="313"/>
      <c r="G8" s="27"/>
      <c r="H8" s="26" t="str">
        <f t="shared" si="1"/>
        <v/>
      </c>
      <c r="I8" s="811"/>
      <c r="J8" s="142"/>
      <c r="N8" s="84" t="str">
        <f>母公司汇总抵销!N8</f>
        <v>D42</v>
      </c>
      <c r="O8" s="28" t="str">
        <f>母公司汇总抵销!O8</f>
        <v>拆出资金</v>
      </c>
    </row>
    <row r="9" spans="1:15" s="23" customFormat="1">
      <c r="A9" s="1160"/>
      <c r="B9" s="1163"/>
      <c r="C9" s="1166"/>
      <c r="D9" s="17"/>
      <c r="E9" s="26" t="str">
        <f t="shared" si="0"/>
        <v/>
      </c>
      <c r="F9" s="313"/>
      <c r="G9" s="27"/>
      <c r="H9" s="26" t="str">
        <f t="shared" si="1"/>
        <v/>
      </c>
      <c r="I9" s="313"/>
      <c r="J9" s="142"/>
      <c r="K9" s="24"/>
      <c r="N9" s="84" t="str">
        <f>母公司汇总抵销!N9</f>
        <v>D2</v>
      </c>
      <c r="O9" s="28" t="str">
        <f>母公司汇总抵销!O9</f>
        <v>交易性金融资产</v>
      </c>
    </row>
    <row r="10" spans="1:15" s="23" customFormat="1">
      <c r="A10" s="1161"/>
      <c r="B10" s="1164"/>
      <c r="C10" s="1167"/>
      <c r="D10" s="17"/>
      <c r="E10" s="26" t="str">
        <f t="shared" si="0"/>
        <v/>
      </c>
      <c r="F10" s="313"/>
      <c r="G10" s="27"/>
      <c r="H10" s="26" t="str">
        <f t="shared" si="1"/>
        <v/>
      </c>
      <c r="I10" s="313"/>
      <c r="J10" s="142"/>
      <c r="K10" s="24"/>
      <c r="N10" s="84" t="str">
        <f>母公司汇总抵销!N10</f>
        <v>D3</v>
      </c>
      <c r="O10" s="28" t="str">
        <f>母公司汇总抵销!O10</f>
        <v>以公允价值计量且其变动计入当期损益的金融资产</v>
      </c>
    </row>
    <row r="11" spans="1:15" s="23" customFormat="1">
      <c r="A11" s="448"/>
      <c r="B11" s="448"/>
      <c r="C11" s="449"/>
      <c r="D11" s="450"/>
      <c r="E11" s="451"/>
      <c r="F11" s="451"/>
      <c r="G11" s="450"/>
      <c r="H11" s="451"/>
      <c r="I11" s="451"/>
      <c r="J11" s="452"/>
      <c r="N11" s="84" t="str">
        <f>母公司汇总抵销!N11</f>
        <v>D4</v>
      </c>
      <c r="O11" s="28" t="str">
        <f>母公司汇总抵销!O11</f>
        <v>衍生金融资产</v>
      </c>
    </row>
    <row r="12" spans="1:15" s="23" customFormat="1">
      <c r="A12" s="1159">
        <v>2</v>
      </c>
      <c r="B12" s="1168"/>
      <c r="C12" s="1169"/>
      <c r="D12" s="17"/>
      <c r="E12" s="26" t="str">
        <f t="shared" ref="E12:E17" si="2">IF(D12=0,"",VLOOKUP(D12,$N:$O,2,0))</f>
        <v/>
      </c>
      <c r="F12" s="313"/>
      <c r="G12" s="27"/>
      <c r="H12" s="26" t="str">
        <f t="shared" ref="H12:H17" si="3">IF(G12=0,"",VLOOKUP(G12,$N:$O,2,0))</f>
        <v/>
      </c>
      <c r="I12" s="313"/>
      <c r="J12" s="142"/>
      <c r="N12" s="84" t="str">
        <f>母公司汇总抵销!N12</f>
        <v>D5</v>
      </c>
      <c r="O12" s="28" t="str">
        <f>母公司汇总抵销!O12</f>
        <v>应收票据</v>
      </c>
    </row>
    <row r="13" spans="1:15" s="23" customFormat="1">
      <c r="A13" s="1160"/>
      <c r="B13" s="1168"/>
      <c r="C13" s="1169"/>
      <c r="D13" s="17"/>
      <c r="E13" s="26" t="str">
        <f t="shared" si="2"/>
        <v/>
      </c>
      <c r="F13" s="313"/>
      <c r="G13" s="27"/>
      <c r="H13" s="26" t="str">
        <f t="shared" si="3"/>
        <v/>
      </c>
      <c r="I13" s="313"/>
      <c r="J13" s="142"/>
      <c r="N13" s="84" t="str">
        <f>母公司汇总抵销!N13</f>
        <v>D6</v>
      </c>
      <c r="O13" s="28" t="str">
        <f>母公司汇总抵销!O13</f>
        <v>应收账款</v>
      </c>
    </row>
    <row r="14" spans="1:15" s="23" customFormat="1">
      <c r="A14" s="1160"/>
      <c r="B14" s="1168"/>
      <c r="C14" s="1169"/>
      <c r="D14" s="17"/>
      <c r="E14" s="26" t="str">
        <f t="shared" si="2"/>
        <v/>
      </c>
      <c r="F14" s="313"/>
      <c r="G14" s="27"/>
      <c r="H14" s="26" t="str">
        <f t="shared" si="3"/>
        <v/>
      </c>
      <c r="I14" s="313"/>
      <c r="J14" s="142"/>
      <c r="N14" s="84" t="str">
        <f>母公司汇总抵销!N14</f>
        <v>D7</v>
      </c>
      <c r="O14" s="28" t="str">
        <f>母公司汇总抵销!O14</f>
        <v>应收款项融资</v>
      </c>
    </row>
    <row r="15" spans="1:15" s="23" customFormat="1">
      <c r="A15" s="1160"/>
      <c r="B15" s="1168"/>
      <c r="C15" s="1169"/>
      <c r="D15" s="17"/>
      <c r="E15" s="26" t="str">
        <f t="shared" si="2"/>
        <v/>
      </c>
      <c r="F15" s="313"/>
      <c r="G15" s="27"/>
      <c r="H15" s="26" t="str">
        <f t="shared" si="3"/>
        <v/>
      </c>
      <c r="I15" s="313"/>
      <c r="J15" s="142"/>
      <c r="N15" s="84" t="str">
        <f>母公司汇总抵销!N15</f>
        <v>D8</v>
      </c>
      <c r="O15" s="28" t="str">
        <f>母公司汇总抵销!O15</f>
        <v>预付款项</v>
      </c>
    </row>
    <row r="16" spans="1:15" s="23" customFormat="1">
      <c r="A16" s="1160"/>
      <c r="B16" s="1168"/>
      <c r="C16" s="1169"/>
      <c r="D16" s="17"/>
      <c r="E16" s="26" t="str">
        <f t="shared" si="2"/>
        <v/>
      </c>
      <c r="F16" s="811"/>
      <c r="G16" s="27"/>
      <c r="H16" s="26" t="str">
        <f t="shared" si="3"/>
        <v/>
      </c>
      <c r="I16" s="313"/>
      <c r="J16" s="142"/>
      <c r="N16" s="84" t="str">
        <f>母公司汇总抵销!N16</f>
        <v>D43</v>
      </c>
      <c r="O16" s="28" t="str">
        <f>母公司汇总抵销!O16</f>
        <v>应收保费</v>
      </c>
    </row>
    <row r="17" spans="1:15" s="23" customFormat="1">
      <c r="A17" s="1161"/>
      <c r="B17" s="1168"/>
      <c r="C17" s="1169"/>
      <c r="D17" s="17"/>
      <c r="E17" s="26" t="str">
        <f t="shared" si="2"/>
        <v/>
      </c>
      <c r="F17" s="313"/>
      <c r="G17" s="27"/>
      <c r="H17" s="26" t="str">
        <f t="shared" si="3"/>
        <v/>
      </c>
      <c r="I17" s="313"/>
      <c r="J17" s="142"/>
      <c r="N17" s="84" t="str">
        <f>母公司汇总抵销!N17</f>
        <v>D44</v>
      </c>
      <c r="O17" s="28" t="str">
        <f>母公司汇总抵销!O17</f>
        <v>应收分保账款</v>
      </c>
    </row>
    <row r="18" spans="1:15" s="23" customFormat="1">
      <c r="A18" s="453"/>
      <c r="B18" s="453"/>
      <c r="C18" s="454"/>
      <c r="D18" s="455"/>
      <c r="E18" s="456"/>
      <c r="F18" s="456"/>
      <c r="G18" s="455"/>
      <c r="H18" s="456"/>
      <c r="I18" s="456"/>
      <c r="J18" s="457"/>
      <c r="N18" s="84" t="str">
        <f>母公司汇总抵销!N18</f>
        <v>D45</v>
      </c>
      <c r="O18" s="28" t="str">
        <f>母公司汇总抵销!O18</f>
        <v>应收分保准备金</v>
      </c>
    </row>
    <row r="19" spans="1:15" s="23" customFormat="1">
      <c r="A19" s="1159">
        <v>3</v>
      </c>
      <c r="B19" s="1168"/>
      <c r="C19" s="1169"/>
      <c r="D19" s="17"/>
      <c r="E19" s="26" t="str">
        <f t="shared" ref="E19:E24" si="4">IF(D19=0,"",VLOOKUP(D19,$N:$O,2,0))</f>
        <v/>
      </c>
      <c r="F19" s="811"/>
      <c r="G19" s="27"/>
      <c r="H19" s="26" t="str">
        <f t="shared" ref="H19:H24" si="5">IF(G19=0,"",VLOOKUP(G19,$N:$O,2,0))</f>
        <v/>
      </c>
      <c r="I19" s="313"/>
      <c r="J19" s="142"/>
      <c r="N19" s="84" t="str">
        <f>母公司汇总抵销!N19</f>
        <v>D9</v>
      </c>
      <c r="O19" s="28" t="str">
        <f>母公司汇总抵销!O19</f>
        <v>其他应收款</v>
      </c>
    </row>
    <row r="20" spans="1:15" s="23" customFormat="1">
      <c r="A20" s="1160"/>
      <c r="B20" s="1168"/>
      <c r="C20" s="1169"/>
      <c r="D20" s="17"/>
      <c r="E20" s="26" t="str">
        <f t="shared" si="4"/>
        <v/>
      </c>
      <c r="F20" s="313"/>
      <c r="G20" s="864"/>
      <c r="H20" s="26" t="str">
        <f t="shared" si="5"/>
        <v/>
      </c>
      <c r="I20" s="811"/>
      <c r="J20" s="142"/>
      <c r="N20" s="84">
        <f>母公司汇总抵销!N20</f>
        <v>0</v>
      </c>
      <c r="O20" s="28" t="str">
        <f>母公司汇总抵销!O20</f>
        <v>应收利息</v>
      </c>
    </row>
    <row r="21" spans="1:15" s="23" customFormat="1">
      <c r="A21" s="1160"/>
      <c r="B21" s="1168"/>
      <c r="C21" s="1169"/>
      <c r="D21" s="17"/>
      <c r="E21" s="26" t="str">
        <f t="shared" si="4"/>
        <v/>
      </c>
      <c r="F21" s="313"/>
      <c r="G21" s="27"/>
      <c r="H21" s="26" t="str">
        <f t="shared" si="5"/>
        <v/>
      </c>
      <c r="I21" s="313"/>
      <c r="J21" s="142"/>
      <c r="N21" s="84">
        <f>母公司汇总抵销!N21</f>
        <v>0</v>
      </c>
      <c r="O21" s="28" t="str">
        <f>母公司汇总抵销!O21</f>
        <v>应收股利</v>
      </c>
    </row>
    <row r="22" spans="1:15" s="23" customFormat="1">
      <c r="A22" s="1160"/>
      <c r="B22" s="1168"/>
      <c r="C22" s="1169"/>
      <c r="D22" s="17"/>
      <c r="E22" s="26" t="str">
        <f t="shared" si="4"/>
        <v/>
      </c>
      <c r="F22" s="313"/>
      <c r="G22" s="25"/>
      <c r="H22" s="26" t="str">
        <f t="shared" si="5"/>
        <v/>
      </c>
      <c r="I22" s="313"/>
      <c r="J22" s="146"/>
      <c r="N22" s="84" t="str">
        <f>母公司汇总抵销!N22</f>
        <v>D46</v>
      </c>
      <c r="O22" s="28" t="str">
        <f>母公司汇总抵销!O22</f>
        <v>买入返售金融资产</v>
      </c>
    </row>
    <row r="23" spans="1:15" s="23" customFormat="1">
      <c r="A23" s="1160"/>
      <c r="B23" s="1168"/>
      <c r="C23" s="1169"/>
      <c r="D23" s="17"/>
      <c r="E23" s="26" t="str">
        <f t="shared" si="4"/>
        <v/>
      </c>
      <c r="F23" s="313"/>
      <c r="G23" s="27"/>
      <c r="H23" s="26" t="str">
        <f t="shared" si="5"/>
        <v/>
      </c>
      <c r="I23" s="313"/>
      <c r="J23" s="142"/>
      <c r="N23" s="84" t="str">
        <f>母公司汇总抵销!N23</f>
        <v>D10</v>
      </c>
      <c r="O23" s="28" t="str">
        <f>母公司汇总抵销!O23</f>
        <v>存货</v>
      </c>
    </row>
    <row r="24" spans="1:15" s="23" customFormat="1">
      <c r="A24" s="1161"/>
      <c r="B24" s="1168"/>
      <c r="C24" s="1169"/>
      <c r="D24" s="17"/>
      <c r="E24" s="26" t="str">
        <f t="shared" si="4"/>
        <v/>
      </c>
      <c r="F24" s="313"/>
      <c r="G24" s="27"/>
      <c r="H24" s="26" t="str">
        <f t="shared" si="5"/>
        <v/>
      </c>
      <c r="I24" s="313"/>
      <c r="J24" s="142"/>
      <c r="N24" s="84" t="str">
        <f>母公司汇总抵销!N24</f>
        <v>D11</v>
      </c>
      <c r="O24" s="28" t="str">
        <f>母公司汇总抵销!O24</f>
        <v>合同资产</v>
      </c>
    </row>
    <row r="25" spans="1:15" s="23" customFormat="1">
      <c r="A25" s="453"/>
      <c r="B25" s="453"/>
      <c r="C25" s="454"/>
      <c r="D25" s="455"/>
      <c r="E25" s="456"/>
      <c r="F25" s="456"/>
      <c r="G25" s="455"/>
      <c r="H25" s="456"/>
      <c r="I25" s="456"/>
      <c r="J25" s="457" t="str">
        <f>IF(ABS((SUMIF(E19:E24,"?*",J19:J24)-SUMIF(H19:H24,"?*",J19:J24)))&lt;0.005,"","借贷不等")</f>
        <v/>
      </c>
      <c r="N25" s="84" t="str">
        <f>母公司汇总抵销!N25</f>
        <v>D12</v>
      </c>
      <c r="O25" s="28" t="str">
        <f>母公司汇总抵销!O25</f>
        <v>持有待售资产</v>
      </c>
    </row>
    <row r="26" spans="1:15" s="23" customFormat="1">
      <c r="A26" s="1159">
        <v>4</v>
      </c>
      <c r="B26" s="1168"/>
      <c r="C26" s="1169"/>
      <c r="D26" s="17"/>
      <c r="E26" s="26" t="str">
        <f t="shared" ref="E26:E31" si="6">IF(D26=0,"",VLOOKUP(D26,$N:$O,2,0))</f>
        <v/>
      </c>
      <c r="F26" s="811"/>
      <c r="G26" s="27"/>
      <c r="H26" s="26" t="str">
        <f t="shared" ref="H26:H31" si="7">IF(G26=0,"",VLOOKUP(G26,$N:$O,2,0))</f>
        <v/>
      </c>
      <c r="I26" s="313"/>
      <c r="J26" s="142"/>
      <c r="N26" s="84" t="str">
        <f>母公司汇总抵销!N26</f>
        <v>D13</v>
      </c>
      <c r="O26" s="28" t="str">
        <f>母公司汇总抵销!O26</f>
        <v>一年内到期的非流动资产</v>
      </c>
    </row>
    <row r="27" spans="1:15" s="23" customFormat="1">
      <c r="A27" s="1160"/>
      <c r="B27" s="1168"/>
      <c r="C27" s="1169"/>
      <c r="D27" s="17"/>
      <c r="E27" s="26" t="str">
        <f t="shared" si="6"/>
        <v/>
      </c>
      <c r="F27" s="313"/>
      <c r="G27" s="864"/>
      <c r="H27" s="26" t="str">
        <f t="shared" si="7"/>
        <v/>
      </c>
      <c r="I27" s="811"/>
      <c r="J27" s="142"/>
      <c r="N27" s="84" t="str">
        <f>母公司汇总抵销!N27</f>
        <v>D14</v>
      </c>
      <c r="O27" s="28" t="str">
        <f>母公司汇总抵销!O27</f>
        <v>其他流动资产</v>
      </c>
    </row>
    <row r="28" spans="1:15" s="23" customFormat="1">
      <c r="A28" s="1160"/>
      <c r="B28" s="1168"/>
      <c r="C28" s="1169"/>
      <c r="D28" s="17"/>
      <c r="E28" s="26" t="str">
        <f t="shared" si="6"/>
        <v/>
      </c>
      <c r="F28" s="313"/>
      <c r="G28" s="27"/>
      <c r="H28" s="26" t="str">
        <f t="shared" si="7"/>
        <v/>
      </c>
      <c r="I28" s="313"/>
      <c r="J28" s="142"/>
      <c r="N28" s="84" t="str">
        <f>母公司汇总抵销!N28</f>
        <v>D15</v>
      </c>
      <c r="O28" s="28" t="str">
        <f>母公司汇总抵销!O28</f>
        <v>0</v>
      </c>
    </row>
    <row r="29" spans="1:15" s="23" customFormat="1">
      <c r="A29" s="1160"/>
      <c r="B29" s="1168"/>
      <c r="C29" s="1169"/>
      <c r="D29" s="17"/>
      <c r="E29" s="26" t="str">
        <f t="shared" si="6"/>
        <v/>
      </c>
      <c r="F29" s="313"/>
      <c r="G29" s="27"/>
      <c r="H29" s="26" t="str">
        <f t="shared" si="7"/>
        <v/>
      </c>
      <c r="I29" s="313"/>
      <c r="J29" s="142"/>
      <c r="N29" s="84" t="str">
        <f>母公司汇总抵销!N29</f>
        <v>D16</v>
      </c>
      <c r="O29" s="28" t="str">
        <f>母公司汇总抵销!O29</f>
        <v>0</v>
      </c>
    </row>
    <row r="30" spans="1:15" s="23" customFormat="1">
      <c r="A30" s="1160"/>
      <c r="B30" s="1168"/>
      <c r="C30" s="1169"/>
      <c r="D30" s="17"/>
      <c r="E30" s="26" t="str">
        <f t="shared" si="6"/>
        <v/>
      </c>
      <c r="F30" s="313"/>
      <c r="G30" s="27"/>
      <c r="H30" s="26" t="str">
        <f t="shared" si="7"/>
        <v/>
      </c>
      <c r="I30" s="313"/>
      <c r="J30" s="142"/>
      <c r="N30" s="84">
        <f>母公司汇总抵销!N30</f>
        <v>0</v>
      </c>
      <c r="O30" s="859" t="str">
        <f>母公司汇总抵销!O30</f>
        <v>流动资产合计</v>
      </c>
    </row>
    <row r="31" spans="1:15" s="23" customFormat="1">
      <c r="A31" s="1161"/>
      <c r="B31" s="1168"/>
      <c r="C31" s="1169"/>
      <c r="D31" s="17"/>
      <c r="E31" s="26" t="str">
        <f t="shared" si="6"/>
        <v/>
      </c>
      <c r="F31" s="313"/>
      <c r="G31" s="27"/>
      <c r="H31" s="26" t="str">
        <f t="shared" si="7"/>
        <v/>
      </c>
      <c r="I31" s="313"/>
      <c r="J31" s="142"/>
      <c r="N31" s="84">
        <f>母公司汇总抵销!N31</f>
        <v>0</v>
      </c>
      <c r="O31" s="859" t="str">
        <f>母公司汇总抵销!O31</f>
        <v>非流动资产:</v>
      </c>
    </row>
    <row r="32" spans="1:15" s="23" customFormat="1">
      <c r="A32" s="453"/>
      <c r="B32" s="453"/>
      <c r="C32" s="454"/>
      <c r="D32" s="455"/>
      <c r="E32" s="456"/>
      <c r="F32" s="456"/>
      <c r="G32" s="455"/>
      <c r="H32" s="456"/>
      <c r="I32" s="456"/>
      <c r="J32" s="457" t="str">
        <f>IF(ABS((SUMIF(E26:E31,"?*",J26:J31)-SUMIF(H26:H31,"?*",J26:J31)))&lt;0.005,"","借贷不等")</f>
        <v/>
      </c>
      <c r="N32" s="84" t="str">
        <f>母公司汇总抵销!N32</f>
        <v>D47</v>
      </c>
      <c r="O32" s="28" t="str">
        <f>母公司汇总抵销!O32</f>
        <v>发放贷款及垫款</v>
      </c>
    </row>
    <row r="33" spans="1:15" s="23" customFormat="1">
      <c r="A33" s="1159">
        <v>5</v>
      </c>
      <c r="B33" s="1168"/>
      <c r="C33" s="1169"/>
      <c r="D33" s="17"/>
      <c r="E33" s="26" t="str">
        <f t="shared" ref="E33:E38" si="8">IF(D33=0,"",VLOOKUP(D33,$N:$O,2,0))</f>
        <v/>
      </c>
      <c r="F33" s="313"/>
      <c r="G33" s="27"/>
      <c r="H33" s="26" t="str">
        <f t="shared" ref="H33:H38" si="9">IF(G33=0,"",VLOOKUP(G33,$N:$O,2,0))</f>
        <v/>
      </c>
      <c r="I33" s="313"/>
      <c r="J33" s="142"/>
      <c r="N33" s="84" t="str">
        <f>母公司汇总抵销!N33</f>
        <v>D17</v>
      </c>
      <c r="O33" s="28" t="str">
        <f>母公司汇总抵销!O33</f>
        <v>债权投资</v>
      </c>
    </row>
    <row r="34" spans="1:15" s="23" customFormat="1">
      <c r="A34" s="1160"/>
      <c r="B34" s="1168"/>
      <c r="C34" s="1169"/>
      <c r="D34" s="17"/>
      <c r="E34" s="26" t="str">
        <f t="shared" si="8"/>
        <v/>
      </c>
      <c r="F34" s="313"/>
      <c r="G34" s="27"/>
      <c r="H34" s="26" t="str">
        <f t="shared" si="9"/>
        <v/>
      </c>
      <c r="I34" s="313"/>
      <c r="J34" s="142"/>
      <c r="N34" s="84" t="str">
        <f>母公司汇总抵销!N34</f>
        <v>D18</v>
      </c>
      <c r="O34" s="28" t="str">
        <f>母公司汇总抵销!O34</f>
        <v>可供出售金融资产</v>
      </c>
    </row>
    <row r="35" spans="1:15" s="23" customFormat="1">
      <c r="A35" s="1160"/>
      <c r="B35" s="1168"/>
      <c r="C35" s="1169"/>
      <c r="D35" s="17"/>
      <c r="E35" s="26" t="str">
        <f t="shared" si="8"/>
        <v/>
      </c>
      <c r="F35" s="313"/>
      <c r="G35" s="27"/>
      <c r="H35" s="26" t="str">
        <f t="shared" si="9"/>
        <v/>
      </c>
      <c r="I35" s="313"/>
      <c r="J35" s="142"/>
      <c r="N35" s="84" t="str">
        <f>母公司汇总抵销!N35</f>
        <v>D19</v>
      </c>
      <c r="O35" s="28" t="str">
        <f>母公司汇总抵销!O35</f>
        <v>其他债权投资</v>
      </c>
    </row>
    <row r="36" spans="1:15" s="23" customFormat="1">
      <c r="A36" s="1160"/>
      <c r="B36" s="1168"/>
      <c r="C36" s="1169"/>
      <c r="D36" s="17"/>
      <c r="E36" s="26" t="str">
        <f t="shared" si="8"/>
        <v/>
      </c>
      <c r="F36" s="313"/>
      <c r="G36" s="27"/>
      <c r="H36" s="26" t="str">
        <f t="shared" si="9"/>
        <v/>
      </c>
      <c r="I36" s="313"/>
      <c r="J36" s="142"/>
      <c r="N36" s="84" t="str">
        <f>母公司汇总抵销!N36</f>
        <v>D20</v>
      </c>
      <c r="O36" s="28" t="str">
        <f>母公司汇总抵销!O36</f>
        <v>持有至到期投资</v>
      </c>
    </row>
    <row r="37" spans="1:15" s="23" customFormat="1">
      <c r="A37" s="1160"/>
      <c r="B37" s="1168"/>
      <c r="C37" s="1169"/>
      <c r="D37" s="17"/>
      <c r="E37" s="26" t="str">
        <f t="shared" si="8"/>
        <v/>
      </c>
      <c r="F37" s="313"/>
      <c r="G37" s="27"/>
      <c r="H37" s="26" t="str">
        <f t="shared" si="9"/>
        <v/>
      </c>
      <c r="I37" s="313"/>
      <c r="J37" s="142"/>
      <c r="N37" s="84" t="str">
        <f>母公司汇总抵销!N37</f>
        <v>D21</v>
      </c>
      <c r="O37" s="28" t="str">
        <f>母公司汇总抵销!O37</f>
        <v>长期应收款</v>
      </c>
    </row>
    <row r="38" spans="1:15" s="23" customFormat="1">
      <c r="A38" s="1161"/>
      <c r="B38" s="1168"/>
      <c r="C38" s="1169"/>
      <c r="D38" s="17"/>
      <c r="E38" s="26" t="str">
        <f t="shared" si="8"/>
        <v/>
      </c>
      <c r="F38" s="313"/>
      <c r="G38" s="27"/>
      <c r="H38" s="26" t="str">
        <f t="shared" si="9"/>
        <v/>
      </c>
      <c r="I38" s="313"/>
      <c r="J38" s="142"/>
      <c r="N38" s="84" t="str">
        <f>母公司汇总抵销!N38</f>
        <v>D22</v>
      </c>
      <c r="O38" s="28" t="str">
        <f>母公司汇总抵销!O38</f>
        <v>设定受益计划净资产</v>
      </c>
    </row>
    <row r="39" spans="1:15" s="23" customFormat="1">
      <c r="A39" s="453"/>
      <c r="B39" s="453"/>
      <c r="C39" s="454"/>
      <c r="D39" s="455"/>
      <c r="E39" s="456"/>
      <c r="F39" s="456"/>
      <c r="G39" s="455"/>
      <c r="H39" s="456"/>
      <c r="I39" s="456"/>
      <c r="J39" s="457" t="str">
        <f>IF(ABS((SUMIF(E33:E38,"?*",J33:J38)-SUMIF(H33:H38,"?*",J33:J38)))&lt;0.005,"","借贷不等")</f>
        <v/>
      </c>
      <c r="N39" s="84" t="str">
        <f>母公司汇总抵销!N39</f>
        <v>D23</v>
      </c>
      <c r="O39" s="28" t="str">
        <f>母公司汇总抵销!O39</f>
        <v>长期股权投资</v>
      </c>
    </row>
    <row r="40" spans="1:15" s="23" customFormat="1">
      <c r="A40" s="1159">
        <v>6</v>
      </c>
      <c r="B40" s="1168"/>
      <c r="C40" s="1169"/>
      <c r="D40" s="17"/>
      <c r="E40" s="26" t="str">
        <f t="shared" ref="E40:E45" si="10">IF(D40=0,"",VLOOKUP(D40,$N:$O,2,0))</f>
        <v/>
      </c>
      <c r="F40" s="313"/>
      <c r="G40" s="27"/>
      <c r="H40" s="26" t="str">
        <f t="shared" ref="H40:H45" si="11">IF(G40=0,"",VLOOKUP(G40,$N:$O,2,0))</f>
        <v/>
      </c>
      <c r="I40" s="313"/>
      <c r="J40" s="142"/>
      <c r="N40" s="84" t="str">
        <f>母公司汇总抵销!N40</f>
        <v>D24</v>
      </c>
      <c r="O40" s="28" t="str">
        <f>母公司汇总抵销!O40</f>
        <v>其他权益工具投资</v>
      </c>
    </row>
    <row r="41" spans="1:15" s="23" customFormat="1">
      <c r="A41" s="1160"/>
      <c r="B41" s="1168"/>
      <c r="C41" s="1169"/>
      <c r="D41" s="17"/>
      <c r="E41" s="26" t="str">
        <f t="shared" si="10"/>
        <v/>
      </c>
      <c r="F41" s="313"/>
      <c r="G41" s="27"/>
      <c r="H41" s="26" t="str">
        <f t="shared" si="11"/>
        <v/>
      </c>
      <c r="I41" s="313"/>
      <c r="J41" s="142"/>
      <c r="N41" s="84" t="str">
        <f>母公司汇总抵销!N41</f>
        <v>D25</v>
      </c>
      <c r="O41" s="28" t="str">
        <f>母公司汇总抵销!O41</f>
        <v>其他非流动金融资产</v>
      </c>
    </row>
    <row r="42" spans="1:15" s="23" customFormat="1">
      <c r="A42" s="1160"/>
      <c r="B42" s="1168"/>
      <c r="C42" s="1169"/>
      <c r="D42" s="17"/>
      <c r="E42" s="26" t="str">
        <f t="shared" si="10"/>
        <v/>
      </c>
      <c r="F42" s="313"/>
      <c r="G42" s="27"/>
      <c r="H42" s="26" t="str">
        <f t="shared" si="11"/>
        <v/>
      </c>
      <c r="I42" s="313"/>
      <c r="J42" s="142"/>
      <c r="N42" s="84" t="str">
        <f>母公司汇总抵销!N42</f>
        <v>D26</v>
      </c>
      <c r="O42" s="28" t="str">
        <f>母公司汇总抵销!O42</f>
        <v>投资性房地产</v>
      </c>
    </row>
    <row r="43" spans="1:15" s="23" customFormat="1">
      <c r="A43" s="1160"/>
      <c r="B43" s="1168"/>
      <c r="C43" s="1169"/>
      <c r="D43" s="17"/>
      <c r="E43" s="26" t="str">
        <f t="shared" si="10"/>
        <v/>
      </c>
      <c r="F43" s="313"/>
      <c r="G43" s="27"/>
      <c r="H43" s="26" t="str">
        <f t="shared" si="11"/>
        <v/>
      </c>
      <c r="I43" s="313"/>
      <c r="J43" s="142"/>
      <c r="N43" s="84" t="str">
        <f>母公司汇总抵销!N43</f>
        <v>D27</v>
      </c>
      <c r="O43" s="28" t="str">
        <f>母公司汇总抵销!O43</f>
        <v>固定资产</v>
      </c>
    </row>
    <row r="44" spans="1:15" s="23" customFormat="1">
      <c r="A44" s="1160"/>
      <c r="B44" s="1168"/>
      <c r="C44" s="1169"/>
      <c r="D44" s="17"/>
      <c r="E44" s="26" t="str">
        <f t="shared" si="10"/>
        <v/>
      </c>
      <c r="F44" s="313"/>
      <c r="G44" s="27"/>
      <c r="H44" s="26" t="str">
        <f t="shared" si="11"/>
        <v/>
      </c>
      <c r="I44" s="313"/>
      <c r="J44" s="142"/>
      <c r="N44" s="84" t="str">
        <f>母公司汇总抵销!N44</f>
        <v>D28</v>
      </c>
      <c r="O44" s="28" t="str">
        <f>母公司汇总抵销!O44</f>
        <v>在建工程</v>
      </c>
    </row>
    <row r="45" spans="1:15" s="23" customFormat="1">
      <c r="A45" s="1161"/>
      <c r="B45" s="1168"/>
      <c r="C45" s="1169"/>
      <c r="D45" s="17"/>
      <c r="E45" s="26" t="str">
        <f t="shared" si="10"/>
        <v/>
      </c>
      <c r="F45" s="313"/>
      <c r="G45" s="27"/>
      <c r="H45" s="26" t="str">
        <f t="shared" si="11"/>
        <v/>
      </c>
      <c r="I45" s="313"/>
      <c r="J45" s="142"/>
      <c r="N45" s="84" t="str">
        <f>母公司汇总抵销!N45</f>
        <v>D29</v>
      </c>
      <c r="O45" s="28" t="str">
        <f>母公司汇总抵销!O45</f>
        <v>生产性生物资产</v>
      </c>
    </row>
    <row r="46" spans="1:15" s="23" customFormat="1">
      <c r="A46" s="453"/>
      <c r="B46" s="453"/>
      <c r="C46" s="454"/>
      <c r="D46" s="455"/>
      <c r="E46" s="456"/>
      <c r="F46" s="456"/>
      <c r="G46" s="455"/>
      <c r="H46" s="456"/>
      <c r="I46" s="456"/>
      <c r="J46" s="457" t="str">
        <f>IF(ABS((SUMIF(E40:E45,"?*",J40:J45)-SUMIF(H40:H45,"?*",J40:J45)))&lt;0.005,"","借贷不等")</f>
        <v/>
      </c>
      <c r="N46" s="84" t="str">
        <f>母公司汇总抵销!N46</f>
        <v>D30</v>
      </c>
      <c r="O46" s="28" t="str">
        <f>母公司汇总抵销!O46</f>
        <v>油气资产</v>
      </c>
    </row>
    <row r="47" spans="1:15" s="23" customFormat="1">
      <c r="A47" s="1159">
        <v>7</v>
      </c>
      <c r="B47" s="1168"/>
      <c r="C47" s="1169"/>
      <c r="D47" s="17"/>
      <c r="E47" s="26" t="str">
        <f t="shared" ref="E47:E52" si="12">IF(D47=0,"",VLOOKUP(D47,$N:$O,2,0))</f>
        <v/>
      </c>
      <c r="F47" s="313"/>
      <c r="G47" s="27"/>
      <c r="H47" s="26" t="str">
        <f t="shared" ref="H47:H52" si="13">IF(G47=0,"",VLOOKUP(G47,$N:$O,2,0))</f>
        <v/>
      </c>
      <c r="I47" s="313"/>
      <c r="J47" s="142"/>
      <c r="N47" s="84" t="str">
        <f>母公司汇总抵销!N47</f>
        <v>D31</v>
      </c>
      <c r="O47" s="28" t="str">
        <f>母公司汇总抵销!O47</f>
        <v>使用权资产</v>
      </c>
    </row>
    <row r="48" spans="1:15" s="23" customFormat="1">
      <c r="A48" s="1160"/>
      <c r="B48" s="1168"/>
      <c r="C48" s="1169"/>
      <c r="D48" s="17"/>
      <c r="E48" s="26" t="str">
        <f t="shared" si="12"/>
        <v/>
      </c>
      <c r="F48" s="313"/>
      <c r="G48" s="27"/>
      <c r="H48" s="26" t="str">
        <f t="shared" si="13"/>
        <v/>
      </c>
      <c r="I48" s="313"/>
      <c r="J48" s="142"/>
      <c r="N48" s="84" t="str">
        <f>母公司汇总抵销!N48</f>
        <v>D32</v>
      </c>
      <c r="O48" s="28" t="str">
        <f>母公司汇总抵销!O48</f>
        <v>无形资产</v>
      </c>
    </row>
    <row r="49" spans="1:15" s="23" customFormat="1">
      <c r="A49" s="1160"/>
      <c r="B49" s="1168"/>
      <c r="C49" s="1169"/>
      <c r="D49" s="17"/>
      <c r="E49" s="26" t="str">
        <f t="shared" si="12"/>
        <v/>
      </c>
      <c r="F49" s="313"/>
      <c r="G49" s="27"/>
      <c r="H49" s="26" t="str">
        <f t="shared" si="13"/>
        <v/>
      </c>
      <c r="I49" s="313"/>
      <c r="J49" s="142"/>
      <c r="N49" s="84" t="str">
        <f>母公司汇总抵销!N49</f>
        <v>D33</v>
      </c>
      <c r="O49" s="28" t="str">
        <f>母公司汇总抵销!O49</f>
        <v>开发支出</v>
      </c>
    </row>
    <row r="50" spans="1:15" s="23" customFormat="1">
      <c r="A50" s="1160"/>
      <c r="B50" s="1168"/>
      <c r="C50" s="1169"/>
      <c r="D50" s="17"/>
      <c r="E50" s="26" t="str">
        <f t="shared" si="12"/>
        <v/>
      </c>
      <c r="F50" s="313"/>
      <c r="G50" s="27"/>
      <c r="H50" s="26" t="str">
        <f t="shared" si="13"/>
        <v/>
      </c>
      <c r="I50" s="313"/>
      <c r="J50" s="142"/>
      <c r="N50" s="84" t="str">
        <f>母公司汇总抵销!N50</f>
        <v>D34</v>
      </c>
      <c r="O50" s="28" t="str">
        <f>母公司汇总抵销!O50</f>
        <v>商誉</v>
      </c>
    </row>
    <row r="51" spans="1:15" s="23" customFormat="1">
      <c r="A51" s="1160"/>
      <c r="B51" s="1168"/>
      <c r="C51" s="1169"/>
      <c r="D51" s="17"/>
      <c r="E51" s="26" t="str">
        <f t="shared" si="12"/>
        <v/>
      </c>
      <c r="F51" s="313"/>
      <c r="G51" s="27"/>
      <c r="H51" s="26" t="str">
        <f t="shared" si="13"/>
        <v/>
      </c>
      <c r="I51" s="313"/>
      <c r="J51" s="142"/>
      <c r="N51" s="84" t="str">
        <f>母公司汇总抵销!N51</f>
        <v>D35</v>
      </c>
      <c r="O51" s="28" t="str">
        <f>母公司汇总抵销!O51</f>
        <v>长期待摊费用</v>
      </c>
    </row>
    <row r="52" spans="1:15" s="23" customFormat="1">
      <c r="A52" s="1161"/>
      <c r="B52" s="1168"/>
      <c r="C52" s="1169"/>
      <c r="D52" s="17"/>
      <c r="E52" s="26" t="str">
        <f t="shared" si="12"/>
        <v/>
      </c>
      <c r="F52" s="313"/>
      <c r="G52" s="27"/>
      <c r="H52" s="26" t="str">
        <f t="shared" si="13"/>
        <v/>
      </c>
      <c r="I52" s="313"/>
      <c r="J52" s="142"/>
      <c r="N52" s="84" t="str">
        <f>母公司汇总抵销!N52</f>
        <v>D36</v>
      </c>
      <c r="O52" s="28" t="str">
        <f>母公司汇总抵销!O52</f>
        <v>递延所得税资产</v>
      </c>
    </row>
    <row r="53" spans="1:15" s="23" customFormat="1">
      <c r="A53" s="453"/>
      <c r="B53" s="453"/>
      <c r="C53" s="454"/>
      <c r="D53" s="455"/>
      <c r="E53" s="456"/>
      <c r="F53" s="456"/>
      <c r="G53" s="455"/>
      <c r="H53" s="456"/>
      <c r="I53" s="456"/>
      <c r="J53" s="457" t="str">
        <f>IF(ABS((SUMIF(E47:E52,"?*",J47:J52)-SUMIF(H47:H52,"?*",J47:J52)))&lt;0.005,"","借贷不等")</f>
        <v/>
      </c>
      <c r="N53" s="84" t="str">
        <f>母公司汇总抵销!N53</f>
        <v>D37</v>
      </c>
      <c r="O53" s="28" t="str">
        <f>母公司汇总抵销!O53</f>
        <v>其他非流动资产</v>
      </c>
    </row>
    <row r="54" spans="1:15" s="23" customFormat="1">
      <c r="A54" s="1159">
        <v>8</v>
      </c>
      <c r="B54" s="1168"/>
      <c r="C54" s="1169"/>
      <c r="D54" s="17"/>
      <c r="E54" s="26" t="str">
        <f t="shared" ref="E54:E59" si="14">IF(D54=0,"",VLOOKUP(D54,$N:$O,2,0))</f>
        <v/>
      </c>
      <c r="F54" s="313"/>
      <c r="G54" s="27"/>
      <c r="H54" s="26" t="str">
        <f t="shared" ref="H54:H59" si="15">IF(G54=0,"",VLOOKUP(G54,$N:$O,2,0))</f>
        <v/>
      </c>
      <c r="I54" s="313"/>
      <c r="J54" s="142"/>
      <c r="N54" s="84" t="str">
        <f>母公司汇总抵销!N54</f>
        <v>D38</v>
      </c>
      <c r="O54" s="28" t="str">
        <f>母公司汇总抵销!O54</f>
        <v>0</v>
      </c>
    </row>
    <row r="55" spans="1:15" s="23" customFormat="1">
      <c r="A55" s="1160"/>
      <c r="B55" s="1168"/>
      <c r="C55" s="1169"/>
      <c r="D55" s="17"/>
      <c r="E55" s="26" t="str">
        <f t="shared" si="14"/>
        <v/>
      </c>
      <c r="F55" s="313"/>
      <c r="G55" s="27"/>
      <c r="H55" s="26" t="str">
        <f t="shared" si="15"/>
        <v/>
      </c>
      <c r="I55" s="313"/>
      <c r="J55" s="142"/>
      <c r="N55" s="84" t="str">
        <f>母公司汇总抵销!N55</f>
        <v>D39</v>
      </c>
      <c r="O55" s="28" t="str">
        <f>母公司汇总抵销!O55</f>
        <v>0</v>
      </c>
    </row>
    <row r="56" spans="1:15" s="23" customFormat="1">
      <c r="A56" s="1160"/>
      <c r="B56" s="1168"/>
      <c r="C56" s="1169"/>
      <c r="D56" s="17"/>
      <c r="E56" s="26" t="str">
        <f t="shared" si="14"/>
        <v/>
      </c>
      <c r="F56" s="313"/>
      <c r="G56" s="27"/>
      <c r="H56" s="26" t="str">
        <f t="shared" si="15"/>
        <v/>
      </c>
      <c r="I56" s="313"/>
      <c r="J56" s="142"/>
      <c r="N56" s="84" t="str">
        <f>母公司汇总抵销!N56</f>
        <v>D40</v>
      </c>
      <c r="O56" s="28" t="str">
        <f>母公司汇总抵销!O56</f>
        <v>0</v>
      </c>
    </row>
    <row r="57" spans="1:15" s="23" customFormat="1">
      <c r="A57" s="1160"/>
      <c r="B57" s="1168"/>
      <c r="C57" s="1169"/>
      <c r="D57" s="17"/>
      <c r="E57" s="26" t="str">
        <f t="shared" si="14"/>
        <v/>
      </c>
      <c r="F57" s="313"/>
      <c r="G57" s="27"/>
      <c r="H57" s="26" t="str">
        <f t="shared" si="15"/>
        <v/>
      </c>
      <c r="I57" s="313"/>
      <c r="J57" s="142"/>
      <c r="N57" s="84">
        <f>母公司汇总抵销!N57</f>
        <v>0</v>
      </c>
      <c r="O57" s="859" t="str">
        <f>母公司汇总抵销!O57</f>
        <v>非流动资产合计</v>
      </c>
    </row>
    <row r="58" spans="1:15" s="23" customFormat="1">
      <c r="A58" s="1160"/>
      <c r="B58" s="1168"/>
      <c r="C58" s="1169"/>
      <c r="D58" s="17"/>
      <c r="E58" s="26" t="str">
        <f t="shared" si="14"/>
        <v/>
      </c>
      <c r="F58" s="313"/>
      <c r="G58" s="27"/>
      <c r="H58" s="26" t="str">
        <f t="shared" si="15"/>
        <v/>
      </c>
      <c r="I58" s="313"/>
      <c r="J58" s="142"/>
      <c r="N58" s="84">
        <f>母公司汇总抵销!N58</f>
        <v>0</v>
      </c>
      <c r="O58" s="859" t="str">
        <f>母公司汇总抵销!O58</f>
        <v>资 产 总 计</v>
      </c>
    </row>
    <row r="59" spans="1:15" s="23" customFormat="1">
      <c r="A59" s="1161"/>
      <c r="B59" s="1168"/>
      <c r="C59" s="1169"/>
      <c r="D59" s="17"/>
      <c r="E59" s="26" t="str">
        <f t="shared" si="14"/>
        <v/>
      </c>
      <c r="F59" s="313"/>
      <c r="G59" s="27"/>
      <c r="H59" s="26" t="str">
        <f t="shared" si="15"/>
        <v/>
      </c>
      <c r="I59" s="313"/>
      <c r="J59" s="142"/>
      <c r="N59" s="84">
        <f>母公司汇总抵销!N59</f>
        <v>0</v>
      </c>
      <c r="O59" s="859" t="str">
        <f>母公司汇总抵销!O59</f>
        <v/>
      </c>
    </row>
    <row r="60" spans="1:15" s="23" customFormat="1">
      <c r="A60" s="453"/>
      <c r="B60" s="453"/>
      <c r="C60" s="454"/>
      <c r="D60" s="455"/>
      <c r="E60" s="456"/>
      <c r="F60" s="456"/>
      <c r="G60" s="455"/>
      <c r="H60" s="456"/>
      <c r="I60" s="456"/>
      <c r="J60" s="457" t="str">
        <f>IF(ABS((SUMIF(E54:E59,"?*",J54:J59)-SUMIF(H54:H59,"?*",J54:J59)))&lt;0.005,"","借贷不等")</f>
        <v/>
      </c>
      <c r="N60" s="84">
        <f>母公司汇总抵销!N60</f>
        <v>0</v>
      </c>
      <c r="O60" s="859" t="str">
        <f>母公司汇总抵销!O60</f>
        <v/>
      </c>
    </row>
    <row r="61" spans="1:15" s="23" customFormat="1">
      <c r="A61" s="1159">
        <v>9</v>
      </c>
      <c r="B61" s="1168"/>
      <c r="C61" s="1169"/>
      <c r="D61" s="17"/>
      <c r="E61" s="26" t="str">
        <f t="shared" ref="E61:E66" si="16">IF(D61=0,"",VLOOKUP(D61,$N:$O,2,0))</f>
        <v/>
      </c>
      <c r="F61" s="313"/>
      <c r="G61" s="27"/>
      <c r="H61" s="26" t="str">
        <f t="shared" ref="H61:H66" si="17">IF(G61=0,"",VLOOKUP(G61,$N:$O,2,0))</f>
        <v/>
      </c>
      <c r="I61" s="313"/>
      <c r="J61" s="142"/>
      <c r="N61" s="84">
        <f>母公司汇总抵销!N61</f>
        <v>0</v>
      </c>
      <c r="O61" s="783" t="str">
        <f>母公司汇总抵销!O61</f>
        <v>流动负债：</v>
      </c>
    </row>
    <row r="62" spans="1:15" s="23" customFormat="1">
      <c r="A62" s="1160"/>
      <c r="B62" s="1168"/>
      <c r="C62" s="1169"/>
      <c r="D62" s="17"/>
      <c r="E62" s="26" t="str">
        <f t="shared" si="16"/>
        <v/>
      </c>
      <c r="F62" s="313"/>
      <c r="G62" s="27"/>
      <c r="H62" s="26" t="str">
        <f t="shared" si="17"/>
        <v/>
      </c>
      <c r="I62" s="313"/>
      <c r="J62" s="142"/>
      <c r="N62" s="84" t="str">
        <f>母公司汇总抵销!N62</f>
        <v>E1</v>
      </c>
      <c r="O62" s="28" t="str">
        <f>母公司汇总抵销!O62</f>
        <v>短期借款</v>
      </c>
    </row>
    <row r="63" spans="1:15" s="23" customFormat="1">
      <c r="A63" s="1160"/>
      <c r="B63" s="1168"/>
      <c r="C63" s="1169"/>
      <c r="D63" s="17"/>
      <c r="E63" s="26" t="str">
        <f t="shared" si="16"/>
        <v/>
      </c>
      <c r="F63" s="313"/>
      <c r="G63" s="27"/>
      <c r="H63" s="26" t="str">
        <f t="shared" si="17"/>
        <v/>
      </c>
      <c r="I63" s="313"/>
      <c r="J63" s="142"/>
      <c r="N63" s="84" t="str">
        <f>母公司汇总抵销!N63</f>
        <v>E24</v>
      </c>
      <c r="O63" s="28" t="str">
        <f>母公司汇总抵销!O63</f>
        <v>向中央银行借款</v>
      </c>
    </row>
    <row r="64" spans="1:15" s="23" customFormat="1">
      <c r="A64" s="1160"/>
      <c r="B64" s="1168"/>
      <c r="C64" s="1169"/>
      <c r="D64" s="17"/>
      <c r="E64" s="26" t="str">
        <f t="shared" si="16"/>
        <v/>
      </c>
      <c r="F64" s="313"/>
      <c r="G64" s="27"/>
      <c r="H64" s="26" t="str">
        <f t="shared" si="17"/>
        <v/>
      </c>
      <c r="I64" s="313"/>
      <c r="J64" s="142"/>
      <c r="N64" s="84" t="str">
        <f>母公司汇总抵销!N64</f>
        <v>E25</v>
      </c>
      <c r="O64" s="28" t="str">
        <f>母公司汇总抵销!O64</f>
        <v>吸收存款及同业存放</v>
      </c>
    </row>
    <row r="65" spans="1:15" s="23" customFormat="1">
      <c r="A65" s="1160"/>
      <c r="B65" s="1168"/>
      <c r="C65" s="1169"/>
      <c r="D65" s="17"/>
      <c r="E65" s="26" t="str">
        <f t="shared" si="16"/>
        <v/>
      </c>
      <c r="F65" s="313"/>
      <c r="G65" s="27"/>
      <c r="H65" s="26" t="str">
        <f t="shared" si="17"/>
        <v/>
      </c>
      <c r="I65" s="313"/>
      <c r="J65" s="142"/>
      <c r="N65" s="84" t="str">
        <f>母公司汇总抵销!N65</f>
        <v>E26</v>
      </c>
      <c r="O65" s="28" t="str">
        <f>母公司汇总抵销!O65</f>
        <v>拆入资金</v>
      </c>
    </row>
    <row r="66" spans="1:15" s="23" customFormat="1">
      <c r="A66" s="1161"/>
      <c r="B66" s="1168"/>
      <c r="C66" s="1169"/>
      <c r="D66" s="17"/>
      <c r="E66" s="26" t="str">
        <f t="shared" si="16"/>
        <v/>
      </c>
      <c r="F66" s="313"/>
      <c r="G66" s="27"/>
      <c r="H66" s="26" t="str">
        <f t="shared" si="17"/>
        <v/>
      </c>
      <c r="I66" s="313"/>
      <c r="J66" s="142"/>
      <c r="N66" s="84" t="str">
        <f>母公司汇总抵销!N66</f>
        <v>E2</v>
      </c>
      <c r="O66" s="28" t="str">
        <f>母公司汇总抵销!O66</f>
        <v>交易性金融负债</v>
      </c>
    </row>
    <row r="67" spans="1:15" s="23" customFormat="1">
      <c r="A67" s="453"/>
      <c r="B67" s="453"/>
      <c r="C67" s="454"/>
      <c r="D67" s="455"/>
      <c r="E67" s="456"/>
      <c r="F67" s="456"/>
      <c r="G67" s="455"/>
      <c r="H67" s="456"/>
      <c r="I67" s="456"/>
      <c r="J67" s="457" t="str">
        <f>IF(ABS((SUMIF(E61:E66,"?*",J61:J66)-SUMIF(H61:H66,"?*",J61:J66)))&lt;0.005,"","借贷不等")</f>
        <v/>
      </c>
      <c r="N67" s="84" t="str">
        <f>母公司汇总抵销!N67</f>
        <v>E3</v>
      </c>
      <c r="O67" s="28" t="str">
        <f>母公司汇总抵销!O67</f>
        <v>以公允价值计量且其变动计入当期损益的金融负债</v>
      </c>
    </row>
    <row r="68" spans="1:15" s="23" customFormat="1">
      <c r="A68" s="1159">
        <v>10</v>
      </c>
      <c r="B68" s="1168"/>
      <c r="C68" s="1169"/>
      <c r="D68" s="17"/>
      <c r="E68" s="26" t="str">
        <f t="shared" ref="E68:E73" si="18">IF(D68=0,"",VLOOKUP(D68,$N:$O,2,0))</f>
        <v/>
      </c>
      <c r="F68" s="313"/>
      <c r="G68" s="27"/>
      <c r="H68" s="26" t="str">
        <f t="shared" ref="H68:H73" si="19">IF(G68=0,"",VLOOKUP(G68,$N:$O,2,0))</f>
        <v/>
      </c>
      <c r="I68" s="313"/>
      <c r="J68" s="142"/>
      <c r="N68" s="84" t="str">
        <f>母公司汇总抵销!N68</f>
        <v>E4</v>
      </c>
      <c r="O68" s="28" t="str">
        <f>母公司汇总抵销!O68</f>
        <v>衍生金融负债</v>
      </c>
    </row>
    <row r="69" spans="1:15" s="23" customFormat="1">
      <c r="A69" s="1160"/>
      <c r="B69" s="1168"/>
      <c r="C69" s="1169"/>
      <c r="D69" s="17"/>
      <c r="E69" s="26" t="str">
        <f t="shared" si="18"/>
        <v/>
      </c>
      <c r="F69" s="313"/>
      <c r="G69" s="27"/>
      <c r="H69" s="26" t="str">
        <f t="shared" si="19"/>
        <v/>
      </c>
      <c r="I69" s="313"/>
      <c r="J69" s="142"/>
      <c r="N69" s="84" t="str">
        <f>母公司汇总抵销!N69</f>
        <v>E5</v>
      </c>
      <c r="O69" s="28" t="str">
        <f>母公司汇总抵销!O69</f>
        <v>应付票据</v>
      </c>
    </row>
    <row r="70" spans="1:15" s="23" customFormat="1">
      <c r="A70" s="1160"/>
      <c r="B70" s="1168"/>
      <c r="C70" s="1169"/>
      <c r="D70" s="17"/>
      <c r="E70" s="26" t="str">
        <f t="shared" si="18"/>
        <v/>
      </c>
      <c r="F70" s="313"/>
      <c r="G70" s="27"/>
      <c r="H70" s="26" t="str">
        <f t="shared" si="19"/>
        <v/>
      </c>
      <c r="I70" s="313"/>
      <c r="J70" s="142"/>
      <c r="N70" s="84" t="str">
        <f>母公司汇总抵销!N70</f>
        <v>E6</v>
      </c>
      <c r="O70" s="28" t="str">
        <f>母公司汇总抵销!O70</f>
        <v>应付账款</v>
      </c>
    </row>
    <row r="71" spans="1:15" s="23" customFormat="1">
      <c r="A71" s="1160"/>
      <c r="B71" s="1168"/>
      <c r="C71" s="1169"/>
      <c r="D71" s="17"/>
      <c r="E71" s="26" t="str">
        <f t="shared" si="18"/>
        <v/>
      </c>
      <c r="F71" s="313"/>
      <c r="G71" s="27"/>
      <c r="H71" s="26" t="str">
        <f t="shared" si="19"/>
        <v/>
      </c>
      <c r="I71" s="313"/>
      <c r="J71" s="142"/>
      <c r="N71" s="84" t="str">
        <f>母公司汇总抵销!N71</f>
        <v>E7</v>
      </c>
      <c r="O71" s="28" t="str">
        <f>母公司汇总抵销!O71</f>
        <v>预收款项</v>
      </c>
    </row>
    <row r="72" spans="1:15" s="23" customFormat="1">
      <c r="A72" s="1160"/>
      <c r="B72" s="1168"/>
      <c r="C72" s="1169"/>
      <c r="D72" s="17"/>
      <c r="E72" s="26" t="str">
        <f t="shared" si="18"/>
        <v/>
      </c>
      <c r="F72" s="313"/>
      <c r="G72" s="27"/>
      <c r="H72" s="26" t="str">
        <f t="shared" si="19"/>
        <v/>
      </c>
      <c r="I72" s="313"/>
      <c r="J72" s="142"/>
      <c r="N72" s="84" t="str">
        <f>母公司汇总抵销!N72</f>
        <v>E27</v>
      </c>
      <c r="O72" s="28" t="str">
        <f>母公司汇总抵销!O72</f>
        <v>卖出回购金融资产款</v>
      </c>
    </row>
    <row r="73" spans="1:15" s="23" customFormat="1">
      <c r="A73" s="1161"/>
      <c r="B73" s="1168"/>
      <c r="C73" s="1169"/>
      <c r="D73" s="17"/>
      <c r="E73" s="26" t="str">
        <f t="shared" si="18"/>
        <v/>
      </c>
      <c r="F73" s="313"/>
      <c r="G73" s="27"/>
      <c r="H73" s="26" t="str">
        <f t="shared" si="19"/>
        <v/>
      </c>
      <c r="I73" s="313"/>
      <c r="J73" s="142"/>
      <c r="N73" s="84" t="str">
        <f>母公司汇总抵销!N73</f>
        <v>E28</v>
      </c>
      <c r="O73" s="28" t="str">
        <f>母公司汇总抵销!O73</f>
        <v>应付手续费及佣金</v>
      </c>
    </row>
    <row r="74" spans="1:15" s="23" customFormat="1">
      <c r="A74" s="453"/>
      <c r="B74" s="453"/>
      <c r="C74" s="454"/>
      <c r="D74" s="455"/>
      <c r="E74" s="456"/>
      <c r="F74" s="456"/>
      <c r="G74" s="455"/>
      <c r="H74" s="456"/>
      <c r="I74" s="456"/>
      <c r="J74" s="457" t="str">
        <f>IF(ABS((SUMIF(E68:E73,"?*",J68:J73)-SUMIF(H68:H73,"?*",J68:J73)))&lt;0.005,"","借贷不等")</f>
        <v/>
      </c>
      <c r="N74" s="84" t="str">
        <f>母公司汇总抵销!N74</f>
        <v>E8</v>
      </c>
      <c r="O74" s="28" t="str">
        <f>母公司汇总抵销!O74</f>
        <v>合同负债</v>
      </c>
    </row>
    <row r="75" spans="1:15" s="23" customFormat="1">
      <c r="A75" s="1159">
        <v>11</v>
      </c>
      <c r="B75" s="1168"/>
      <c r="C75" s="1169"/>
      <c r="D75" s="17"/>
      <c r="E75" s="26" t="str">
        <f t="shared" ref="E75:E80" si="20">IF(D75=0,"",VLOOKUP(D75,$N:$O,2,0))</f>
        <v/>
      </c>
      <c r="F75" s="313"/>
      <c r="G75" s="27"/>
      <c r="H75" s="26" t="str">
        <f t="shared" ref="H75:H80" si="21">IF(G75=0,"",VLOOKUP(G75,$N:$O,2,0))</f>
        <v/>
      </c>
      <c r="I75" s="313"/>
      <c r="J75" s="142"/>
      <c r="N75" s="84" t="str">
        <f>母公司汇总抵销!N75</f>
        <v>E9</v>
      </c>
      <c r="O75" s="28" t="str">
        <f>母公司汇总抵销!O75</f>
        <v>应付职工薪酬</v>
      </c>
    </row>
    <row r="76" spans="1:15" s="23" customFormat="1">
      <c r="A76" s="1160"/>
      <c r="B76" s="1168"/>
      <c r="C76" s="1169"/>
      <c r="D76" s="17"/>
      <c r="E76" s="26" t="str">
        <f t="shared" si="20"/>
        <v/>
      </c>
      <c r="F76" s="313"/>
      <c r="G76" s="27"/>
      <c r="H76" s="26" t="str">
        <f t="shared" si="21"/>
        <v/>
      </c>
      <c r="I76" s="313"/>
      <c r="J76" s="142"/>
      <c r="N76" s="84" t="str">
        <f>母公司汇总抵销!N76</f>
        <v>E10</v>
      </c>
      <c r="O76" s="28" t="str">
        <f>母公司汇总抵销!O76</f>
        <v>应交税费</v>
      </c>
    </row>
    <row r="77" spans="1:15" s="23" customFormat="1">
      <c r="A77" s="1160"/>
      <c r="B77" s="1168"/>
      <c r="C77" s="1169"/>
      <c r="D77" s="17"/>
      <c r="E77" s="26" t="str">
        <f t="shared" si="20"/>
        <v/>
      </c>
      <c r="F77" s="313"/>
      <c r="G77" s="27"/>
      <c r="H77" s="26" t="str">
        <f t="shared" si="21"/>
        <v/>
      </c>
      <c r="I77" s="313"/>
      <c r="J77" s="142"/>
      <c r="N77" s="84" t="str">
        <f>母公司汇总抵销!N77</f>
        <v>E11</v>
      </c>
      <c r="O77" s="28" t="str">
        <f>母公司汇总抵销!O77</f>
        <v>其他应付款</v>
      </c>
    </row>
    <row r="78" spans="1:15" s="23" customFormat="1">
      <c r="A78" s="1160"/>
      <c r="B78" s="1168"/>
      <c r="C78" s="1169"/>
      <c r="D78" s="17"/>
      <c r="E78" s="26" t="str">
        <f t="shared" si="20"/>
        <v/>
      </c>
      <c r="F78" s="313"/>
      <c r="G78" s="27"/>
      <c r="H78" s="26" t="str">
        <f t="shared" si="21"/>
        <v/>
      </c>
      <c r="I78" s="313"/>
      <c r="J78" s="142"/>
      <c r="N78" s="84">
        <f>母公司汇总抵销!N78</f>
        <v>0</v>
      </c>
      <c r="O78" s="28" t="str">
        <f>母公司汇总抵销!O78</f>
        <v>应付利息</v>
      </c>
    </row>
    <row r="79" spans="1:15" s="23" customFormat="1">
      <c r="A79" s="1160"/>
      <c r="B79" s="1168"/>
      <c r="C79" s="1169"/>
      <c r="D79" s="17"/>
      <c r="E79" s="26" t="str">
        <f t="shared" si="20"/>
        <v/>
      </c>
      <c r="F79" s="313"/>
      <c r="G79" s="27"/>
      <c r="H79" s="26" t="str">
        <f t="shared" si="21"/>
        <v/>
      </c>
      <c r="I79" s="313"/>
      <c r="J79" s="142"/>
      <c r="N79" s="84">
        <f>母公司汇总抵销!N79</f>
        <v>0</v>
      </c>
      <c r="O79" s="28" t="str">
        <f>母公司汇总抵销!O79</f>
        <v>应付股利</v>
      </c>
    </row>
    <row r="80" spans="1:15" s="23" customFormat="1">
      <c r="A80" s="1161"/>
      <c r="B80" s="1168"/>
      <c r="C80" s="1169"/>
      <c r="D80" s="17"/>
      <c r="E80" s="26" t="str">
        <f t="shared" si="20"/>
        <v/>
      </c>
      <c r="F80" s="313"/>
      <c r="G80" s="27"/>
      <c r="H80" s="26" t="str">
        <f t="shared" si="21"/>
        <v/>
      </c>
      <c r="I80" s="313"/>
      <c r="J80" s="142"/>
      <c r="N80" s="84" t="str">
        <f>母公司汇总抵销!N80</f>
        <v>E29</v>
      </c>
      <c r="O80" s="28" t="str">
        <f>母公司汇总抵销!O80</f>
        <v>应付分保账款</v>
      </c>
    </row>
    <row r="81" spans="1:15" s="23" customFormat="1">
      <c r="A81" s="453"/>
      <c r="B81" s="453"/>
      <c r="C81" s="454"/>
      <c r="D81" s="455"/>
      <c r="E81" s="456"/>
      <c r="F81" s="456"/>
      <c r="G81" s="455"/>
      <c r="H81" s="456"/>
      <c r="I81" s="456"/>
      <c r="J81" s="457" t="str">
        <f>IF(ABS((SUMIF(E75:E80,"?*",J75:J80)-SUMIF(H75:H80,"?*",J75:J80)))&lt;0.005,"","借贷不等")</f>
        <v/>
      </c>
      <c r="N81" s="84" t="str">
        <f>母公司汇总抵销!N81</f>
        <v>E30</v>
      </c>
      <c r="O81" s="28" t="str">
        <f>母公司汇总抵销!O81</f>
        <v>保险合同准备金</v>
      </c>
    </row>
    <row r="82" spans="1:15" s="23" customFormat="1">
      <c r="A82" s="1159">
        <v>12</v>
      </c>
      <c r="B82" s="1168"/>
      <c r="C82" s="1169"/>
      <c r="D82" s="17"/>
      <c r="E82" s="26" t="str">
        <f t="shared" ref="E82:E87" si="22">IF(D82=0,"",VLOOKUP(D82,$N:$O,2,0))</f>
        <v/>
      </c>
      <c r="F82" s="313"/>
      <c r="G82" s="27"/>
      <c r="H82" s="26" t="str">
        <f t="shared" ref="H82:H87" si="23">IF(G82=0,"",VLOOKUP(G82,$N:$O,2,0))</f>
        <v/>
      </c>
      <c r="I82" s="313"/>
      <c r="J82" s="142"/>
      <c r="N82" s="84" t="str">
        <f>母公司汇总抵销!N82</f>
        <v>E31</v>
      </c>
      <c r="O82" s="28" t="str">
        <f>母公司汇总抵销!O82</f>
        <v>代理买卖证券款</v>
      </c>
    </row>
    <row r="83" spans="1:15" s="23" customFormat="1">
      <c r="A83" s="1160"/>
      <c r="B83" s="1168"/>
      <c r="C83" s="1169"/>
      <c r="D83" s="17"/>
      <c r="E83" s="26" t="str">
        <f t="shared" si="22"/>
        <v/>
      </c>
      <c r="F83" s="313"/>
      <c r="G83" s="27"/>
      <c r="H83" s="26" t="str">
        <f t="shared" si="23"/>
        <v/>
      </c>
      <c r="I83" s="313"/>
      <c r="J83" s="142"/>
      <c r="N83" s="84" t="str">
        <f>母公司汇总抵销!N83</f>
        <v>E32</v>
      </c>
      <c r="O83" s="28" t="str">
        <f>母公司汇总抵销!O83</f>
        <v>代理承销证券款</v>
      </c>
    </row>
    <row r="84" spans="1:15" s="23" customFormat="1">
      <c r="A84" s="1160"/>
      <c r="B84" s="1168"/>
      <c r="C84" s="1169"/>
      <c r="D84" s="17"/>
      <c r="E84" s="26" t="str">
        <f t="shared" si="22"/>
        <v/>
      </c>
      <c r="F84" s="313"/>
      <c r="G84" s="27"/>
      <c r="H84" s="26" t="str">
        <f t="shared" si="23"/>
        <v/>
      </c>
      <c r="I84" s="313"/>
      <c r="J84" s="142"/>
      <c r="N84" s="84" t="str">
        <f>母公司汇总抵销!N84</f>
        <v>E12</v>
      </c>
      <c r="O84" s="28" t="str">
        <f>母公司汇总抵销!O84</f>
        <v>持有待售负债</v>
      </c>
    </row>
    <row r="85" spans="1:15" s="23" customFormat="1">
      <c r="A85" s="1160"/>
      <c r="B85" s="1168"/>
      <c r="C85" s="1169"/>
      <c r="D85" s="17"/>
      <c r="E85" s="26" t="str">
        <f t="shared" si="22"/>
        <v/>
      </c>
      <c r="F85" s="313"/>
      <c r="G85" s="27"/>
      <c r="H85" s="26" t="str">
        <f t="shared" si="23"/>
        <v/>
      </c>
      <c r="I85" s="313"/>
      <c r="J85" s="142"/>
      <c r="N85" s="84" t="str">
        <f>母公司汇总抵销!N85</f>
        <v>E13</v>
      </c>
      <c r="O85" s="28" t="str">
        <f>母公司汇总抵销!O85</f>
        <v>一年内到期的非流动负债</v>
      </c>
    </row>
    <row r="86" spans="1:15" s="23" customFormat="1">
      <c r="A86" s="1160"/>
      <c r="B86" s="1168"/>
      <c r="C86" s="1169"/>
      <c r="D86" s="17"/>
      <c r="E86" s="26" t="str">
        <f t="shared" si="22"/>
        <v/>
      </c>
      <c r="F86" s="313"/>
      <c r="G86" s="27"/>
      <c r="H86" s="26" t="str">
        <f t="shared" si="23"/>
        <v/>
      </c>
      <c r="I86" s="313"/>
      <c r="J86" s="142"/>
      <c r="N86" s="84" t="str">
        <f>母公司汇总抵销!N86</f>
        <v>E14</v>
      </c>
      <c r="O86" s="28" t="str">
        <f>母公司汇总抵销!O86</f>
        <v>其他流动负债</v>
      </c>
    </row>
    <row r="87" spans="1:15" s="23" customFormat="1">
      <c r="A87" s="1161"/>
      <c r="B87" s="1168"/>
      <c r="C87" s="1169"/>
      <c r="D87" s="17"/>
      <c r="E87" s="26" t="str">
        <f t="shared" si="22"/>
        <v/>
      </c>
      <c r="F87" s="313"/>
      <c r="G87" s="27"/>
      <c r="H87" s="26" t="str">
        <f t="shared" si="23"/>
        <v/>
      </c>
      <c r="I87" s="313"/>
      <c r="J87" s="142"/>
      <c r="N87" s="84">
        <f>母公司汇总抵销!N87</f>
        <v>0</v>
      </c>
      <c r="O87" s="859" t="str">
        <f>母公司汇总抵销!O87</f>
        <v>流动负债合计</v>
      </c>
    </row>
    <row r="88" spans="1:15" s="23" customFormat="1">
      <c r="A88" s="453"/>
      <c r="B88" s="453"/>
      <c r="C88" s="454"/>
      <c r="D88" s="455"/>
      <c r="E88" s="456"/>
      <c r="F88" s="456"/>
      <c r="G88" s="455"/>
      <c r="H88" s="456"/>
      <c r="I88" s="456"/>
      <c r="J88" s="457" t="str">
        <f>IF(ABS((SUMIF(E82:E87,"?*",J82:J87)-SUMIF(H82:H87,"?*",J82:J87)))&lt;0.005,"","借贷不等")</f>
        <v/>
      </c>
      <c r="N88" s="84">
        <f>母公司汇总抵销!N88</f>
        <v>0</v>
      </c>
      <c r="O88" s="783" t="str">
        <f>母公司汇总抵销!O88</f>
        <v>非流动负债:</v>
      </c>
    </row>
    <row r="89" spans="1:15" s="23" customFormat="1">
      <c r="A89" s="1159">
        <v>13</v>
      </c>
      <c r="B89" s="1168"/>
      <c r="C89" s="1169"/>
      <c r="D89" s="17"/>
      <c r="E89" s="26" t="str">
        <f t="shared" ref="E89:E94" si="24">IF(D89=0,"",VLOOKUP(D89,$N:$O,2,0))</f>
        <v/>
      </c>
      <c r="F89" s="313"/>
      <c r="G89" s="27"/>
      <c r="H89" s="26" t="str">
        <f t="shared" ref="H89:H94" si="25">IF(G89=0,"",VLOOKUP(G89,$N:$O,2,0))</f>
        <v/>
      </c>
      <c r="I89" s="313"/>
      <c r="J89" s="142"/>
      <c r="N89" s="84" t="str">
        <f>母公司汇总抵销!N89</f>
        <v>E15</v>
      </c>
      <c r="O89" s="28" t="str">
        <f>母公司汇总抵销!O89</f>
        <v>长期借款</v>
      </c>
    </row>
    <row r="90" spans="1:15" s="23" customFormat="1">
      <c r="A90" s="1160"/>
      <c r="B90" s="1168"/>
      <c r="C90" s="1169"/>
      <c r="D90" s="17"/>
      <c r="E90" s="26" t="str">
        <f t="shared" si="24"/>
        <v/>
      </c>
      <c r="F90" s="313"/>
      <c r="G90" s="27"/>
      <c r="H90" s="26" t="str">
        <f t="shared" si="25"/>
        <v/>
      </c>
      <c r="I90" s="313"/>
      <c r="J90" s="142"/>
      <c r="N90" s="84" t="str">
        <f>母公司汇总抵销!N90</f>
        <v>E16</v>
      </c>
      <c r="O90" s="28" t="str">
        <f>母公司汇总抵销!O90</f>
        <v>应付债券</v>
      </c>
    </row>
    <row r="91" spans="1:15" s="23" customFormat="1">
      <c r="A91" s="1160"/>
      <c r="B91" s="1168"/>
      <c r="C91" s="1169"/>
      <c r="D91" s="17"/>
      <c r="E91" s="26" t="str">
        <f t="shared" si="24"/>
        <v/>
      </c>
      <c r="F91" s="313"/>
      <c r="G91" s="27"/>
      <c r="H91" s="26" t="str">
        <f t="shared" si="25"/>
        <v/>
      </c>
      <c r="I91" s="313"/>
      <c r="J91" s="142"/>
      <c r="N91" s="84">
        <f>母公司汇总抵销!N91</f>
        <v>0</v>
      </c>
      <c r="O91" s="28" t="str">
        <f>母公司汇总抵销!O91</f>
        <v>优先股</v>
      </c>
    </row>
    <row r="92" spans="1:15" s="23" customFormat="1">
      <c r="A92" s="1160"/>
      <c r="B92" s="1168"/>
      <c r="C92" s="1169"/>
      <c r="D92" s="17"/>
      <c r="E92" s="26" t="str">
        <f t="shared" si="24"/>
        <v/>
      </c>
      <c r="F92" s="313"/>
      <c r="G92" s="27"/>
      <c r="H92" s="26" t="str">
        <f t="shared" si="25"/>
        <v/>
      </c>
      <c r="I92" s="313"/>
      <c r="J92" s="142"/>
      <c r="N92" s="84">
        <f>母公司汇总抵销!N92</f>
        <v>0</v>
      </c>
      <c r="O92" s="28" t="str">
        <f>母公司汇总抵销!O92</f>
        <v>永续债</v>
      </c>
    </row>
    <row r="93" spans="1:15" s="23" customFormat="1">
      <c r="A93" s="1160"/>
      <c r="B93" s="1168"/>
      <c r="C93" s="1169"/>
      <c r="D93" s="17"/>
      <c r="E93" s="26" t="str">
        <f t="shared" si="24"/>
        <v/>
      </c>
      <c r="F93" s="313"/>
      <c r="G93" s="27"/>
      <c r="H93" s="26" t="str">
        <f t="shared" si="25"/>
        <v/>
      </c>
      <c r="I93" s="313"/>
      <c r="J93" s="142"/>
      <c r="N93" s="84" t="str">
        <f>母公司汇总抵销!N93</f>
        <v>E17</v>
      </c>
      <c r="O93" s="28" t="str">
        <f>母公司汇总抵销!O93</f>
        <v>租赁负债</v>
      </c>
    </row>
    <row r="94" spans="1:15" s="23" customFormat="1">
      <c r="A94" s="1161"/>
      <c r="B94" s="1168"/>
      <c r="C94" s="1169"/>
      <c r="D94" s="17"/>
      <c r="E94" s="26" t="str">
        <f t="shared" si="24"/>
        <v/>
      </c>
      <c r="F94" s="313"/>
      <c r="G94" s="27"/>
      <c r="H94" s="26" t="str">
        <f t="shared" si="25"/>
        <v/>
      </c>
      <c r="I94" s="313"/>
      <c r="J94" s="142"/>
      <c r="N94" s="84" t="str">
        <f>母公司汇总抵销!N94</f>
        <v>E18</v>
      </c>
      <c r="O94" s="28" t="str">
        <f>母公司汇总抵销!O94</f>
        <v>长期应付款</v>
      </c>
    </row>
    <row r="95" spans="1:15" s="23" customFormat="1">
      <c r="A95" s="453"/>
      <c r="B95" s="453"/>
      <c r="C95" s="454"/>
      <c r="D95" s="455"/>
      <c r="E95" s="456"/>
      <c r="F95" s="456"/>
      <c r="G95" s="455"/>
      <c r="H95" s="456"/>
      <c r="I95" s="456"/>
      <c r="J95" s="457" t="str">
        <f>IF(ABS((SUMIF(E89:E94,"?*",J89:J94)-SUMIF(H89:H94,"?*",J89:J94)))&lt;0.005,"","借贷不等")</f>
        <v/>
      </c>
      <c r="N95" s="84" t="str">
        <f>母公司汇总抵销!N95</f>
        <v>E19</v>
      </c>
      <c r="O95" s="28" t="str">
        <f>母公司汇总抵销!O95</f>
        <v>长期应付职工薪酬</v>
      </c>
    </row>
    <row r="96" spans="1:15" s="23" customFormat="1">
      <c r="A96" s="1159">
        <v>14</v>
      </c>
      <c r="B96" s="1168"/>
      <c r="C96" s="1169"/>
      <c r="D96" s="17"/>
      <c r="E96" s="26" t="str">
        <f t="shared" ref="E96:E101" si="26">IF(D96=0,"",VLOOKUP(D96,$N:$O,2,0))</f>
        <v/>
      </c>
      <c r="F96" s="313"/>
      <c r="G96" s="27"/>
      <c r="H96" s="26" t="str">
        <f t="shared" ref="H96:H101" si="27">IF(G96=0,"",VLOOKUP(G96,$N:$O,2,0))</f>
        <v/>
      </c>
      <c r="I96" s="313"/>
      <c r="J96" s="142"/>
      <c r="N96" s="84" t="str">
        <f>母公司汇总抵销!N96</f>
        <v>E20</v>
      </c>
      <c r="O96" s="28" t="str">
        <f>母公司汇总抵销!O96</f>
        <v>预计负债</v>
      </c>
    </row>
    <row r="97" spans="1:15" s="23" customFormat="1">
      <c r="A97" s="1160"/>
      <c r="B97" s="1168"/>
      <c r="C97" s="1169"/>
      <c r="D97" s="17"/>
      <c r="E97" s="26" t="str">
        <f t="shared" si="26"/>
        <v/>
      </c>
      <c r="F97" s="313"/>
      <c r="G97" s="27"/>
      <c r="H97" s="26" t="str">
        <f t="shared" si="27"/>
        <v/>
      </c>
      <c r="I97" s="313"/>
      <c r="J97" s="142"/>
      <c r="N97" s="84" t="str">
        <f>母公司汇总抵销!N97</f>
        <v>E21</v>
      </c>
      <c r="O97" s="28" t="str">
        <f>母公司汇总抵销!O97</f>
        <v>递延收益</v>
      </c>
    </row>
    <row r="98" spans="1:15" s="23" customFormat="1">
      <c r="A98" s="1160"/>
      <c r="B98" s="1168"/>
      <c r="C98" s="1169"/>
      <c r="D98" s="17"/>
      <c r="E98" s="26" t="str">
        <f t="shared" si="26"/>
        <v/>
      </c>
      <c r="F98" s="313"/>
      <c r="G98" s="27"/>
      <c r="H98" s="26" t="str">
        <f t="shared" si="27"/>
        <v/>
      </c>
      <c r="I98" s="313"/>
      <c r="J98" s="142"/>
      <c r="N98" s="84" t="str">
        <f>母公司汇总抵销!N98</f>
        <v>E22</v>
      </c>
      <c r="O98" s="28" t="str">
        <f>母公司汇总抵销!O98</f>
        <v>递延所得税负债</v>
      </c>
    </row>
    <row r="99" spans="1:15" s="23" customFormat="1">
      <c r="A99" s="1160"/>
      <c r="B99" s="1168"/>
      <c r="C99" s="1169"/>
      <c r="D99" s="17"/>
      <c r="E99" s="26" t="str">
        <f t="shared" si="26"/>
        <v/>
      </c>
      <c r="F99" s="313"/>
      <c r="G99" s="27"/>
      <c r="H99" s="26" t="str">
        <f t="shared" si="27"/>
        <v/>
      </c>
      <c r="I99" s="313"/>
      <c r="J99" s="142"/>
      <c r="N99" s="84" t="str">
        <f>母公司汇总抵销!N99</f>
        <v>E23</v>
      </c>
      <c r="O99" s="28" t="str">
        <f>母公司汇总抵销!O99</f>
        <v>其他非流动负债</v>
      </c>
    </row>
    <row r="100" spans="1:15" s="23" customFormat="1">
      <c r="A100" s="1160"/>
      <c r="B100" s="1168"/>
      <c r="C100" s="1169"/>
      <c r="D100" s="17"/>
      <c r="E100" s="26" t="str">
        <f t="shared" si="26"/>
        <v/>
      </c>
      <c r="F100" s="313"/>
      <c r="G100" s="27"/>
      <c r="H100" s="26" t="str">
        <f t="shared" si="27"/>
        <v/>
      </c>
      <c r="I100" s="313"/>
      <c r="J100" s="142"/>
      <c r="N100" s="84">
        <f>母公司汇总抵销!N100</f>
        <v>0</v>
      </c>
      <c r="O100" s="859" t="str">
        <f>母公司汇总抵销!O100</f>
        <v>非流动负债合计</v>
      </c>
    </row>
    <row r="101" spans="1:15" s="23" customFormat="1">
      <c r="A101" s="1161"/>
      <c r="B101" s="1168"/>
      <c r="C101" s="1169"/>
      <c r="D101" s="17"/>
      <c r="E101" s="26" t="str">
        <f t="shared" si="26"/>
        <v/>
      </c>
      <c r="F101" s="313"/>
      <c r="G101" s="27"/>
      <c r="H101" s="26" t="str">
        <f t="shared" si="27"/>
        <v/>
      </c>
      <c r="I101" s="313"/>
      <c r="J101" s="142"/>
      <c r="N101" s="84">
        <f>母公司汇总抵销!N101</f>
        <v>0</v>
      </c>
      <c r="O101" s="859" t="str">
        <f>母公司汇总抵销!O101</f>
        <v>负 债 合 计</v>
      </c>
    </row>
    <row r="102" spans="1:15" s="23" customFormat="1">
      <c r="A102" s="453"/>
      <c r="B102" s="453"/>
      <c r="C102" s="454"/>
      <c r="D102" s="455"/>
      <c r="E102" s="456"/>
      <c r="F102" s="456"/>
      <c r="G102" s="455"/>
      <c r="H102" s="456"/>
      <c r="I102" s="456"/>
      <c r="J102" s="457" t="str">
        <f>IF(ABS((SUMIF(E96:E101,"?*",J96:J101)-SUMIF(H96:H101,"?*",J96:J101)))&lt;0.005,"","借贷不等")</f>
        <v/>
      </c>
      <c r="N102" s="84">
        <f>母公司汇总抵销!N102</f>
        <v>0</v>
      </c>
      <c r="O102" s="783" t="str">
        <f>母公司汇总抵销!O102</f>
        <v>股东权益：</v>
      </c>
    </row>
    <row r="103" spans="1:15" s="23" customFormat="1">
      <c r="A103" s="1159">
        <v>15</v>
      </c>
      <c r="B103" s="1168"/>
      <c r="C103" s="1169"/>
      <c r="D103" s="17"/>
      <c r="E103" s="26" t="str">
        <f t="shared" ref="E103:E108" si="28">IF(D103=0,"",VLOOKUP(D103,$N:$O,2,0))</f>
        <v/>
      </c>
      <c r="F103" s="313"/>
      <c r="G103" s="27"/>
      <c r="H103" s="26" t="str">
        <f t="shared" ref="H103:H108" si="29">IF(G103=0,"",VLOOKUP(G103,$N:$O,2,0))</f>
        <v/>
      </c>
      <c r="I103" s="313"/>
      <c r="J103" s="142"/>
      <c r="N103" s="84" t="str">
        <f>母公司汇总抵销!N103</f>
        <v>F1</v>
      </c>
      <c r="O103" s="28" t="str">
        <f>母公司汇总抵销!O103</f>
        <v>股本</v>
      </c>
    </row>
    <row r="104" spans="1:15" s="23" customFormat="1">
      <c r="A104" s="1160"/>
      <c r="B104" s="1168"/>
      <c r="C104" s="1169"/>
      <c r="D104" s="17"/>
      <c r="E104" s="26" t="str">
        <f t="shared" si="28"/>
        <v/>
      </c>
      <c r="F104" s="313"/>
      <c r="G104" s="27"/>
      <c r="H104" s="26" t="str">
        <f t="shared" si="29"/>
        <v/>
      </c>
      <c r="I104" s="313"/>
      <c r="J104" s="142"/>
      <c r="N104" s="84" t="str">
        <f>母公司汇总抵销!N104</f>
        <v>F2</v>
      </c>
      <c r="O104" s="28" t="str">
        <f>母公司汇总抵销!O104</f>
        <v>其他权益工具</v>
      </c>
    </row>
    <row r="105" spans="1:15" s="23" customFormat="1">
      <c r="A105" s="1160"/>
      <c r="B105" s="1168"/>
      <c r="C105" s="1169"/>
      <c r="D105" s="17"/>
      <c r="E105" s="26" t="str">
        <f t="shared" si="28"/>
        <v/>
      </c>
      <c r="F105" s="313"/>
      <c r="G105" s="27"/>
      <c r="H105" s="26" t="str">
        <f t="shared" si="29"/>
        <v/>
      </c>
      <c r="I105" s="313"/>
      <c r="J105" s="142"/>
      <c r="N105" s="84">
        <f>母公司汇总抵销!N105</f>
        <v>0</v>
      </c>
      <c r="O105" s="28" t="str">
        <f>母公司汇总抵销!O105</f>
        <v>优先股</v>
      </c>
    </row>
    <row r="106" spans="1:15" s="23" customFormat="1">
      <c r="A106" s="1160"/>
      <c r="B106" s="1168"/>
      <c r="C106" s="1169"/>
      <c r="D106" s="17"/>
      <c r="E106" s="26" t="str">
        <f t="shared" si="28"/>
        <v/>
      </c>
      <c r="F106" s="313"/>
      <c r="G106" s="27"/>
      <c r="H106" s="26" t="str">
        <f t="shared" si="29"/>
        <v/>
      </c>
      <c r="I106" s="313"/>
      <c r="J106" s="142"/>
      <c r="N106" s="84">
        <f>母公司汇总抵销!N106</f>
        <v>0</v>
      </c>
      <c r="O106" s="28" t="str">
        <f>母公司汇总抵销!O106</f>
        <v>永续债</v>
      </c>
    </row>
    <row r="107" spans="1:15" s="23" customFormat="1">
      <c r="A107" s="1160"/>
      <c r="B107" s="1168"/>
      <c r="C107" s="1169"/>
      <c r="D107" s="17"/>
      <c r="E107" s="26" t="str">
        <f t="shared" si="28"/>
        <v/>
      </c>
      <c r="F107" s="313"/>
      <c r="G107" s="27"/>
      <c r="H107" s="26" t="str">
        <f t="shared" si="29"/>
        <v/>
      </c>
      <c r="I107" s="313"/>
      <c r="J107" s="142"/>
      <c r="N107" s="84" t="str">
        <f>母公司汇总抵销!N107</f>
        <v>F3</v>
      </c>
      <c r="O107" s="28" t="str">
        <f>母公司汇总抵销!O107</f>
        <v>资本公积</v>
      </c>
    </row>
    <row r="108" spans="1:15" s="23" customFormat="1">
      <c r="A108" s="1161"/>
      <c r="B108" s="1168"/>
      <c r="C108" s="1169"/>
      <c r="D108" s="17"/>
      <c r="E108" s="26" t="str">
        <f t="shared" si="28"/>
        <v/>
      </c>
      <c r="F108" s="313"/>
      <c r="G108" s="27"/>
      <c r="H108" s="26" t="str">
        <f t="shared" si="29"/>
        <v/>
      </c>
      <c r="I108" s="313"/>
      <c r="J108" s="142"/>
      <c r="N108" s="84" t="str">
        <f>母公司汇总抵销!N108</f>
        <v>F4</v>
      </c>
      <c r="O108" s="28" t="str">
        <f>母公司汇总抵销!O108</f>
        <v>库存股</v>
      </c>
    </row>
    <row r="109" spans="1:15" s="23" customFormat="1">
      <c r="A109" s="453"/>
      <c r="B109" s="453"/>
      <c r="C109" s="454"/>
      <c r="D109" s="455"/>
      <c r="E109" s="456"/>
      <c r="F109" s="456"/>
      <c r="G109" s="455"/>
      <c r="H109" s="456"/>
      <c r="I109" s="456"/>
      <c r="J109" s="457" t="str">
        <f>IF(ABS((SUMIF(E103:E108,"?*",J103:J108)-SUMIF(H103:H108,"?*",J103:J108)))&lt;0.005,"","借贷不等")</f>
        <v/>
      </c>
      <c r="N109" s="84" t="str">
        <f>母公司汇总抵销!N109</f>
        <v>F5</v>
      </c>
      <c r="O109" s="28" t="str">
        <f>母公司汇总抵销!O109</f>
        <v>其他综合收益</v>
      </c>
    </row>
    <row r="110" spans="1:15" s="23" customFormat="1">
      <c r="A110" s="1159">
        <v>16</v>
      </c>
      <c r="B110" s="1168"/>
      <c r="C110" s="1169"/>
      <c r="D110" s="17"/>
      <c r="E110" s="26" t="str">
        <f t="shared" ref="E110:E115" si="30">IF(D110=0,"",VLOOKUP(D110,$N:$O,2,0))</f>
        <v/>
      </c>
      <c r="F110" s="313"/>
      <c r="G110" s="27"/>
      <c r="H110" s="26" t="str">
        <f t="shared" ref="H110:H115" si="31">IF(G110=0,"",VLOOKUP(G110,$N:$O,2,0))</f>
        <v/>
      </c>
      <c r="I110" s="313"/>
      <c r="J110" s="142"/>
      <c r="N110" s="84" t="str">
        <f>母公司汇总抵销!N110</f>
        <v>F6</v>
      </c>
      <c r="O110" s="28" t="str">
        <f>母公司汇总抵销!O110</f>
        <v>专项储备</v>
      </c>
    </row>
    <row r="111" spans="1:15" s="23" customFormat="1">
      <c r="A111" s="1160"/>
      <c r="B111" s="1168"/>
      <c r="C111" s="1169"/>
      <c r="D111" s="17"/>
      <c r="E111" s="26" t="str">
        <f t="shared" si="30"/>
        <v/>
      </c>
      <c r="F111" s="313"/>
      <c r="G111" s="27"/>
      <c r="H111" s="26" t="str">
        <f t="shared" si="31"/>
        <v/>
      </c>
      <c r="I111" s="313"/>
      <c r="J111" s="142"/>
      <c r="N111" s="84" t="str">
        <f>母公司汇总抵销!N111</f>
        <v>F7</v>
      </c>
      <c r="O111" s="28" t="str">
        <f>母公司汇总抵销!O111</f>
        <v>盈余公积</v>
      </c>
    </row>
    <row r="112" spans="1:15" s="23" customFormat="1">
      <c r="A112" s="1160"/>
      <c r="B112" s="1168"/>
      <c r="C112" s="1169"/>
      <c r="D112" s="17"/>
      <c r="E112" s="26" t="str">
        <f t="shared" si="30"/>
        <v/>
      </c>
      <c r="F112" s="313"/>
      <c r="G112" s="27"/>
      <c r="H112" s="26" t="str">
        <f t="shared" si="31"/>
        <v/>
      </c>
      <c r="I112" s="313"/>
      <c r="J112" s="142"/>
      <c r="N112" s="84" t="str">
        <f>母公司汇总抵销!N112</f>
        <v>F10</v>
      </c>
      <c r="O112" s="28" t="str">
        <f>母公司汇总抵销!O112</f>
        <v>一般风险准备</v>
      </c>
    </row>
    <row r="113" spans="1:15" s="23" customFormat="1">
      <c r="A113" s="1160"/>
      <c r="B113" s="1168"/>
      <c r="C113" s="1169"/>
      <c r="D113" s="17"/>
      <c r="E113" s="26" t="str">
        <f t="shared" si="30"/>
        <v/>
      </c>
      <c r="F113" s="313"/>
      <c r="G113" s="27"/>
      <c r="H113" s="26" t="str">
        <f t="shared" si="31"/>
        <v/>
      </c>
      <c r="I113" s="313"/>
      <c r="J113" s="142"/>
      <c r="N113" s="84" t="str">
        <f>母公司汇总抵销!N113</f>
        <v>F8</v>
      </c>
      <c r="O113" s="28" t="str">
        <f>母公司汇总抵销!O113</f>
        <v>未分配利润</v>
      </c>
    </row>
    <row r="114" spans="1:15" s="23" customFormat="1">
      <c r="A114" s="1160"/>
      <c r="B114" s="1168"/>
      <c r="C114" s="1169"/>
      <c r="D114" s="17"/>
      <c r="E114" s="26" t="str">
        <f t="shared" si="30"/>
        <v/>
      </c>
      <c r="F114" s="313"/>
      <c r="G114" s="27"/>
      <c r="H114" s="26" t="str">
        <f t="shared" si="31"/>
        <v/>
      </c>
      <c r="I114" s="313"/>
      <c r="J114" s="142"/>
      <c r="N114" s="84">
        <f>母公司汇总抵销!N114</f>
        <v>0</v>
      </c>
      <c r="O114" s="28" t="str">
        <f>母公司汇总抵销!O114</f>
        <v>归属于母公司股东权益合计</v>
      </c>
    </row>
    <row r="115" spans="1:15" s="23" customFormat="1">
      <c r="A115" s="1161"/>
      <c r="B115" s="1168"/>
      <c r="C115" s="1169"/>
      <c r="D115" s="17"/>
      <c r="E115" s="26" t="str">
        <f t="shared" si="30"/>
        <v/>
      </c>
      <c r="F115" s="313"/>
      <c r="G115" s="27"/>
      <c r="H115" s="26" t="str">
        <f t="shared" si="31"/>
        <v/>
      </c>
      <c r="I115" s="313"/>
      <c r="J115" s="142"/>
      <c r="N115" s="84" t="str">
        <f>母公司汇总抵销!N115</f>
        <v>F9</v>
      </c>
      <c r="O115" s="28" t="str">
        <f>母公司汇总抵销!O115</f>
        <v>少数股东权益</v>
      </c>
    </row>
    <row r="116" spans="1:15" s="23" customFormat="1">
      <c r="A116" s="453"/>
      <c r="B116" s="453"/>
      <c r="C116" s="454"/>
      <c r="D116" s="455"/>
      <c r="E116" s="456"/>
      <c r="F116" s="456"/>
      <c r="G116" s="455"/>
      <c r="H116" s="456"/>
      <c r="I116" s="456"/>
      <c r="J116" s="457" t="str">
        <f>IF(ABS((SUMIF(E110:E115,"?*",J110:J115)-SUMIF(H110:H115,"?*",J110:J115)))&lt;0.005,"","借贷不等")</f>
        <v/>
      </c>
      <c r="N116" s="84">
        <f>母公司汇总抵销!N116</f>
        <v>0</v>
      </c>
      <c r="O116" s="859" t="str">
        <f>母公司汇总抵销!O116</f>
        <v>股东权益合计</v>
      </c>
    </row>
    <row r="117" spans="1:15" s="23" customFormat="1">
      <c r="A117" s="1159">
        <v>17</v>
      </c>
      <c r="B117" s="1168"/>
      <c r="C117" s="1169"/>
      <c r="D117" s="17"/>
      <c r="E117" s="26" t="str">
        <f t="shared" ref="E117:E122" si="32">IF(D117=0,"",VLOOKUP(D117,$N:$O,2,0))</f>
        <v/>
      </c>
      <c r="F117" s="313"/>
      <c r="G117" s="27"/>
      <c r="H117" s="26" t="str">
        <f t="shared" ref="H117:H122" si="33">IF(G117=0,"",VLOOKUP(G117,$N:$O,2,0))</f>
        <v/>
      </c>
      <c r="I117" s="313"/>
      <c r="J117" s="142"/>
      <c r="N117" s="84">
        <f>母公司汇总抵销!N117</f>
        <v>0</v>
      </c>
      <c r="O117" s="859" t="str">
        <f>母公司汇总抵销!O117</f>
        <v>负债和股东权益合计</v>
      </c>
    </row>
    <row r="118" spans="1:15" s="23" customFormat="1">
      <c r="A118" s="1160"/>
      <c r="B118" s="1168"/>
      <c r="C118" s="1169"/>
      <c r="D118" s="17"/>
      <c r="E118" s="26" t="str">
        <f t="shared" si="32"/>
        <v/>
      </c>
      <c r="F118" s="313"/>
      <c r="G118" s="27"/>
      <c r="H118" s="26" t="str">
        <f t="shared" si="33"/>
        <v/>
      </c>
      <c r="I118" s="313"/>
      <c r="J118" s="142"/>
      <c r="N118" s="84">
        <f>母公司汇总抵销!N118</f>
        <v>0</v>
      </c>
      <c r="O118" s="28" t="str">
        <f>母公司汇总抵销!O118</f>
        <v>0</v>
      </c>
    </row>
    <row r="119" spans="1:15" s="23" customFormat="1">
      <c r="A119" s="1160"/>
      <c r="B119" s="1168"/>
      <c r="C119" s="1169"/>
      <c r="D119" s="17"/>
      <c r="E119" s="26" t="str">
        <f t="shared" si="32"/>
        <v/>
      </c>
      <c r="F119" s="313"/>
      <c r="G119" s="27"/>
      <c r="H119" s="26" t="str">
        <f t="shared" si="33"/>
        <v/>
      </c>
      <c r="I119" s="313"/>
      <c r="J119" s="142"/>
      <c r="N119" s="84">
        <f>母公司汇总抵销!N119</f>
        <v>0</v>
      </c>
      <c r="O119" s="28" t="str">
        <f>母公司汇总抵销!O119</f>
        <v>0</v>
      </c>
    </row>
    <row r="120" spans="1:15" s="23" customFormat="1">
      <c r="A120" s="1160"/>
      <c r="B120" s="1168"/>
      <c r="C120" s="1169"/>
      <c r="D120" s="17"/>
      <c r="E120" s="26" t="str">
        <f t="shared" si="32"/>
        <v/>
      </c>
      <c r="F120" s="313"/>
      <c r="G120" s="27"/>
      <c r="H120" s="26" t="str">
        <f t="shared" si="33"/>
        <v/>
      </c>
      <c r="I120" s="313"/>
      <c r="J120" s="142"/>
      <c r="N120" s="84">
        <f>母公司汇总抵销!N120</f>
        <v>0</v>
      </c>
      <c r="O120" s="28" t="str">
        <f>母公司汇总抵销!O120</f>
        <v/>
      </c>
    </row>
    <row r="121" spans="1:15" s="23" customFormat="1">
      <c r="A121" s="1160"/>
      <c r="B121" s="1168"/>
      <c r="C121" s="1169"/>
      <c r="D121" s="17"/>
      <c r="E121" s="26" t="str">
        <f t="shared" si="32"/>
        <v/>
      </c>
      <c r="F121" s="313"/>
      <c r="G121" s="27"/>
      <c r="H121" s="26" t="str">
        <f t="shared" si="33"/>
        <v/>
      </c>
      <c r="I121" s="313"/>
      <c r="J121" s="142"/>
      <c r="N121" s="84" t="str">
        <f>母公司汇总抵销!N121</f>
        <v>G1</v>
      </c>
      <c r="O121" s="782" t="str">
        <f>母公司汇总抵销!O121</f>
        <v>营业收入</v>
      </c>
    </row>
    <row r="122" spans="1:15" s="23" customFormat="1">
      <c r="A122" s="1161"/>
      <c r="B122" s="1168"/>
      <c r="C122" s="1169"/>
      <c r="D122" s="17"/>
      <c r="E122" s="26" t="str">
        <f t="shared" si="32"/>
        <v/>
      </c>
      <c r="F122" s="313"/>
      <c r="G122" s="27"/>
      <c r="H122" s="26" t="str">
        <f t="shared" si="33"/>
        <v/>
      </c>
      <c r="I122" s="313"/>
      <c r="J122" s="142"/>
      <c r="N122" s="84">
        <f>母公司汇总抵销!N122</f>
        <v>0</v>
      </c>
      <c r="O122" s="28" t="str">
        <f>母公司汇总抵销!O122</f>
        <v>主营业务收入</v>
      </c>
    </row>
    <row r="123" spans="1:15" s="23" customFormat="1">
      <c r="A123" s="453"/>
      <c r="B123" s="453"/>
      <c r="C123" s="454"/>
      <c r="D123" s="455"/>
      <c r="E123" s="456"/>
      <c r="F123" s="456"/>
      <c r="G123" s="455"/>
      <c r="H123" s="456"/>
      <c r="I123" s="456"/>
      <c r="J123" s="457" t="str">
        <f>IF(ABS((SUMIF(E117:E122,"?*",J117:J122)-SUMIF(H117:H122,"?*",J117:J122)))&lt;0.005,"","借贷不等")</f>
        <v/>
      </c>
      <c r="N123" s="84">
        <f>母公司汇总抵销!N123</f>
        <v>0</v>
      </c>
      <c r="O123" s="28" t="str">
        <f>母公司汇总抵销!O123</f>
        <v>利息收入</v>
      </c>
    </row>
    <row r="124" spans="1:15" s="23" customFormat="1">
      <c r="A124" s="1159">
        <v>18</v>
      </c>
      <c r="B124" s="1168"/>
      <c r="C124" s="1169"/>
      <c r="D124" s="17"/>
      <c r="E124" s="26" t="str">
        <f t="shared" ref="E124:E129" si="34">IF(D124=0,"",VLOOKUP(D124,$N:$O,2,0))</f>
        <v/>
      </c>
      <c r="F124" s="313"/>
      <c r="G124" s="27"/>
      <c r="H124" s="26" t="str">
        <f t="shared" ref="H124:H129" si="35">IF(G124=0,"",VLOOKUP(G124,$N:$O,2,0))</f>
        <v/>
      </c>
      <c r="I124" s="313"/>
      <c r="J124" s="142"/>
      <c r="N124" s="84">
        <f>母公司汇总抵销!N124</f>
        <v>0</v>
      </c>
      <c r="O124" s="28" t="str">
        <f>母公司汇总抵销!O124</f>
        <v>已赚保费</v>
      </c>
    </row>
    <row r="125" spans="1:15" s="23" customFormat="1">
      <c r="A125" s="1160"/>
      <c r="B125" s="1168"/>
      <c r="C125" s="1169"/>
      <c r="D125" s="17"/>
      <c r="E125" s="26" t="str">
        <f t="shared" si="34"/>
        <v/>
      </c>
      <c r="F125" s="313"/>
      <c r="G125" s="27"/>
      <c r="H125" s="26" t="str">
        <f t="shared" si="35"/>
        <v/>
      </c>
      <c r="I125" s="313"/>
      <c r="J125" s="142"/>
      <c r="N125" s="84">
        <f>母公司汇总抵销!N125</f>
        <v>0</v>
      </c>
      <c r="O125" s="28" t="str">
        <f>母公司汇总抵销!O125</f>
        <v>手续费及佣金收入</v>
      </c>
    </row>
    <row r="126" spans="1:15" s="23" customFormat="1">
      <c r="A126" s="1160"/>
      <c r="B126" s="1168"/>
      <c r="C126" s="1169"/>
      <c r="D126" s="17"/>
      <c r="E126" s="26" t="str">
        <f t="shared" si="34"/>
        <v/>
      </c>
      <c r="F126" s="313"/>
      <c r="G126" s="27"/>
      <c r="H126" s="26" t="str">
        <f t="shared" si="35"/>
        <v/>
      </c>
      <c r="I126" s="313"/>
      <c r="J126" s="142"/>
      <c r="N126" s="84">
        <f>母公司汇总抵销!N126</f>
        <v>0</v>
      </c>
      <c r="O126" s="28" t="str">
        <f>母公司汇总抵销!O126</f>
        <v>其他业务收入</v>
      </c>
    </row>
    <row r="127" spans="1:15" s="23" customFormat="1">
      <c r="A127" s="1160"/>
      <c r="B127" s="1168"/>
      <c r="C127" s="1169"/>
      <c r="D127" s="17"/>
      <c r="E127" s="26" t="str">
        <f t="shared" si="34"/>
        <v/>
      </c>
      <c r="F127" s="313"/>
      <c r="G127" s="27"/>
      <c r="H127" s="26" t="str">
        <f t="shared" si="35"/>
        <v/>
      </c>
      <c r="I127" s="313"/>
      <c r="J127" s="142"/>
      <c r="N127" s="84" t="str">
        <f>母公司汇总抵销!N127</f>
        <v>G2</v>
      </c>
      <c r="O127" s="782" t="str">
        <f>母公司汇总抵销!O127</f>
        <v>营业成本</v>
      </c>
    </row>
    <row r="128" spans="1:15" s="23" customFormat="1">
      <c r="A128" s="1160"/>
      <c r="B128" s="1168"/>
      <c r="C128" s="1169"/>
      <c r="D128" s="17"/>
      <c r="E128" s="26" t="str">
        <f t="shared" si="34"/>
        <v/>
      </c>
      <c r="F128" s="313"/>
      <c r="G128" s="27"/>
      <c r="H128" s="26" t="str">
        <f t="shared" si="35"/>
        <v/>
      </c>
      <c r="I128" s="313"/>
      <c r="J128" s="142"/>
      <c r="N128" s="84">
        <f>母公司汇总抵销!N128</f>
        <v>0</v>
      </c>
      <c r="O128" s="28" t="str">
        <f>母公司汇总抵销!O128</f>
        <v>主营业务成本</v>
      </c>
    </row>
    <row r="129" spans="1:15" s="23" customFormat="1">
      <c r="A129" s="1161"/>
      <c r="B129" s="1168"/>
      <c r="C129" s="1169"/>
      <c r="D129" s="17"/>
      <c r="E129" s="26" t="str">
        <f t="shared" si="34"/>
        <v/>
      </c>
      <c r="F129" s="313"/>
      <c r="G129" s="27"/>
      <c r="H129" s="26" t="str">
        <f t="shared" si="35"/>
        <v/>
      </c>
      <c r="I129" s="313"/>
      <c r="J129" s="142"/>
      <c r="N129" s="84">
        <f>母公司汇总抵销!N129</f>
        <v>0</v>
      </c>
      <c r="O129" s="28" t="str">
        <f>母公司汇总抵销!O129</f>
        <v>利息支出</v>
      </c>
    </row>
    <row r="130" spans="1:15" s="23" customFormat="1">
      <c r="A130" s="453"/>
      <c r="B130" s="453"/>
      <c r="C130" s="454"/>
      <c r="D130" s="455"/>
      <c r="E130" s="456"/>
      <c r="F130" s="456"/>
      <c r="G130" s="455"/>
      <c r="H130" s="456"/>
      <c r="I130" s="456"/>
      <c r="J130" s="457" t="str">
        <f>IF(ABS((SUMIF(E124:E129,"?*",J124:J129)-SUMIF(H124:H129,"?*",J124:J129)))&lt;0.005,"","借贷不等")</f>
        <v/>
      </c>
      <c r="N130" s="84">
        <f>母公司汇总抵销!N130</f>
        <v>0</v>
      </c>
      <c r="O130" s="28" t="str">
        <f>母公司汇总抵销!O130</f>
        <v>手续费及佣金支出</v>
      </c>
    </row>
    <row r="131" spans="1:15" s="23" customFormat="1">
      <c r="A131" s="1159">
        <v>19</v>
      </c>
      <c r="B131" s="1168"/>
      <c r="C131" s="1169"/>
      <c r="D131" s="17"/>
      <c r="E131" s="26" t="str">
        <f t="shared" ref="E131:E136" si="36">IF(D131=0,"",VLOOKUP(D131,$N:$O,2,0))</f>
        <v/>
      </c>
      <c r="F131" s="313"/>
      <c r="G131" s="27"/>
      <c r="H131" s="26" t="str">
        <f t="shared" ref="H131:H136" si="37">IF(G131=0,"",VLOOKUP(G131,$N:$O,2,0))</f>
        <v/>
      </c>
      <c r="I131" s="313"/>
      <c r="J131" s="142"/>
      <c r="N131" s="84">
        <f>母公司汇总抵销!N131</f>
        <v>0</v>
      </c>
      <c r="O131" s="28" t="str">
        <f>母公司汇总抵销!O131</f>
        <v>退保金</v>
      </c>
    </row>
    <row r="132" spans="1:15" s="23" customFormat="1">
      <c r="A132" s="1160"/>
      <c r="B132" s="1168"/>
      <c r="C132" s="1169"/>
      <c r="D132" s="17"/>
      <c r="E132" s="26" t="str">
        <f t="shared" si="36"/>
        <v/>
      </c>
      <c r="F132" s="313"/>
      <c r="G132" s="27"/>
      <c r="H132" s="26" t="str">
        <f t="shared" si="37"/>
        <v/>
      </c>
      <c r="I132" s="313"/>
      <c r="J132" s="142"/>
      <c r="N132" s="84">
        <f>母公司汇总抵销!N132</f>
        <v>0</v>
      </c>
      <c r="O132" s="28" t="str">
        <f>母公司汇总抵销!O132</f>
        <v>赔付支出净额</v>
      </c>
    </row>
    <row r="133" spans="1:15" s="23" customFormat="1">
      <c r="A133" s="1160"/>
      <c r="B133" s="1168"/>
      <c r="C133" s="1169"/>
      <c r="D133" s="17"/>
      <c r="E133" s="26" t="str">
        <f t="shared" si="36"/>
        <v/>
      </c>
      <c r="F133" s="313"/>
      <c r="G133" s="27"/>
      <c r="H133" s="26" t="str">
        <f t="shared" si="37"/>
        <v/>
      </c>
      <c r="I133" s="313"/>
      <c r="J133" s="142"/>
      <c r="N133" s="84">
        <f>母公司汇总抵销!N133</f>
        <v>0</v>
      </c>
      <c r="O133" s="28" t="str">
        <f>母公司汇总抵销!O133</f>
        <v>提取保险合同准备金净额</v>
      </c>
    </row>
    <row r="134" spans="1:15" s="23" customFormat="1">
      <c r="A134" s="1160"/>
      <c r="B134" s="1168"/>
      <c r="C134" s="1169"/>
      <c r="D134" s="17"/>
      <c r="E134" s="26" t="str">
        <f t="shared" si="36"/>
        <v/>
      </c>
      <c r="F134" s="313"/>
      <c r="G134" s="27"/>
      <c r="H134" s="26" t="str">
        <f t="shared" si="37"/>
        <v/>
      </c>
      <c r="I134" s="313"/>
      <c r="J134" s="142"/>
      <c r="N134" s="84">
        <f>母公司汇总抵销!N134</f>
        <v>0</v>
      </c>
      <c r="O134" s="28" t="str">
        <f>母公司汇总抵销!O134</f>
        <v>保单红利支出</v>
      </c>
    </row>
    <row r="135" spans="1:15" s="23" customFormat="1">
      <c r="A135" s="1160"/>
      <c r="B135" s="1168"/>
      <c r="C135" s="1169"/>
      <c r="D135" s="17"/>
      <c r="E135" s="26" t="str">
        <f t="shared" si="36"/>
        <v/>
      </c>
      <c r="F135" s="313"/>
      <c r="G135" s="27"/>
      <c r="H135" s="26" t="str">
        <f t="shared" si="37"/>
        <v/>
      </c>
      <c r="I135" s="313"/>
      <c r="J135" s="142"/>
      <c r="N135" s="84">
        <f>母公司汇总抵销!N135</f>
        <v>0</v>
      </c>
      <c r="O135" s="28" t="str">
        <f>母公司汇总抵销!O135</f>
        <v>分保费用</v>
      </c>
    </row>
    <row r="136" spans="1:15" s="23" customFormat="1">
      <c r="A136" s="1161"/>
      <c r="B136" s="1168"/>
      <c r="C136" s="1169"/>
      <c r="D136" s="17"/>
      <c r="E136" s="26" t="str">
        <f t="shared" si="36"/>
        <v/>
      </c>
      <c r="F136" s="313"/>
      <c r="G136" s="27"/>
      <c r="H136" s="26" t="str">
        <f t="shared" si="37"/>
        <v/>
      </c>
      <c r="I136" s="313"/>
      <c r="J136" s="142"/>
      <c r="N136" s="84">
        <f>母公司汇总抵销!N136</f>
        <v>0</v>
      </c>
      <c r="O136" s="28" t="str">
        <f>母公司汇总抵销!O136</f>
        <v>其他业务成本</v>
      </c>
    </row>
    <row r="137" spans="1:15" s="23" customFormat="1">
      <c r="A137" s="453"/>
      <c r="B137" s="453"/>
      <c r="C137" s="454"/>
      <c r="D137" s="455"/>
      <c r="E137" s="456"/>
      <c r="F137" s="456"/>
      <c r="G137" s="455"/>
      <c r="H137" s="456"/>
      <c r="I137" s="456"/>
      <c r="J137" s="457" t="str">
        <f>IF(ABS((SUMIF(E131:E136,"?*",J131:J136)-SUMIF(H131:H136,"?*",J131:J136)))&lt;0.005,"","借贷不等")</f>
        <v/>
      </c>
      <c r="N137" s="84" t="str">
        <f>母公司汇总抵销!N137</f>
        <v>G3</v>
      </c>
      <c r="O137" s="28" t="str">
        <f>母公司汇总抵销!O137</f>
        <v>税金及附加</v>
      </c>
    </row>
    <row r="138" spans="1:15" s="23" customFormat="1">
      <c r="A138" s="1159">
        <v>20</v>
      </c>
      <c r="B138" s="1168"/>
      <c r="C138" s="1169"/>
      <c r="D138" s="17"/>
      <c r="E138" s="26" t="str">
        <f t="shared" ref="E138:E143" si="38">IF(D138=0,"",VLOOKUP(D138,$N:$O,2,0))</f>
        <v/>
      </c>
      <c r="F138" s="313"/>
      <c r="G138" s="27"/>
      <c r="H138" s="26" t="str">
        <f t="shared" ref="H138:H143" si="39">IF(G138=0,"",VLOOKUP(G138,$N:$O,2,0))</f>
        <v/>
      </c>
      <c r="I138" s="313"/>
      <c r="J138" s="142"/>
      <c r="N138" s="84" t="str">
        <f>母公司汇总抵销!N138</f>
        <v>G4</v>
      </c>
      <c r="O138" s="28" t="str">
        <f>母公司汇总抵销!O138</f>
        <v>销售费用</v>
      </c>
    </row>
    <row r="139" spans="1:15" s="23" customFormat="1">
      <c r="A139" s="1160"/>
      <c r="B139" s="1168"/>
      <c r="C139" s="1169"/>
      <c r="D139" s="17"/>
      <c r="E139" s="26" t="str">
        <f t="shared" si="38"/>
        <v/>
      </c>
      <c r="F139" s="313"/>
      <c r="G139" s="27"/>
      <c r="H139" s="26" t="str">
        <f t="shared" si="39"/>
        <v/>
      </c>
      <c r="I139" s="313"/>
      <c r="J139" s="142"/>
      <c r="N139" s="84" t="str">
        <f>母公司汇总抵销!N139</f>
        <v>G5</v>
      </c>
      <c r="O139" s="28" t="str">
        <f>母公司汇总抵销!O139</f>
        <v>管理费用</v>
      </c>
    </row>
    <row r="140" spans="1:15" s="23" customFormat="1">
      <c r="A140" s="1160"/>
      <c r="B140" s="1168"/>
      <c r="C140" s="1169"/>
      <c r="D140" s="17"/>
      <c r="E140" s="26" t="str">
        <f t="shared" si="38"/>
        <v/>
      </c>
      <c r="F140" s="313"/>
      <c r="G140" s="27"/>
      <c r="H140" s="26" t="str">
        <f t="shared" si="39"/>
        <v/>
      </c>
      <c r="I140" s="313"/>
      <c r="J140" s="142"/>
      <c r="N140" s="84" t="str">
        <f>母公司汇总抵销!N140</f>
        <v>G6</v>
      </c>
      <c r="O140" s="28" t="str">
        <f>母公司汇总抵销!O140</f>
        <v>研发费用</v>
      </c>
    </row>
    <row r="141" spans="1:15" s="23" customFormat="1">
      <c r="A141" s="1160"/>
      <c r="B141" s="1168"/>
      <c r="C141" s="1169"/>
      <c r="D141" s="17"/>
      <c r="E141" s="26" t="str">
        <f t="shared" si="38"/>
        <v/>
      </c>
      <c r="F141" s="313"/>
      <c r="G141" s="27"/>
      <c r="H141" s="26" t="str">
        <f t="shared" si="39"/>
        <v/>
      </c>
      <c r="I141" s="313"/>
      <c r="J141" s="142"/>
      <c r="N141" s="84" t="str">
        <f>母公司汇总抵销!N141</f>
        <v>G7</v>
      </c>
      <c r="O141" s="28" t="str">
        <f>母公司汇总抵销!O141</f>
        <v>财务费用</v>
      </c>
    </row>
    <row r="142" spans="1:15" s="23" customFormat="1">
      <c r="A142" s="1160"/>
      <c r="B142" s="1168"/>
      <c r="C142" s="1169"/>
      <c r="D142" s="17"/>
      <c r="E142" s="26" t="str">
        <f t="shared" si="38"/>
        <v/>
      </c>
      <c r="F142" s="313"/>
      <c r="G142" s="27"/>
      <c r="H142" s="26" t="str">
        <f t="shared" si="39"/>
        <v/>
      </c>
      <c r="I142" s="313"/>
      <c r="J142" s="142"/>
      <c r="N142" s="84">
        <f>母公司汇总抵销!N142</f>
        <v>0</v>
      </c>
      <c r="O142" s="28" t="str">
        <f>母公司汇总抵销!O142</f>
        <v>利息费用</v>
      </c>
    </row>
    <row r="143" spans="1:15" s="23" customFormat="1">
      <c r="A143" s="1161"/>
      <c r="B143" s="1168"/>
      <c r="C143" s="1169"/>
      <c r="D143" s="17"/>
      <c r="E143" s="26" t="str">
        <f t="shared" si="38"/>
        <v/>
      </c>
      <c r="F143" s="313"/>
      <c r="G143" s="27"/>
      <c r="H143" s="26" t="str">
        <f t="shared" si="39"/>
        <v/>
      </c>
      <c r="I143" s="313"/>
      <c r="J143" s="142"/>
      <c r="N143" s="84">
        <f>母公司汇总抵销!N143</f>
        <v>0</v>
      </c>
      <c r="O143" s="28" t="str">
        <f>母公司汇总抵销!O143</f>
        <v>利息收入</v>
      </c>
    </row>
    <row r="144" spans="1:15" s="23" customFormat="1">
      <c r="A144" s="453"/>
      <c r="B144" s="453"/>
      <c r="C144" s="454"/>
      <c r="D144" s="455"/>
      <c r="E144" s="456"/>
      <c r="F144" s="456"/>
      <c r="G144" s="455"/>
      <c r="H144" s="456"/>
      <c r="I144" s="456"/>
      <c r="J144" s="457" t="str">
        <f>IF(ABS((SUMIF(E138:E143,"?*",J138:J143)-SUMIF(H138:H143,"?*",J138:J143)))&lt;0.005,"","借贷不等")</f>
        <v/>
      </c>
      <c r="N144" s="84" t="str">
        <f>母公司汇总抵销!N144</f>
        <v>G8</v>
      </c>
      <c r="O144" s="28" t="str">
        <f>母公司汇总抵销!O144</f>
        <v>其他收益</v>
      </c>
    </row>
    <row r="145" spans="1:15" s="23" customFormat="1">
      <c r="A145" s="1159">
        <v>21</v>
      </c>
      <c r="B145" s="1168"/>
      <c r="C145" s="1169"/>
      <c r="D145" s="17"/>
      <c r="E145" s="26" t="str">
        <f t="shared" ref="E145:E150" si="40">IF(D145=0,"",VLOOKUP(D145,$N:$O,2,0))</f>
        <v/>
      </c>
      <c r="F145" s="313"/>
      <c r="G145" s="27"/>
      <c r="H145" s="26" t="str">
        <f t="shared" ref="H145:H150" si="41">IF(G145=0,"",VLOOKUP(G145,$N:$O,2,0))</f>
        <v/>
      </c>
      <c r="I145" s="313"/>
      <c r="J145" s="142"/>
      <c r="N145" s="84" t="str">
        <f>母公司汇总抵销!N145</f>
        <v>G9</v>
      </c>
      <c r="O145" s="28" t="str">
        <f>母公司汇总抵销!O145</f>
        <v>投资收益</v>
      </c>
    </row>
    <row r="146" spans="1:15" s="23" customFormat="1">
      <c r="A146" s="1160"/>
      <c r="B146" s="1168"/>
      <c r="C146" s="1169"/>
      <c r="D146" s="17"/>
      <c r="E146" s="26" t="str">
        <f t="shared" si="40"/>
        <v/>
      </c>
      <c r="F146" s="313"/>
      <c r="G146" s="27"/>
      <c r="H146" s="26" t="str">
        <f t="shared" si="41"/>
        <v/>
      </c>
      <c r="I146" s="313"/>
      <c r="J146" s="142"/>
      <c r="N146" s="84">
        <f>母公司汇总抵销!N146</f>
        <v>0</v>
      </c>
      <c r="O146" s="28" t="str">
        <f>母公司汇总抵销!O146</f>
        <v>对联营企业和合营企业的投资收益</v>
      </c>
    </row>
    <row r="147" spans="1:15" s="23" customFormat="1">
      <c r="A147" s="1160"/>
      <c r="B147" s="1168"/>
      <c r="C147" s="1169"/>
      <c r="D147" s="17"/>
      <c r="E147" s="26" t="str">
        <f t="shared" si="40"/>
        <v/>
      </c>
      <c r="F147" s="313"/>
      <c r="G147" s="27"/>
      <c r="H147" s="26" t="str">
        <f t="shared" si="41"/>
        <v/>
      </c>
      <c r="I147" s="313"/>
      <c r="J147" s="142"/>
      <c r="N147" s="84">
        <f>母公司汇总抵销!N147</f>
        <v>0</v>
      </c>
      <c r="O147" s="28" t="str">
        <f>母公司汇总抵销!O147</f>
        <v>以摊余成本计量的金融资产终止确认收益</v>
      </c>
    </row>
    <row r="148" spans="1:15" s="23" customFormat="1">
      <c r="A148" s="1160"/>
      <c r="B148" s="1168"/>
      <c r="C148" s="1169"/>
      <c r="D148" s="17"/>
      <c r="E148" s="26" t="str">
        <f t="shared" si="40"/>
        <v/>
      </c>
      <c r="F148" s="313"/>
      <c r="G148" s="27"/>
      <c r="H148" s="26" t="str">
        <f t="shared" si="41"/>
        <v/>
      </c>
      <c r="I148" s="313"/>
      <c r="J148" s="142"/>
      <c r="N148" s="84" t="str">
        <f>母公司汇总抵销!N148</f>
        <v>G10</v>
      </c>
      <c r="O148" s="28" t="str">
        <f>母公司汇总抵销!O148</f>
        <v>净敞口套期收益</v>
      </c>
    </row>
    <row r="149" spans="1:15" s="23" customFormat="1">
      <c r="A149" s="1160"/>
      <c r="B149" s="1168"/>
      <c r="C149" s="1169"/>
      <c r="D149" s="17"/>
      <c r="E149" s="26" t="str">
        <f t="shared" si="40"/>
        <v/>
      </c>
      <c r="F149" s="313"/>
      <c r="G149" s="27"/>
      <c r="H149" s="26" t="str">
        <f t="shared" si="41"/>
        <v/>
      </c>
      <c r="I149" s="313"/>
      <c r="J149" s="142"/>
      <c r="N149" s="84" t="str">
        <f>母公司汇总抵销!N149</f>
        <v>G11</v>
      </c>
      <c r="O149" s="28" t="str">
        <f>母公司汇总抵销!O149</f>
        <v>公允价值变动收益</v>
      </c>
    </row>
    <row r="150" spans="1:15" s="23" customFormat="1">
      <c r="A150" s="1161"/>
      <c r="B150" s="1168"/>
      <c r="C150" s="1169"/>
      <c r="D150" s="17"/>
      <c r="E150" s="26" t="str">
        <f t="shared" si="40"/>
        <v/>
      </c>
      <c r="F150" s="313"/>
      <c r="G150" s="27"/>
      <c r="H150" s="26" t="str">
        <f t="shared" si="41"/>
        <v/>
      </c>
      <c r="I150" s="313"/>
      <c r="J150" s="142"/>
      <c r="N150" s="84" t="str">
        <f>母公司汇总抵销!N150</f>
        <v>G12</v>
      </c>
      <c r="O150" s="28" t="str">
        <f>母公司汇总抵销!O150</f>
        <v>信用减值损失(损</v>
      </c>
    </row>
    <row r="151" spans="1:15" s="23" customFormat="1">
      <c r="A151" s="453"/>
      <c r="B151" s="453"/>
      <c r="C151" s="454"/>
      <c r="D151" s="455"/>
      <c r="E151" s="456"/>
      <c r="F151" s="456"/>
      <c r="G151" s="455"/>
      <c r="H151" s="456"/>
      <c r="I151" s="456"/>
      <c r="J151" s="457" t="str">
        <f>IF(ABS((SUMIF(E145:E150,"?*",J145:J150)-SUMIF(H145:H150,"?*",J145:J150)))&lt;0.005,"","借贷不等")</f>
        <v/>
      </c>
      <c r="N151" s="84" t="str">
        <f>母公司汇总抵销!N151</f>
        <v>G13</v>
      </c>
      <c r="O151" s="28" t="str">
        <f>母公司汇总抵销!O151</f>
        <v>资产减值损失</v>
      </c>
    </row>
    <row r="152" spans="1:15" s="23" customFormat="1">
      <c r="A152" s="1159">
        <v>22</v>
      </c>
      <c r="B152" s="1168"/>
      <c r="C152" s="1169"/>
      <c r="D152" s="17"/>
      <c r="E152" s="26" t="str">
        <f t="shared" ref="E152:E157" si="42">IF(D152=0,"",VLOOKUP(D152,$N:$O,2,0))</f>
        <v/>
      </c>
      <c r="F152" s="313"/>
      <c r="G152" s="27"/>
      <c r="H152" s="26" t="str">
        <f t="shared" ref="H152:H157" si="43">IF(G152=0,"",VLOOKUP(G152,$N:$O,2,0))</f>
        <v/>
      </c>
      <c r="I152" s="313"/>
      <c r="J152" s="142"/>
      <c r="N152" s="84" t="str">
        <f>母公司汇总抵销!N152</f>
        <v>G14</v>
      </c>
      <c r="O152" s="28" t="str">
        <f>母公司汇总抵销!O152</f>
        <v>资产处置收益</v>
      </c>
    </row>
    <row r="153" spans="1:15" s="23" customFormat="1">
      <c r="A153" s="1160"/>
      <c r="B153" s="1168"/>
      <c r="C153" s="1169"/>
      <c r="D153" s="17"/>
      <c r="E153" s="26" t="str">
        <f t="shared" si="42"/>
        <v/>
      </c>
      <c r="F153" s="313"/>
      <c r="G153" s="27"/>
      <c r="H153" s="26" t="str">
        <f t="shared" si="43"/>
        <v/>
      </c>
      <c r="I153" s="313"/>
      <c r="J153" s="142"/>
      <c r="N153" s="84">
        <f>母公司汇总抵销!N153</f>
        <v>0</v>
      </c>
      <c r="O153" s="782" t="str">
        <f>母公司汇总抵销!O153</f>
        <v>营业利润</v>
      </c>
    </row>
    <row r="154" spans="1:15" s="23" customFormat="1">
      <c r="A154" s="1160"/>
      <c r="B154" s="1168"/>
      <c r="C154" s="1169"/>
      <c r="D154" s="17"/>
      <c r="E154" s="26" t="str">
        <f t="shared" si="42"/>
        <v/>
      </c>
      <c r="F154" s="313"/>
      <c r="G154" s="27"/>
      <c r="H154" s="26" t="str">
        <f t="shared" si="43"/>
        <v/>
      </c>
      <c r="I154" s="313"/>
      <c r="J154" s="142"/>
      <c r="N154" s="84" t="str">
        <f>母公司汇总抵销!N154</f>
        <v>G15</v>
      </c>
      <c r="O154" s="28" t="str">
        <f>母公司汇总抵销!O154</f>
        <v>营业外收入</v>
      </c>
    </row>
    <row r="155" spans="1:15" s="23" customFormat="1">
      <c r="A155" s="1160"/>
      <c r="B155" s="1168"/>
      <c r="C155" s="1169"/>
      <c r="D155" s="17"/>
      <c r="E155" s="26" t="str">
        <f t="shared" si="42"/>
        <v/>
      </c>
      <c r="F155" s="313"/>
      <c r="G155" s="27"/>
      <c r="H155" s="26" t="str">
        <f t="shared" si="43"/>
        <v/>
      </c>
      <c r="I155" s="313"/>
      <c r="J155" s="142"/>
      <c r="N155" s="84" t="str">
        <f>母公司汇总抵销!N155</f>
        <v>G16</v>
      </c>
      <c r="O155" s="28" t="str">
        <f>母公司汇总抵销!O155</f>
        <v>营业外支出</v>
      </c>
    </row>
    <row r="156" spans="1:15" s="23" customFormat="1">
      <c r="A156" s="1160"/>
      <c r="B156" s="1168"/>
      <c r="C156" s="1169"/>
      <c r="D156" s="17"/>
      <c r="E156" s="26" t="str">
        <f t="shared" si="42"/>
        <v/>
      </c>
      <c r="F156" s="313"/>
      <c r="G156" s="27"/>
      <c r="H156" s="26" t="str">
        <f t="shared" si="43"/>
        <v/>
      </c>
      <c r="I156" s="313"/>
      <c r="J156" s="142"/>
      <c r="N156" s="84">
        <f>母公司汇总抵销!N156</f>
        <v>0</v>
      </c>
      <c r="O156" s="782" t="str">
        <f>母公司汇总抵销!O156</f>
        <v>利润总额</v>
      </c>
    </row>
    <row r="157" spans="1:15" s="23" customFormat="1">
      <c r="A157" s="1161"/>
      <c r="B157" s="1168"/>
      <c r="C157" s="1169"/>
      <c r="D157" s="17"/>
      <c r="E157" s="26" t="str">
        <f t="shared" si="42"/>
        <v/>
      </c>
      <c r="F157" s="313"/>
      <c r="G157" s="27"/>
      <c r="H157" s="26" t="str">
        <f t="shared" si="43"/>
        <v/>
      </c>
      <c r="I157" s="313"/>
      <c r="J157" s="142"/>
      <c r="N157" s="84" t="str">
        <f>母公司汇总抵销!N157</f>
        <v>G17</v>
      </c>
      <c r="O157" s="28" t="str">
        <f>母公司汇总抵销!O157</f>
        <v>所得税费用</v>
      </c>
    </row>
    <row r="158" spans="1:15" s="23" customFormat="1">
      <c r="A158" s="453"/>
      <c r="B158" s="453"/>
      <c r="C158" s="454"/>
      <c r="D158" s="455"/>
      <c r="E158" s="456"/>
      <c r="F158" s="456"/>
      <c r="G158" s="455"/>
      <c r="H158" s="456"/>
      <c r="I158" s="456"/>
      <c r="J158" s="457" t="str">
        <f>IF(ABS((SUMIF(E152:E157,"?*",J152:J157)-SUMIF(H152:H157,"?*",J152:J157)))&lt;0.005,"","借贷不等")</f>
        <v/>
      </c>
      <c r="N158" s="84" t="str">
        <f>母公司汇总抵销!N158</f>
        <v>G18</v>
      </c>
      <c r="O158" s="28" t="str">
        <f>母公司汇总抵销!O158</f>
        <v>0</v>
      </c>
    </row>
    <row r="159" spans="1:15" s="23" customFormat="1">
      <c r="A159" s="1159">
        <v>23</v>
      </c>
      <c r="B159" s="1168"/>
      <c r="C159" s="1169"/>
      <c r="D159" s="17"/>
      <c r="E159" s="26" t="str">
        <f t="shared" ref="E159:E164" si="44">IF(D159=0,"",VLOOKUP(D159,$N:$O,2,0))</f>
        <v/>
      </c>
      <c r="F159" s="313"/>
      <c r="G159" s="27"/>
      <c r="H159" s="26" t="str">
        <f t="shared" ref="H159:H164" si="45">IF(G159=0,"",VLOOKUP(G159,$N:$O,2,0))</f>
        <v/>
      </c>
      <c r="I159" s="313"/>
      <c r="J159" s="142"/>
      <c r="N159" s="84">
        <f>母公司汇总抵销!N159</f>
        <v>0</v>
      </c>
      <c r="O159" s="782" t="str">
        <f>母公司汇总抵销!O159</f>
        <v>净利润</v>
      </c>
    </row>
    <row r="160" spans="1:15" s="23" customFormat="1">
      <c r="A160" s="1160"/>
      <c r="B160" s="1168"/>
      <c r="C160" s="1169"/>
      <c r="D160" s="17"/>
      <c r="E160" s="26" t="str">
        <f t="shared" si="44"/>
        <v/>
      </c>
      <c r="F160" s="313"/>
      <c r="G160" s="27"/>
      <c r="H160" s="26" t="str">
        <f t="shared" si="45"/>
        <v/>
      </c>
      <c r="I160" s="313"/>
      <c r="J160" s="142"/>
      <c r="N160" s="84">
        <f>母公司汇总抵销!N160</f>
        <v>0</v>
      </c>
      <c r="O160" s="28" t="str">
        <f>母公司汇总抵销!O160</f>
        <v>（一）按经营持续性分类</v>
      </c>
    </row>
    <row r="161" spans="1:15" s="23" customFormat="1">
      <c r="A161" s="1160"/>
      <c r="B161" s="1168"/>
      <c r="C161" s="1169"/>
      <c r="D161" s="17"/>
      <c r="E161" s="26" t="str">
        <f t="shared" si="44"/>
        <v/>
      </c>
      <c r="F161" s="313"/>
      <c r="G161" s="27"/>
      <c r="H161" s="26" t="str">
        <f t="shared" si="45"/>
        <v/>
      </c>
      <c r="I161" s="313"/>
      <c r="J161" s="142"/>
      <c r="N161" s="84">
        <f>母公司汇总抵销!N161</f>
        <v>0</v>
      </c>
      <c r="O161" s="28" t="str">
        <f>母公司汇总抵销!O161</f>
        <v>持续经营净利润</v>
      </c>
    </row>
    <row r="162" spans="1:15" s="23" customFormat="1">
      <c r="A162" s="1160"/>
      <c r="B162" s="1168"/>
      <c r="C162" s="1169"/>
      <c r="D162" s="17"/>
      <c r="E162" s="26" t="str">
        <f t="shared" si="44"/>
        <v/>
      </c>
      <c r="F162" s="313"/>
      <c r="G162" s="27"/>
      <c r="H162" s="26" t="str">
        <f t="shared" si="45"/>
        <v/>
      </c>
      <c r="I162" s="313"/>
      <c r="J162" s="142"/>
      <c r="N162" s="84">
        <f>母公司汇总抵销!N162</f>
        <v>0</v>
      </c>
      <c r="O162" s="28" t="str">
        <f>母公司汇总抵销!O162</f>
        <v>终止经营净利润</v>
      </c>
    </row>
    <row r="163" spans="1:15" s="23" customFormat="1">
      <c r="A163" s="1160"/>
      <c r="B163" s="1168"/>
      <c r="C163" s="1169"/>
      <c r="D163" s="17"/>
      <c r="E163" s="26" t="str">
        <f t="shared" si="44"/>
        <v/>
      </c>
      <c r="F163" s="313"/>
      <c r="G163" s="27"/>
      <c r="H163" s="26" t="str">
        <f t="shared" si="45"/>
        <v/>
      </c>
      <c r="I163" s="313"/>
      <c r="J163" s="142"/>
      <c r="N163" s="84">
        <f>母公司汇总抵销!N163</f>
        <v>0</v>
      </c>
      <c r="O163" s="28" t="str">
        <f>母公司汇总抵销!O163</f>
        <v>（二）按所有权归属分类</v>
      </c>
    </row>
    <row r="164" spans="1:15" s="23" customFormat="1">
      <c r="A164" s="1161"/>
      <c r="B164" s="1168"/>
      <c r="C164" s="1169"/>
      <c r="D164" s="17"/>
      <c r="E164" s="26" t="str">
        <f t="shared" si="44"/>
        <v/>
      </c>
      <c r="F164" s="313"/>
      <c r="G164" s="27"/>
      <c r="H164" s="26" t="str">
        <f t="shared" si="45"/>
        <v/>
      </c>
      <c r="I164" s="313"/>
      <c r="J164" s="142"/>
      <c r="N164" s="84">
        <f>母公司汇总抵销!N164</f>
        <v>0</v>
      </c>
      <c r="O164" s="28" t="str">
        <f>母公司汇总抵销!O164</f>
        <v>归属于母公司股东的净利润</v>
      </c>
    </row>
    <row r="165" spans="1:15" s="23" customFormat="1">
      <c r="A165" s="453"/>
      <c r="B165" s="453"/>
      <c r="C165" s="454"/>
      <c r="D165" s="455"/>
      <c r="E165" s="456"/>
      <c r="F165" s="456"/>
      <c r="G165" s="455"/>
      <c r="H165" s="456"/>
      <c r="I165" s="456"/>
      <c r="J165" s="457" t="str">
        <f>IF(ABS((SUMIF(E159:E164,"?*",J159:J164)-SUMIF(H159:H164,"?*",J159:J164)))&lt;0.005,"","借贷不等")</f>
        <v/>
      </c>
      <c r="N165" s="84" t="str">
        <f>母公司汇总抵销!N165</f>
        <v>G19</v>
      </c>
      <c r="O165" s="28" t="str">
        <f>母公司汇总抵销!O165</f>
        <v>少数股东损益</v>
      </c>
    </row>
    <row r="166" spans="1:15" s="23" customFormat="1">
      <c r="A166" s="1159">
        <v>24</v>
      </c>
      <c r="B166" s="1168"/>
      <c r="C166" s="1169"/>
      <c r="D166" s="17"/>
      <c r="E166" s="26" t="str">
        <f t="shared" ref="E166:E171" si="46">IF(D166=0,"",VLOOKUP(D166,$N:$O,2,0))</f>
        <v/>
      </c>
      <c r="F166" s="313"/>
      <c r="G166" s="27"/>
      <c r="H166" s="26" t="str">
        <f t="shared" ref="H166:H171" si="47">IF(G166=0,"",VLOOKUP(G166,$N:$O,2,0))</f>
        <v/>
      </c>
      <c r="I166" s="313"/>
      <c r="J166" s="142"/>
      <c r="N166" s="84">
        <f>母公司汇总抵销!N166</f>
        <v>0</v>
      </c>
      <c r="O166" s="782" t="str">
        <f>母公司汇总抵销!O166</f>
        <v>其他综合收益的税后净额</v>
      </c>
    </row>
    <row r="167" spans="1:15" s="23" customFormat="1">
      <c r="A167" s="1160"/>
      <c r="B167" s="1168"/>
      <c r="C167" s="1169"/>
      <c r="D167" s="17"/>
      <c r="E167" s="26" t="str">
        <f t="shared" si="46"/>
        <v/>
      </c>
      <c r="F167" s="313"/>
      <c r="G167" s="27"/>
      <c r="H167" s="26" t="str">
        <f t="shared" si="47"/>
        <v/>
      </c>
      <c r="I167" s="313"/>
      <c r="J167" s="142"/>
      <c r="N167" s="84">
        <f>母公司汇总抵销!N167</f>
        <v>0</v>
      </c>
      <c r="O167" s="28" t="str">
        <f>母公司汇总抵销!O167</f>
        <v>归属于母公司股东的其他综合收益的税后净额</v>
      </c>
    </row>
    <row r="168" spans="1:15" s="23" customFormat="1">
      <c r="A168" s="1160"/>
      <c r="B168" s="1168"/>
      <c r="C168" s="1169"/>
      <c r="D168" s="17"/>
      <c r="E168" s="26" t="str">
        <f t="shared" si="46"/>
        <v/>
      </c>
      <c r="F168" s="313"/>
      <c r="G168" s="27"/>
      <c r="H168" s="26" t="str">
        <f t="shared" si="47"/>
        <v/>
      </c>
      <c r="I168" s="313"/>
      <c r="J168" s="142"/>
      <c r="N168" s="84">
        <f>母公司汇总抵销!N168</f>
        <v>0</v>
      </c>
      <c r="O168" s="28" t="str">
        <f>母公司汇总抵销!O168</f>
        <v>（一）不能重分类进损益的其他综合收益</v>
      </c>
    </row>
    <row r="169" spans="1:15" s="23" customFormat="1">
      <c r="A169" s="1160"/>
      <c r="B169" s="1168"/>
      <c r="C169" s="1169"/>
      <c r="D169" s="17"/>
      <c r="E169" s="26" t="str">
        <f t="shared" si="46"/>
        <v/>
      </c>
      <c r="F169" s="313"/>
      <c r="G169" s="27"/>
      <c r="H169" s="26" t="str">
        <f t="shared" si="47"/>
        <v/>
      </c>
      <c r="I169" s="313"/>
      <c r="J169" s="142"/>
      <c r="N169" s="84" t="str">
        <f>母公司汇总抵销!N169</f>
        <v>G21</v>
      </c>
      <c r="O169" s="28" t="str">
        <f>母公司汇总抵销!O169</f>
        <v>1.重新计量设定受益计划变动额</v>
      </c>
    </row>
    <row r="170" spans="1:15" s="23" customFormat="1">
      <c r="A170" s="1160"/>
      <c r="B170" s="1168"/>
      <c r="C170" s="1169"/>
      <c r="D170" s="17"/>
      <c r="E170" s="26" t="str">
        <f t="shared" si="46"/>
        <v/>
      </c>
      <c r="F170" s="313"/>
      <c r="G170" s="27"/>
      <c r="H170" s="26" t="str">
        <f t="shared" si="47"/>
        <v/>
      </c>
      <c r="I170" s="313"/>
      <c r="J170" s="142"/>
      <c r="N170" s="84" t="str">
        <f>母公司汇总抵销!N170</f>
        <v>G22</v>
      </c>
      <c r="O170" s="28" t="str">
        <f>母公司汇总抵销!O170</f>
        <v>2.权益法下不能转损益的其他综合收益</v>
      </c>
    </row>
    <row r="171" spans="1:15" s="23" customFormat="1">
      <c r="A171" s="1161"/>
      <c r="B171" s="1168"/>
      <c r="C171" s="1169"/>
      <c r="D171" s="17"/>
      <c r="E171" s="26" t="str">
        <f t="shared" si="46"/>
        <v/>
      </c>
      <c r="F171" s="313"/>
      <c r="G171" s="27"/>
      <c r="H171" s="26" t="str">
        <f t="shared" si="47"/>
        <v/>
      </c>
      <c r="I171" s="313"/>
      <c r="J171" s="142"/>
      <c r="N171" s="84" t="str">
        <f>母公司汇总抵销!N171</f>
        <v>G23</v>
      </c>
      <c r="O171" s="28" t="str">
        <f>母公司汇总抵销!O171</f>
        <v>3.其他权益工具投资公允价值变动</v>
      </c>
    </row>
    <row r="172" spans="1:15" s="23" customFormat="1">
      <c r="A172" s="453"/>
      <c r="B172" s="453"/>
      <c r="C172" s="454"/>
      <c r="D172" s="455"/>
      <c r="E172" s="456"/>
      <c r="F172" s="456"/>
      <c r="G172" s="455"/>
      <c r="H172" s="456"/>
      <c r="I172" s="456"/>
      <c r="J172" s="457" t="str">
        <f>IF(ABS((SUMIF(E166:E171,"?*",J166:J171)-SUMIF(H166:H171,"?*",J166:J171)))&lt;0.005,"","借贷不等")</f>
        <v/>
      </c>
      <c r="N172" s="84" t="str">
        <f>母公司汇总抵销!N172</f>
        <v>G24</v>
      </c>
      <c r="O172" s="28" t="str">
        <f>母公司汇总抵销!O172</f>
        <v>4.企业自身信用风险公允价值变动</v>
      </c>
    </row>
    <row r="173" spans="1:15" s="23" customFormat="1">
      <c r="A173" s="1159">
        <v>25</v>
      </c>
      <c r="B173" s="1168"/>
      <c r="C173" s="1169"/>
      <c r="D173" s="17"/>
      <c r="E173" s="26" t="str">
        <f t="shared" ref="E173:E178" si="48">IF(D173=0,"",VLOOKUP(D173,$N:$O,2,0))</f>
        <v/>
      </c>
      <c r="F173" s="313"/>
      <c r="G173" s="27"/>
      <c r="H173" s="26" t="str">
        <f t="shared" ref="H173:H178" si="49">IF(G173=0,"",VLOOKUP(G173,$N:$O,2,0))</f>
        <v/>
      </c>
      <c r="I173" s="313"/>
      <c r="J173" s="142"/>
      <c r="N173" s="84" t="str">
        <f>母公司汇总抵销!N173</f>
        <v>G25</v>
      </c>
      <c r="O173" s="28" t="str">
        <f>母公司汇总抵销!O173</f>
        <v>5.其他</v>
      </c>
    </row>
    <row r="174" spans="1:15" s="23" customFormat="1">
      <c r="A174" s="1160"/>
      <c r="B174" s="1168"/>
      <c r="C174" s="1169"/>
      <c r="D174" s="17"/>
      <c r="E174" s="26" t="str">
        <f t="shared" si="48"/>
        <v/>
      </c>
      <c r="F174" s="313"/>
      <c r="G174" s="27"/>
      <c r="H174" s="26" t="str">
        <f t="shared" si="49"/>
        <v/>
      </c>
      <c r="I174" s="313"/>
      <c r="J174" s="142"/>
      <c r="N174" s="84">
        <f>母公司汇总抵销!N174</f>
        <v>0</v>
      </c>
      <c r="O174" s="28" t="str">
        <f>母公司汇总抵销!O174</f>
        <v>（二）将重分类进损益的其他综合收益</v>
      </c>
    </row>
    <row r="175" spans="1:15" s="23" customFormat="1">
      <c r="A175" s="1160"/>
      <c r="B175" s="1168"/>
      <c r="C175" s="1169"/>
      <c r="D175" s="17"/>
      <c r="E175" s="26" t="str">
        <f t="shared" si="48"/>
        <v/>
      </c>
      <c r="F175" s="313"/>
      <c r="G175" s="27"/>
      <c r="H175" s="26" t="str">
        <f t="shared" si="49"/>
        <v/>
      </c>
      <c r="I175" s="313"/>
      <c r="J175" s="142"/>
      <c r="N175" s="84" t="str">
        <f>母公司汇总抵销!N175</f>
        <v>G26</v>
      </c>
      <c r="O175" s="28" t="str">
        <f>母公司汇总抵销!O175</f>
        <v>1.权益法下可转损益的其他综合收益</v>
      </c>
    </row>
    <row r="176" spans="1:15" s="23" customFormat="1">
      <c r="A176" s="1160"/>
      <c r="B176" s="1168"/>
      <c r="C176" s="1169"/>
      <c r="D176" s="17"/>
      <c r="E176" s="26" t="str">
        <f t="shared" si="48"/>
        <v/>
      </c>
      <c r="F176" s="313"/>
      <c r="G176" s="27"/>
      <c r="H176" s="26" t="str">
        <f t="shared" si="49"/>
        <v/>
      </c>
      <c r="I176" s="313"/>
      <c r="J176" s="142"/>
      <c r="N176" s="84" t="str">
        <f>母公司汇总抵销!N176</f>
        <v>G27</v>
      </c>
      <c r="O176" s="28" t="str">
        <f>母公司汇总抵销!O176</f>
        <v>2.其他债权投资公允价值变动</v>
      </c>
    </row>
    <row r="177" spans="1:15" s="23" customFormat="1">
      <c r="A177" s="1160"/>
      <c r="B177" s="1168"/>
      <c r="C177" s="1169"/>
      <c r="D177" s="17"/>
      <c r="E177" s="26" t="str">
        <f t="shared" si="48"/>
        <v/>
      </c>
      <c r="F177" s="313"/>
      <c r="G177" s="27"/>
      <c r="H177" s="26" t="str">
        <f t="shared" si="49"/>
        <v/>
      </c>
      <c r="I177" s="313"/>
      <c r="J177" s="142"/>
      <c r="N177" s="84" t="str">
        <f>母公司汇总抵销!N177</f>
        <v>G28</v>
      </c>
      <c r="O177" s="28" t="str">
        <f>母公司汇总抵销!O177</f>
        <v>3.可供出售金融资产公允价值变动损益</v>
      </c>
    </row>
    <row r="178" spans="1:15" s="23" customFormat="1">
      <c r="A178" s="1161"/>
      <c r="B178" s="1168"/>
      <c r="C178" s="1169"/>
      <c r="D178" s="17"/>
      <c r="E178" s="26" t="str">
        <f t="shared" si="48"/>
        <v/>
      </c>
      <c r="F178" s="313"/>
      <c r="G178" s="27"/>
      <c r="H178" s="26" t="str">
        <f t="shared" si="49"/>
        <v/>
      </c>
      <c r="I178" s="313"/>
      <c r="J178" s="142"/>
      <c r="N178" s="84" t="str">
        <f>母公司汇总抵销!N178</f>
        <v>G29</v>
      </c>
      <c r="O178" s="28" t="str">
        <f>母公司汇总抵销!O178</f>
        <v>4.金融资产重分类计入其他综合收益的金额</v>
      </c>
    </row>
    <row r="179" spans="1:15" s="23" customFormat="1">
      <c r="A179" s="453"/>
      <c r="B179" s="453"/>
      <c r="C179" s="454"/>
      <c r="D179" s="455"/>
      <c r="E179" s="456"/>
      <c r="F179" s="456"/>
      <c r="G179" s="455"/>
      <c r="H179" s="456"/>
      <c r="I179" s="456"/>
      <c r="J179" s="457" t="str">
        <f>IF(ABS((SUMIF(E173:E178,"?*",J173:J178)-SUMIF(H173:H178,"?*",J173:J178)))&lt;0.005,"","借贷不等")</f>
        <v/>
      </c>
      <c r="N179" s="84" t="str">
        <f>母公司汇总抵销!N179</f>
        <v>G30</v>
      </c>
      <c r="O179" s="28" t="str">
        <f>母公司汇总抵销!O179</f>
        <v>5.持有至到期投资重分类为可供出售金融资产损益</v>
      </c>
    </row>
    <row r="180" spans="1:15" s="23" customFormat="1">
      <c r="A180" s="1159">
        <v>26</v>
      </c>
      <c r="B180" s="1168"/>
      <c r="C180" s="1169"/>
      <c r="D180" s="17"/>
      <c r="E180" s="26" t="str">
        <f t="shared" ref="E180:E185" si="50">IF(D180=0,"",VLOOKUP(D180,$N:$O,2,0))</f>
        <v/>
      </c>
      <c r="F180" s="313"/>
      <c r="G180" s="27"/>
      <c r="H180" s="26" t="str">
        <f t="shared" ref="H180:H185" si="51">IF(G180=0,"",VLOOKUP(G180,$N:$O,2,0))</f>
        <v/>
      </c>
      <c r="I180" s="313"/>
      <c r="J180" s="142"/>
      <c r="N180" s="84" t="str">
        <f>母公司汇总抵销!N180</f>
        <v>G31</v>
      </c>
      <c r="O180" s="28" t="str">
        <f>母公司汇总抵销!O180</f>
        <v>6.其他债权投资信用减值准备</v>
      </c>
    </row>
    <row r="181" spans="1:15" s="23" customFormat="1">
      <c r="A181" s="1160"/>
      <c r="B181" s="1168"/>
      <c r="C181" s="1169"/>
      <c r="D181" s="17"/>
      <c r="E181" s="26" t="str">
        <f t="shared" si="50"/>
        <v/>
      </c>
      <c r="F181" s="313"/>
      <c r="G181" s="27"/>
      <c r="H181" s="26" t="str">
        <f t="shared" si="51"/>
        <v/>
      </c>
      <c r="I181" s="313"/>
      <c r="J181" s="142"/>
      <c r="N181" s="84" t="str">
        <f>母公司汇总抵销!N181</f>
        <v>G32</v>
      </c>
      <c r="O181" s="28" t="str">
        <f>母公司汇总抵销!O181</f>
        <v>7.现金流量套期储备</v>
      </c>
    </row>
    <row r="182" spans="1:15" s="23" customFormat="1">
      <c r="A182" s="1160"/>
      <c r="B182" s="1168"/>
      <c r="C182" s="1169"/>
      <c r="D182" s="17"/>
      <c r="E182" s="26" t="str">
        <f t="shared" si="50"/>
        <v/>
      </c>
      <c r="F182" s="313"/>
      <c r="G182" s="27"/>
      <c r="H182" s="26" t="str">
        <f t="shared" si="51"/>
        <v/>
      </c>
      <c r="I182" s="313"/>
      <c r="J182" s="142"/>
      <c r="N182" s="84" t="str">
        <f>母公司汇总抵销!N182</f>
        <v>G33</v>
      </c>
      <c r="O182" s="28" t="str">
        <f>母公司汇总抵销!O182</f>
        <v>8.外币财务报表折算差额</v>
      </c>
    </row>
    <row r="183" spans="1:15" s="23" customFormat="1">
      <c r="A183" s="1160"/>
      <c r="B183" s="1168"/>
      <c r="C183" s="1169"/>
      <c r="D183" s="17"/>
      <c r="E183" s="26" t="str">
        <f t="shared" si="50"/>
        <v/>
      </c>
      <c r="F183" s="313"/>
      <c r="G183" s="27"/>
      <c r="H183" s="26" t="str">
        <f t="shared" si="51"/>
        <v/>
      </c>
      <c r="I183" s="313"/>
      <c r="J183" s="142"/>
      <c r="N183" s="84" t="str">
        <f>母公司汇总抵销!N183</f>
        <v>G34</v>
      </c>
      <c r="O183" s="28" t="str">
        <f>母公司汇总抵销!O183</f>
        <v>9.自用房地产或作为存货的房地产转换为以公允价值计量的投资性房地产在转换日公允价值大于账面价值部分</v>
      </c>
    </row>
    <row r="184" spans="1:15" s="23" customFormat="1">
      <c r="A184" s="1160"/>
      <c r="B184" s="1168"/>
      <c r="C184" s="1169"/>
      <c r="D184" s="17"/>
      <c r="E184" s="26" t="str">
        <f t="shared" si="50"/>
        <v/>
      </c>
      <c r="F184" s="313"/>
      <c r="G184" s="27"/>
      <c r="H184" s="26" t="str">
        <f t="shared" si="51"/>
        <v/>
      </c>
      <c r="I184" s="313"/>
      <c r="J184" s="142"/>
      <c r="N184" s="84" t="str">
        <f>母公司汇总抵销!N184</f>
        <v>G35</v>
      </c>
      <c r="O184" s="28" t="str">
        <f>母公司汇总抵销!O184</f>
        <v>10.多次交易分步处置子公司股权构成一揽子交易的，丧失控制权之前各次交易处置价款与对应净资产账面价值份额的差额</v>
      </c>
    </row>
    <row r="185" spans="1:15" s="23" customFormat="1">
      <c r="A185" s="1161"/>
      <c r="B185" s="1168"/>
      <c r="C185" s="1169"/>
      <c r="D185" s="17"/>
      <c r="E185" s="26" t="str">
        <f t="shared" si="50"/>
        <v/>
      </c>
      <c r="F185" s="313"/>
      <c r="G185" s="27"/>
      <c r="H185" s="26" t="str">
        <f t="shared" si="51"/>
        <v/>
      </c>
      <c r="I185" s="313"/>
      <c r="J185" s="142"/>
      <c r="N185" s="84" t="str">
        <f>母公司汇总抵销!N185</f>
        <v>G36</v>
      </c>
      <c r="O185" s="28" t="str">
        <f>母公司汇总抵销!O185</f>
        <v>11.其他</v>
      </c>
    </row>
    <row r="186" spans="1:15" s="23" customFormat="1">
      <c r="A186" s="453"/>
      <c r="B186" s="453"/>
      <c r="C186" s="454"/>
      <c r="D186" s="455"/>
      <c r="E186" s="456"/>
      <c r="F186" s="456"/>
      <c r="G186" s="455"/>
      <c r="H186" s="456"/>
      <c r="I186" s="456"/>
      <c r="J186" s="457" t="str">
        <f>IF(ABS((SUMIF(E180:E185,"?*",J180:J185)-SUMIF(H180:H185,"?*",J180:J185)))&lt;0.005,"","借贷不等")</f>
        <v/>
      </c>
      <c r="N186" s="84" t="str">
        <f>母公司汇总抵销!N186</f>
        <v>G37</v>
      </c>
      <c r="O186" s="28" t="str">
        <f>母公司汇总抵销!O186</f>
        <v>归属于少数股东的其他综合收益的税后净额</v>
      </c>
    </row>
    <row r="187" spans="1:15" s="23" customFormat="1">
      <c r="A187" s="1159">
        <v>27</v>
      </c>
      <c r="B187" s="1168"/>
      <c r="C187" s="1169"/>
      <c r="D187" s="17"/>
      <c r="E187" s="26" t="str">
        <f t="shared" ref="E187:E192" si="52">IF(D187=0,"",VLOOKUP(D187,$N:$O,2,0))</f>
        <v/>
      </c>
      <c r="F187" s="313"/>
      <c r="G187" s="27"/>
      <c r="H187" s="26" t="str">
        <f t="shared" ref="H187:H192" si="53">IF(G187=0,"",VLOOKUP(G187,$N:$O,2,0))</f>
        <v/>
      </c>
      <c r="I187" s="313"/>
      <c r="J187" s="142"/>
      <c r="N187" s="84">
        <f>母公司汇总抵销!N187</f>
        <v>0</v>
      </c>
      <c r="O187" s="782" t="str">
        <f>母公司汇总抵销!O187</f>
        <v>综合收益总额</v>
      </c>
    </row>
    <row r="188" spans="1:15" s="23" customFormat="1">
      <c r="A188" s="1160"/>
      <c r="B188" s="1168"/>
      <c r="C188" s="1169"/>
      <c r="D188" s="17"/>
      <c r="E188" s="26" t="str">
        <f t="shared" si="52"/>
        <v/>
      </c>
      <c r="F188" s="313"/>
      <c r="G188" s="27"/>
      <c r="H188" s="26" t="str">
        <f t="shared" si="53"/>
        <v/>
      </c>
      <c r="I188" s="313"/>
      <c r="J188" s="142"/>
      <c r="N188" s="84">
        <f>母公司汇总抵销!N188</f>
        <v>0</v>
      </c>
      <c r="O188" s="28" t="str">
        <f>母公司汇总抵销!O188</f>
        <v>归属于母公司股东的综合收益总额</v>
      </c>
    </row>
    <row r="189" spans="1:15" s="23" customFormat="1">
      <c r="A189" s="1160"/>
      <c r="B189" s="1168"/>
      <c r="C189" s="1169"/>
      <c r="D189" s="17"/>
      <c r="E189" s="26" t="str">
        <f t="shared" si="52"/>
        <v/>
      </c>
      <c r="F189" s="313"/>
      <c r="G189" s="27"/>
      <c r="H189" s="26" t="str">
        <f t="shared" si="53"/>
        <v/>
      </c>
      <c r="I189" s="313"/>
      <c r="J189" s="142"/>
      <c r="N189" s="84">
        <f>母公司汇总抵销!N189</f>
        <v>0</v>
      </c>
      <c r="O189" s="28" t="str">
        <f>母公司汇总抵销!O189</f>
        <v>归属于少数股东的综合收益总额</v>
      </c>
    </row>
    <row r="190" spans="1:15" s="23" customFormat="1">
      <c r="A190" s="1160"/>
      <c r="B190" s="1168"/>
      <c r="C190" s="1169"/>
      <c r="D190" s="17"/>
      <c r="E190" s="26" t="str">
        <f t="shared" si="52"/>
        <v/>
      </c>
      <c r="F190" s="313"/>
      <c r="G190" s="27"/>
      <c r="H190" s="26" t="str">
        <f t="shared" si="53"/>
        <v/>
      </c>
      <c r="I190" s="313"/>
      <c r="J190" s="142"/>
      <c r="N190" s="84">
        <f>母公司汇总抵销!N190</f>
        <v>0</v>
      </c>
      <c r="O190" s="782" t="str">
        <f>母公司汇总抵销!O190</f>
        <v>每股收益</v>
      </c>
    </row>
    <row r="191" spans="1:15" s="23" customFormat="1">
      <c r="A191" s="1160"/>
      <c r="B191" s="1168"/>
      <c r="C191" s="1169"/>
      <c r="D191" s="17"/>
      <c r="E191" s="26" t="str">
        <f t="shared" si="52"/>
        <v/>
      </c>
      <c r="F191" s="313"/>
      <c r="G191" s="27"/>
      <c r="H191" s="26" t="str">
        <f t="shared" si="53"/>
        <v/>
      </c>
      <c r="I191" s="313"/>
      <c r="J191" s="142"/>
      <c r="N191" s="84" t="str">
        <f>母公司汇总抵销!N191</f>
        <v>G38</v>
      </c>
      <c r="O191" s="28" t="str">
        <f>母公司汇总抵销!O191</f>
        <v>基本每股收益</v>
      </c>
    </row>
    <row r="192" spans="1:15" s="23" customFormat="1">
      <c r="A192" s="1161"/>
      <c r="B192" s="1168"/>
      <c r="C192" s="1169"/>
      <c r="D192" s="17"/>
      <c r="E192" s="26" t="str">
        <f t="shared" si="52"/>
        <v/>
      </c>
      <c r="F192" s="313"/>
      <c r="G192" s="27"/>
      <c r="H192" s="26" t="str">
        <f t="shared" si="53"/>
        <v/>
      </c>
      <c r="I192" s="313"/>
      <c r="J192" s="142"/>
      <c r="N192" s="84" t="str">
        <f>母公司汇总抵销!N192</f>
        <v>G39</v>
      </c>
      <c r="O192" s="28" t="str">
        <f>母公司汇总抵销!O192</f>
        <v>稀释每股收益</v>
      </c>
    </row>
    <row r="193" spans="1:15" s="23" customFormat="1">
      <c r="A193" s="453"/>
      <c r="B193" s="453"/>
      <c r="C193" s="454"/>
      <c r="D193" s="455"/>
      <c r="E193" s="456"/>
      <c r="F193" s="456"/>
      <c r="G193" s="455"/>
      <c r="H193" s="456"/>
      <c r="I193" s="456"/>
      <c r="J193" s="457" t="str">
        <f>IF(ABS((SUMIF(E187:E192,"?*",J187:J192)-SUMIF(H187:H192,"?*",J187:J192)))&lt;0.005,"","借贷不等")</f>
        <v/>
      </c>
      <c r="N193" s="84">
        <f>母公司汇总抵销!N193</f>
        <v>0</v>
      </c>
      <c r="O193" s="782" t="str">
        <f>母公司汇总抵销!O193</f>
        <v>利润分配</v>
      </c>
    </row>
    <row r="194" spans="1:15" s="23" customFormat="1">
      <c r="A194" s="1159">
        <v>28</v>
      </c>
      <c r="B194" s="1168"/>
      <c r="C194" s="1169"/>
      <c r="D194" s="17"/>
      <c r="E194" s="26" t="str">
        <f t="shared" ref="E194:E199" si="54">IF(D194=0,"",VLOOKUP(D194,$N:$O,2,0))</f>
        <v/>
      </c>
      <c r="F194" s="313"/>
      <c r="G194" s="27"/>
      <c r="H194" s="26" t="str">
        <f t="shared" ref="H194:H199" si="55">IF(G194=0,"",VLOOKUP(G194,$N:$O,2,0))</f>
        <v/>
      </c>
      <c r="I194" s="313"/>
      <c r="J194" s="142"/>
      <c r="N194" s="84" t="str">
        <f>母公司汇总抵销!N194</f>
        <v>G40</v>
      </c>
      <c r="O194" s="28" t="str">
        <f>母公司汇总抵销!O194</f>
        <v>年初未分配利润</v>
      </c>
    </row>
    <row r="195" spans="1:15" s="23" customFormat="1">
      <c r="A195" s="1160"/>
      <c r="B195" s="1168"/>
      <c r="C195" s="1169"/>
      <c r="D195" s="17"/>
      <c r="E195" s="26" t="str">
        <f t="shared" si="54"/>
        <v/>
      </c>
      <c r="F195" s="313"/>
      <c r="G195" s="27"/>
      <c r="H195" s="26" t="str">
        <f t="shared" si="55"/>
        <v/>
      </c>
      <c r="I195" s="313"/>
      <c r="J195" s="142"/>
      <c r="N195" s="84">
        <f>母公司汇总抵销!N195</f>
        <v>0</v>
      </c>
      <c r="O195" s="28" t="str">
        <f>母公司汇总抵销!O195</f>
        <v>可供分配的利润</v>
      </c>
    </row>
    <row r="196" spans="1:15" s="23" customFormat="1">
      <c r="A196" s="1160"/>
      <c r="B196" s="1168"/>
      <c r="C196" s="1169"/>
      <c r="D196" s="17"/>
      <c r="E196" s="26" t="str">
        <f t="shared" si="54"/>
        <v/>
      </c>
      <c r="F196" s="313"/>
      <c r="G196" s="27"/>
      <c r="H196" s="26" t="str">
        <f t="shared" si="55"/>
        <v/>
      </c>
      <c r="I196" s="313"/>
      <c r="J196" s="142"/>
      <c r="N196" s="84" t="str">
        <f>母公司汇总抵销!N196</f>
        <v>G41</v>
      </c>
      <c r="O196" s="28" t="str">
        <f>母公司汇总抵销!O196</f>
        <v>1、提取法定盈余公积</v>
      </c>
    </row>
    <row r="197" spans="1:15" s="23" customFormat="1">
      <c r="A197" s="1160"/>
      <c r="B197" s="1168"/>
      <c r="C197" s="1169"/>
      <c r="D197" s="17"/>
      <c r="E197" s="26" t="str">
        <f t="shared" si="54"/>
        <v/>
      </c>
      <c r="F197" s="313"/>
      <c r="G197" s="27"/>
      <c r="H197" s="26" t="str">
        <f t="shared" si="55"/>
        <v/>
      </c>
      <c r="I197" s="313"/>
      <c r="J197" s="142"/>
      <c r="N197" s="84" t="str">
        <f>母公司汇总抵销!N197</f>
        <v>G42</v>
      </c>
      <c r="O197" s="28" t="str">
        <f>母公司汇总抵销!O197</f>
        <v>2、其他</v>
      </c>
    </row>
    <row r="198" spans="1:15" s="23" customFormat="1">
      <c r="A198" s="1160"/>
      <c r="B198" s="1168"/>
      <c r="C198" s="1169"/>
      <c r="D198" s="17"/>
      <c r="E198" s="26" t="str">
        <f t="shared" si="54"/>
        <v/>
      </c>
      <c r="F198" s="313"/>
      <c r="G198" s="27"/>
      <c r="H198" s="26" t="str">
        <f t="shared" si="55"/>
        <v/>
      </c>
      <c r="I198" s="313"/>
      <c r="J198" s="142"/>
      <c r="N198" s="84">
        <f>母公司汇总抵销!N198</f>
        <v>0</v>
      </c>
      <c r="O198" s="28" t="str">
        <f>母公司汇总抵销!O198</f>
        <v>可供投资者分配的利润</v>
      </c>
    </row>
    <row r="199" spans="1:15" s="23" customFormat="1">
      <c r="A199" s="1161"/>
      <c r="B199" s="1168"/>
      <c r="C199" s="1169"/>
      <c r="D199" s="17"/>
      <c r="E199" s="26" t="str">
        <f t="shared" si="54"/>
        <v/>
      </c>
      <c r="F199" s="313"/>
      <c r="G199" s="27"/>
      <c r="H199" s="26" t="str">
        <f t="shared" si="55"/>
        <v/>
      </c>
      <c r="I199" s="313"/>
      <c r="J199" s="142"/>
      <c r="N199" s="84" t="str">
        <f>母公司汇总抵销!N199</f>
        <v>G43</v>
      </c>
      <c r="O199" s="28" t="str">
        <f>母公司汇总抵销!O199</f>
        <v>1、应付优先股股利</v>
      </c>
    </row>
    <row r="200" spans="1:15" s="23" customFormat="1">
      <c r="A200" s="453"/>
      <c r="B200" s="453"/>
      <c r="C200" s="454"/>
      <c r="D200" s="455"/>
      <c r="E200" s="456"/>
      <c r="F200" s="456"/>
      <c r="G200" s="455"/>
      <c r="H200" s="456"/>
      <c r="I200" s="456"/>
      <c r="J200" s="457" t="str">
        <f>IF(ABS((SUMIF(E194:E199,"?*",J194:J199)-SUMIF(H194:H199,"?*",J194:J199)))&lt;0.005,"","借贷不等")</f>
        <v/>
      </c>
      <c r="N200" s="84" t="str">
        <f>母公司汇总抵销!N200</f>
        <v>G44</v>
      </c>
      <c r="O200" s="28" t="str">
        <f>母公司汇总抵销!O200</f>
        <v>2、提取任意盈余公积</v>
      </c>
    </row>
    <row r="201" spans="1:15" s="23" customFormat="1">
      <c r="A201" s="1159">
        <v>29</v>
      </c>
      <c r="B201" s="1168"/>
      <c r="C201" s="1169"/>
      <c r="D201" s="17"/>
      <c r="E201" s="26" t="str">
        <f t="shared" ref="E201:E206" si="56">IF(D201=0,"",VLOOKUP(D201,$N:$O,2,0))</f>
        <v/>
      </c>
      <c r="F201" s="313"/>
      <c r="G201" s="27"/>
      <c r="H201" s="26" t="str">
        <f t="shared" ref="H201:H206" si="57">IF(G201=0,"",VLOOKUP(G201,$N:$O,2,0))</f>
        <v/>
      </c>
      <c r="I201" s="313"/>
      <c r="J201" s="142"/>
      <c r="N201" s="84" t="str">
        <f>母公司汇总抵销!N201</f>
        <v>G45</v>
      </c>
      <c r="O201" s="28" t="str">
        <f>母公司汇总抵销!O201</f>
        <v>3、应付普通股股利（应付利润）</v>
      </c>
    </row>
    <row r="202" spans="1:15" s="23" customFormat="1">
      <c r="A202" s="1160"/>
      <c r="B202" s="1168"/>
      <c r="C202" s="1169"/>
      <c r="D202" s="17"/>
      <c r="E202" s="26" t="str">
        <f t="shared" si="56"/>
        <v/>
      </c>
      <c r="F202" s="313"/>
      <c r="G202" s="27"/>
      <c r="H202" s="26" t="str">
        <f t="shared" si="57"/>
        <v/>
      </c>
      <c r="I202" s="313"/>
      <c r="J202" s="142"/>
      <c r="N202" s="84" t="str">
        <f>母公司汇总抵销!N202</f>
        <v>G46</v>
      </c>
      <c r="O202" s="28" t="str">
        <f>母公司汇总抵销!O202</f>
        <v>4、转作资本（或股本）的普通股股利</v>
      </c>
    </row>
    <row r="203" spans="1:15" s="23" customFormat="1">
      <c r="A203" s="1160"/>
      <c r="B203" s="1168"/>
      <c r="C203" s="1169"/>
      <c r="D203" s="17"/>
      <c r="E203" s="26" t="str">
        <f t="shared" si="56"/>
        <v/>
      </c>
      <c r="F203" s="313"/>
      <c r="G203" s="27"/>
      <c r="H203" s="26" t="str">
        <f t="shared" si="57"/>
        <v/>
      </c>
      <c r="I203" s="313"/>
      <c r="J203" s="142"/>
      <c r="N203" s="84" t="str">
        <f>母公司汇总抵销!N203</f>
        <v>G47</v>
      </c>
      <c r="O203" s="28" t="str">
        <f>母公司汇总抵销!O203</f>
        <v>5、其他</v>
      </c>
    </row>
    <row r="204" spans="1:15" s="23" customFormat="1">
      <c r="A204" s="1160"/>
      <c r="B204" s="1168"/>
      <c r="C204" s="1169"/>
      <c r="D204" s="17"/>
      <c r="E204" s="26" t="str">
        <f t="shared" si="56"/>
        <v/>
      </c>
      <c r="F204" s="313"/>
      <c r="G204" s="27"/>
      <c r="H204" s="26" t="str">
        <f t="shared" si="57"/>
        <v/>
      </c>
      <c r="I204" s="313"/>
      <c r="J204" s="142"/>
      <c r="N204" s="84">
        <f>母公司汇总抵销!N204</f>
        <v>0</v>
      </c>
      <c r="O204" s="782" t="str">
        <f>母公司汇总抵销!O204</f>
        <v>未分配利润</v>
      </c>
    </row>
    <row r="205" spans="1:15" s="23" customFormat="1">
      <c r="A205" s="1160"/>
      <c r="B205" s="1168"/>
      <c r="C205" s="1169"/>
      <c r="D205" s="17"/>
      <c r="E205" s="26" t="str">
        <f t="shared" si="56"/>
        <v/>
      </c>
      <c r="F205" s="313"/>
      <c r="G205" s="27"/>
      <c r="H205" s="26" t="str">
        <f t="shared" si="57"/>
        <v/>
      </c>
      <c r="I205" s="313"/>
      <c r="J205" s="142"/>
      <c r="N205" s="84">
        <f>母公司汇总抵销!N205</f>
        <v>0</v>
      </c>
      <c r="O205" s="28" t="str">
        <f>母公司汇总抵销!O205</f>
        <v/>
      </c>
    </row>
    <row r="206" spans="1:15" s="23" customFormat="1">
      <c r="A206" s="1161"/>
      <c r="B206" s="1168"/>
      <c r="C206" s="1169"/>
      <c r="D206" s="17"/>
      <c r="E206" s="26" t="str">
        <f t="shared" si="56"/>
        <v/>
      </c>
      <c r="F206" s="313"/>
      <c r="G206" s="27"/>
      <c r="H206" s="26" t="str">
        <f t="shared" si="57"/>
        <v/>
      </c>
      <c r="I206" s="313"/>
      <c r="J206" s="142"/>
      <c r="N206" s="84">
        <f>母公司汇总抵销!N206</f>
        <v>0</v>
      </c>
      <c r="O206" s="28" t="str">
        <f>母公司汇总抵销!O206</f>
        <v/>
      </c>
    </row>
    <row r="207" spans="1:15" s="23" customFormat="1">
      <c r="A207" s="453"/>
      <c r="B207" s="453"/>
      <c r="C207" s="454"/>
      <c r="D207" s="455"/>
      <c r="E207" s="456"/>
      <c r="F207" s="456"/>
      <c r="G207" s="455"/>
      <c r="H207" s="456"/>
      <c r="I207" s="456"/>
      <c r="J207" s="457" t="str">
        <f>IF(ABS((SUMIF(E201:E206,"?*",J201:J206)-SUMIF(H201:H206,"?*",J201:J206)))&lt;0.005,"","借贷不等")</f>
        <v/>
      </c>
      <c r="N207" s="84">
        <f>母公司汇总抵销!N207</f>
        <v>0</v>
      </c>
      <c r="O207" s="28" t="str">
        <f>母公司汇总抵销!O207</f>
        <v/>
      </c>
    </row>
    <row r="208" spans="1:15">
      <c r="N208" s="84">
        <f>母公司汇总抵销!N208</f>
        <v>0</v>
      </c>
      <c r="O208" s="28" t="str">
        <f>母公司汇总抵销!O208</f>
        <v/>
      </c>
    </row>
    <row r="209" spans="14:15">
      <c r="N209" s="84"/>
      <c r="O209" s="85"/>
    </row>
    <row r="210" spans="14:15">
      <c r="N210" s="84"/>
      <c r="O210" s="85"/>
    </row>
    <row r="211" spans="14:15">
      <c r="N211" s="84"/>
      <c r="O211" s="87"/>
    </row>
    <row r="212" spans="14:15">
      <c r="N212" s="84"/>
      <c r="O212" s="85"/>
    </row>
    <row r="213" spans="14:15">
      <c r="N213" s="84"/>
      <c r="O213" s="85"/>
    </row>
    <row r="214" spans="14:15">
      <c r="N214" s="84"/>
      <c r="O214" s="85"/>
    </row>
    <row r="215" spans="14:15">
      <c r="N215" s="84"/>
      <c r="O215" s="87"/>
    </row>
    <row r="216" spans="14:15">
      <c r="N216" s="84"/>
      <c r="O216" s="85"/>
    </row>
    <row r="217" spans="14:15">
      <c r="N217" s="84"/>
      <c r="O217" s="85"/>
    </row>
    <row r="218" spans="14:15">
      <c r="N218" s="84"/>
      <c r="O218" s="85"/>
    </row>
    <row r="219" spans="14:15">
      <c r="N219" s="84"/>
      <c r="O219" s="85"/>
    </row>
    <row r="220" spans="14:15">
      <c r="N220" s="84"/>
      <c r="O220" s="85"/>
    </row>
    <row r="221" spans="14:15">
      <c r="N221" s="84"/>
      <c r="O221" s="85"/>
    </row>
    <row r="222" spans="14:15">
      <c r="N222" s="84"/>
      <c r="O222" s="85"/>
    </row>
    <row r="223" spans="14:15">
      <c r="N223" s="84"/>
      <c r="O223" s="85"/>
    </row>
    <row r="224" spans="14:15">
      <c r="N224" s="84"/>
      <c r="O224" s="85"/>
    </row>
    <row r="225" spans="14:15">
      <c r="N225" s="84"/>
      <c r="O225" s="87"/>
    </row>
    <row r="226" spans="14:15">
      <c r="N226" s="84"/>
      <c r="O226" s="85"/>
    </row>
    <row r="227" spans="14:15">
      <c r="N227" s="84"/>
      <c r="O227" s="85"/>
    </row>
    <row r="228" spans="14:15">
      <c r="N228" s="84"/>
      <c r="O228" s="85"/>
    </row>
    <row r="229" spans="14:15">
      <c r="N229" s="84"/>
      <c r="O229" s="85"/>
    </row>
    <row r="230" spans="14:15">
      <c r="N230" s="84"/>
      <c r="O230" s="85"/>
    </row>
    <row r="231" spans="14:15">
      <c r="N231" s="84"/>
      <c r="O231" s="86"/>
    </row>
    <row r="232" spans="14:15">
      <c r="N232" s="84"/>
      <c r="O232" s="85"/>
    </row>
    <row r="233" spans="14:15">
      <c r="N233" s="84"/>
      <c r="O233" s="83"/>
    </row>
    <row r="234" spans="14:15">
      <c r="N234" s="23"/>
      <c r="O234" s="23"/>
    </row>
  </sheetData>
  <sheetProtection formatCells="0" formatColumns="0" formatRows="0" insertRows="0" autoFilter="0" pivotTables="0"/>
  <mergeCells count="87">
    <mergeCell ref="A33:A38"/>
    <mergeCell ref="B33:B38"/>
    <mergeCell ref="C33:C38"/>
    <mergeCell ref="A40:A45"/>
    <mergeCell ref="A5:A10"/>
    <mergeCell ref="A12:A17"/>
    <mergeCell ref="C5:C10"/>
    <mergeCell ref="C12:C17"/>
    <mergeCell ref="B5:B10"/>
    <mergeCell ref="B12:B17"/>
    <mergeCell ref="B19:B24"/>
    <mergeCell ref="C19:C24"/>
    <mergeCell ref="A26:A31"/>
    <mergeCell ref="B26:B31"/>
    <mergeCell ref="C26:C31"/>
    <mergeCell ref="A19:A24"/>
    <mergeCell ref="B40:B45"/>
    <mergeCell ref="C40:C45"/>
    <mergeCell ref="A61:A66"/>
    <mergeCell ref="B61:B66"/>
    <mergeCell ref="C61:C66"/>
    <mergeCell ref="A54:A59"/>
    <mergeCell ref="B54:B59"/>
    <mergeCell ref="C54:C59"/>
    <mergeCell ref="A47:A52"/>
    <mergeCell ref="B47:B52"/>
    <mergeCell ref="C47:C52"/>
    <mergeCell ref="A68:A73"/>
    <mergeCell ref="B68:B73"/>
    <mergeCell ref="C68:C73"/>
    <mergeCell ref="A75:A80"/>
    <mergeCell ref="B75:B80"/>
    <mergeCell ref="C75:C80"/>
    <mergeCell ref="A82:A87"/>
    <mergeCell ref="B82:B87"/>
    <mergeCell ref="C82:C87"/>
    <mergeCell ref="A89:A94"/>
    <mergeCell ref="B89:B94"/>
    <mergeCell ref="C89:C94"/>
    <mergeCell ref="A96:A101"/>
    <mergeCell ref="B96:B101"/>
    <mergeCell ref="C96:C101"/>
    <mergeCell ref="A103:A108"/>
    <mergeCell ref="B103:B108"/>
    <mergeCell ref="C103:C108"/>
    <mergeCell ref="A110:A115"/>
    <mergeCell ref="B110:B115"/>
    <mergeCell ref="C110:C115"/>
    <mergeCell ref="A117:A122"/>
    <mergeCell ref="B117:B122"/>
    <mergeCell ref="C117:C122"/>
    <mergeCell ref="A124:A129"/>
    <mergeCell ref="B124:B129"/>
    <mergeCell ref="C124:C129"/>
    <mergeCell ref="A131:A136"/>
    <mergeCell ref="B131:B136"/>
    <mergeCell ref="C131:C136"/>
    <mergeCell ref="A138:A143"/>
    <mergeCell ref="B138:B143"/>
    <mergeCell ref="C138:C143"/>
    <mergeCell ref="A145:A150"/>
    <mergeCell ref="B145:B150"/>
    <mergeCell ref="C145:C150"/>
    <mergeCell ref="A152:A157"/>
    <mergeCell ref="B152:B157"/>
    <mergeCell ref="C152:C157"/>
    <mergeCell ref="A159:A164"/>
    <mergeCell ref="B159:B164"/>
    <mergeCell ref="C159:C164"/>
    <mergeCell ref="A166:A171"/>
    <mergeCell ref="B166:B171"/>
    <mergeCell ref="C166:C171"/>
    <mergeCell ref="A173:A178"/>
    <mergeCell ref="B173:B178"/>
    <mergeCell ref="C173:C178"/>
    <mergeCell ref="A180:A185"/>
    <mergeCell ref="B180:B185"/>
    <mergeCell ref="C180:C185"/>
    <mergeCell ref="A201:A206"/>
    <mergeCell ref="B201:B206"/>
    <mergeCell ref="C201:C206"/>
    <mergeCell ref="A187:A192"/>
    <mergeCell ref="B187:B192"/>
    <mergeCell ref="C187:C192"/>
    <mergeCell ref="A194:A199"/>
    <mergeCell ref="B194:B199"/>
    <mergeCell ref="C194:C199"/>
  </mergeCells>
  <phoneticPr fontId="50" type="noConversion"/>
  <conditionalFormatting sqref="A1">
    <cfRule type="cellIs" dxfId="44"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调整事项转换表”核对科目名称" sqref="E18 E11 H11 H18 E25 H25 E32 H32 E39 H39 E46 H46 E53 H53 E60 H60 E67 H67 E74 H74 E81 H81 E88 H88 E95 H95 E102 H102 E109 H109 E116 H116 E123 H123 E130 H130 E137 H137 E144 H144 E151 H151 E158 H158 E165 H165 E172 H172 E179 H179 E186 H186 E193 H193 E200 H200 E207 H207">
      <formula1>$O$6:$O$126</formula1>
    </dataValidation>
    <dataValidation type="list" allowBlank="1" showDropDown="1" showInputMessage="1" showErrorMessage="1" errorTitle="警告" error="   您输入的科目不是报表标准科目_x000a__x000a_请对应“调整事项转换表”核对科目名称" sqref="H12:H17 H19:H24 H194:H199 H187:H192 H180:H185 H173:H178 H166:H171 H159:H164 H152:H157 H145:H150 H138:H143 H131:H136 H124:H129 H117:H122 H110:H115 H103:H108 H96:H101 H89:H94 H82:H87 H75:H80 H68:H73 H61:H66 H54:H59 H47:H52 H40:H45 H33:H38 H26:H31 H201:H206">
      <formula1>$O:$O</formula1>
    </dataValidation>
    <dataValidation type="list" allowBlank="1" showDropDown="1" showInputMessage="1" showErrorMessage="1" errorTitle="警告" error="   您输入的科目不是报表标准科目_x000a__x000a_请对应“报表项目”核对科目名称" sqref="E19:E24 H7:H10 H5 H6:I6 E194:E199 E187:E192 E180:E185 E173:E178 E166:E171 E159:E164 E152:E157 E145:E150 E138:E143 E131:E136 E124:E129 E117:E122 E110:E115 E103:E108 E96:E101 E89:E94 E82:E87 E75:E80 E68:E73 E61:E66 E54:E59 E47:E52 E40:E45 E33:E38 E26:E31 E201:E206 E12:E17 E6:E10">
      <formula1>$O:$O</formula1>
    </dataValidation>
    <dataValidation type="list" allowBlank="1" showDropDown="1" showInputMessage="1" showErrorMessage="1" prompt="可直接输入科目名称；也可以在“code”列输入代码" sqref="E5">
      <formula1>$O:$O</formula1>
    </dataValidation>
  </dataValidations>
  <printOptions horizontalCentered="1"/>
  <pageMargins left="0.28999999999999998" right="0.22" top="0.66" bottom="0.45" header="0.51181102362204722" footer="0.24"/>
  <pageSetup paperSize="9" orientation="portrait" horizontalDpi="360" verticalDpi="360" r:id="rId1"/>
  <headerFooter alignWithMargins="0"/>
  <colBreaks count="1" manualBreakCount="1">
    <brk id="1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sheetPr>
  <dimension ref="A1:O234"/>
  <sheetViews>
    <sheetView workbookViewId="0">
      <selection activeCell="L15" sqref="L15"/>
    </sheetView>
  </sheetViews>
  <sheetFormatPr defaultColWidth="9" defaultRowHeight="13.5"/>
  <cols>
    <col min="1" max="1" width="3.125" style="201" customWidth="1"/>
    <col min="2" max="2" width="5.5" style="201" customWidth="1"/>
    <col min="3" max="3" width="17.75" style="824" customWidth="1"/>
    <col min="4" max="4" width="3.25" style="825" customWidth="1"/>
    <col min="5" max="5" width="9.875" style="826" customWidth="1"/>
    <col min="6" max="6" width="10.75" style="826" customWidth="1"/>
    <col min="7" max="7" width="3.75" style="825" customWidth="1"/>
    <col min="8" max="8" width="9.75" style="826" customWidth="1"/>
    <col min="9" max="9" width="10.5" style="826" customWidth="1"/>
    <col min="10" max="10" width="11.125" style="821" customWidth="1"/>
    <col min="11" max="11" width="7.875" style="826" customWidth="1"/>
    <col min="12" max="12" width="9.75" style="826" customWidth="1"/>
    <col min="13" max="13" width="1" style="826" customWidth="1"/>
    <col min="14" max="14" width="6" style="827" customWidth="1"/>
    <col min="15" max="15" width="22.375" style="828" bestFit="1" customWidth="1"/>
    <col min="16" max="16384" width="9" style="826"/>
  </cols>
  <sheetData>
    <row r="1" spans="1:15" s="20" customFormat="1" ht="19.5" customHeight="1">
      <c r="A1" s="128" t="str">
        <f>IF((L2-(母公司TB资产!G60+母公司TB负债!G63+母公司TB损益!G90)-IF(COUNTIF(E5:E666,"未分配利润")&gt;=1,VLOOKUP("未分配利润",E5:J666,6,0),0))&lt;0.005,"母公司报表调整事项汇总表","调整事项未全部链入试算平衡表，请检查调整科目是否为报表项目!")</f>
        <v>母公司报表调整事项汇总表</v>
      </c>
      <c r="B1" s="18"/>
      <c r="C1" s="147"/>
      <c r="D1" s="19"/>
      <c r="E1" s="19"/>
      <c r="F1" s="19"/>
      <c r="G1" s="19"/>
      <c r="H1" s="19"/>
      <c r="I1" s="19"/>
      <c r="J1" s="143"/>
      <c r="K1" s="564">
        <f>SUM(L2:L3)</f>
        <v>0</v>
      </c>
      <c r="L1" s="564"/>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日期：2019.12.31</v>
      </c>
      <c r="J2" s="144" t="s">
        <v>282</v>
      </c>
      <c r="K2" s="565" t="s">
        <v>283</v>
      </c>
      <c r="L2" s="566">
        <f>SUMIF(E5:E65536,"?*",J5:J65536)</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5" t="s">
        <v>285</v>
      </c>
      <c r="L3" s="566">
        <f>SUMIF(H5:H65536,"?*",J5:J65536)</f>
        <v>0</v>
      </c>
      <c r="N3" s="82">
        <f>母公司汇总抵销!N3</f>
        <v>0</v>
      </c>
      <c r="O3" s="83">
        <f>母公司汇总抵销!O3</f>
        <v>0</v>
      </c>
    </row>
    <row r="4" spans="1:15" s="23" customFormat="1">
      <c r="A4" s="569" t="s">
        <v>311</v>
      </c>
      <c r="B4" s="124" t="s">
        <v>286</v>
      </c>
      <c r="C4" s="149" t="s">
        <v>287</v>
      </c>
      <c r="D4" s="126" t="s">
        <v>256</v>
      </c>
      <c r="E4" s="125" t="s">
        <v>288</v>
      </c>
      <c r="F4" s="127" t="s">
        <v>289</v>
      </c>
      <c r="G4" s="126" t="s">
        <v>256</v>
      </c>
      <c r="H4" s="125" t="s">
        <v>290</v>
      </c>
      <c r="I4" s="127" t="s">
        <v>289</v>
      </c>
      <c r="J4" s="145" t="s">
        <v>262</v>
      </c>
      <c r="K4" s="567"/>
      <c r="L4" s="568">
        <f>L2-L3</f>
        <v>0</v>
      </c>
      <c r="N4" s="82">
        <f>母公司汇总抵销!N4</f>
        <v>0</v>
      </c>
      <c r="O4" s="83">
        <f>母公司汇总抵销!O4</f>
        <v>0</v>
      </c>
    </row>
    <row r="5" spans="1:15" s="23" customFormat="1">
      <c r="A5" s="1159">
        <v>1</v>
      </c>
      <c r="B5" s="1162"/>
      <c r="C5" s="1165"/>
      <c r="D5" s="17"/>
      <c r="E5" s="26" t="str">
        <f>IF(D5=0,"",VLOOKUP(D5,$N:$O,2,0))</f>
        <v/>
      </c>
      <c r="F5" s="811"/>
      <c r="G5" s="25"/>
      <c r="H5" s="26" t="str">
        <f>IF(G5=0,"",VLOOKUP(G5,$N:$O,2,0))</f>
        <v/>
      </c>
      <c r="I5" s="313"/>
      <c r="J5" s="142"/>
      <c r="K5" s="171" t="s">
        <v>362</v>
      </c>
      <c r="N5" s="82">
        <f>母公司汇总抵销!N5</f>
        <v>0</v>
      </c>
      <c r="O5" s="71" t="str">
        <f>母公司汇总抵销!O5</f>
        <v>流动资产：</v>
      </c>
    </row>
    <row r="6" spans="1:15" s="23" customFormat="1">
      <c r="A6" s="1160"/>
      <c r="B6" s="1163"/>
      <c r="C6" s="1166"/>
      <c r="D6" s="17"/>
      <c r="E6" s="26" t="str">
        <f>IF(D6=0,"",VLOOKUP(D6,$N:$O,2,0))</f>
        <v/>
      </c>
      <c r="F6" s="811"/>
      <c r="G6" s="27"/>
      <c r="H6" s="26" t="str">
        <f>IF(G6=0,"",VLOOKUP(G6,$N:$O,2,0))</f>
        <v/>
      </c>
      <c r="I6" s="868"/>
      <c r="J6" s="142"/>
      <c r="K6" s="171" t="s">
        <v>363</v>
      </c>
      <c r="N6" s="84" t="str">
        <f>母公司汇总抵销!N6</f>
        <v>D1</v>
      </c>
      <c r="O6" s="28" t="str">
        <f>母公司汇总抵销!O6</f>
        <v>货币资金</v>
      </c>
    </row>
    <row r="7" spans="1:15" s="23" customFormat="1">
      <c r="A7" s="1160"/>
      <c r="B7" s="1163"/>
      <c r="C7" s="1166"/>
      <c r="D7" s="17"/>
      <c r="E7" s="26" t="str">
        <f>IF(D7=0,"",VLOOKUP(D7,$N:$O,2,0))</f>
        <v/>
      </c>
      <c r="F7" s="811"/>
      <c r="G7" s="27"/>
      <c r="H7" s="26"/>
      <c r="I7" s="811"/>
      <c r="J7" s="142"/>
      <c r="N7" s="84" t="str">
        <f>母公司汇总抵销!N7</f>
        <v>D41</v>
      </c>
      <c r="O7" s="28" t="str">
        <f>母公司汇总抵销!O7</f>
        <v>结算备付金</v>
      </c>
    </row>
    <row r="8" spans="1:15" s="23" customFormat="1">
      <c r="A8" s="1160"/>
      <c r="B8" s="1163"/>
      <c r="C8" s="1166"/>
      <c r="D8" s="17"/>
      <c r="E8" s="26"/>
      <c r="F8" s="313"/>
      <c r="G8" s="27"/>
      <c r="H8" s="26" t="str">
        <f>IF(G8=0,"",VLOOKUP(G8,$N:$O,2,0))</f>
        <v/>
      </c>
      <c r="I8" s="811"/>
      <c r="J8" s="142"/>
      <c r="N8" s="84" t="str">
        <f>母公司汇总抵销!N8</f>
        <v>D42</v>
      </c>
      <c r="O8" s="28" t="str">
        <f>母公司汇总抵销!O8</f>
        <v>拆出资金</v>
      </c>
    </row>
    <row r="9" spans="1:15" s="23" customFormat="1">
      <c r="A9" s="1160"/>
      <c r="B9" s="1163"/>
      <c r="C9" s="1166"/>
      <c r="D9" s="17"/>
      <c r="E9" s="26" t="str">
        <f>IF(D9=0,"",VLOOKUP(D9,$N:$O,2,0))</f>
        <v/>
      </c>
      <c r="F9" s="313"/>
      <c r="G9" s="27"/>
      <c r="H9" s="26" t="str">
        <f>IF(G9=0,"",VLOOKUP(G9,$N:$O,2,0))</f>
        <v/>
      </c>
      <c r="I9" s="313"/>
      <c r="J9" s="142"/>
      <c r="K9" s="24"/>
      <c r="N9" s="84" t="str">
        <f>母公司汇总抵销!N9</f>
        <v>D2</v>
      </c>
      <c r="O9" s="28" t="str">
        <f>母公司汇总抵销!O9</f>
        <v>交易性金融资产</v>
      </c>
    </row>
    <row r="10" spans="1:15" s="23" customFormat="1">
      <c r="A10" s="1161"/>
      <c r="B10" s="1164"/>
      <c r="C10" s="1167"/>
      <c r="D10" s="17"/>
      <c r="E10" s="26" t="str">
        <f>IF(D10=0,"",VLOOKUP(D10,$N:$O,2,0))</f>
        <v/>
      </c>
      <c r="F10" s="313"/>
      <c r="G10" s="27"/>
      <c r="H10" s="26" t="str">
        <f>IF(G10=0,"",VLOOKUP(G10,$N:$O,2,0))</f>
        <v/>
      </c>
      <c r="I10" s="313"/>
      <c r="J10" s="142"/>
      <c r="K10" s="24"/>
      <c r="N10" s="84" t="str">
        <f>母公司汇总抵销!N10</f>
        <v>D3</v>
      </c>
      <c r="O10" s="28" t="str">
        <f>母公司汇总抵销!O10</f>
        <v>以公允价值计量且其变动计入当期损益的金融资产</v>
      </c>
    </row>
    <row r="11" spans="1:15" s="23" customFormat="1">
      <c r="A11" s="448"/>
      <c r="B11" s="448"/>
      <c r="C11" s="449"/>
      <c r="D11" s="450"/>
      <c r="E11" s="451"/>
      <c r="F11" s="451"/>
      <c r="G11" s="450"/>
      <c r="H11" s="451"/>
      <c r="I11" s="451"/>
      <c r="J11" s="452" t="str">
        <f>IF(ABS((SUMIF(E5:E10,"?*",J5:J10)-SUMIF(H5:H10,"?*",J5:J10)))&lt;0.005,"","借贷不等")</f>
        <v/>
      </c>
      <c r="N11" s="84" t="str">
        <f>母公司汇总抵销!N11</f>
        <v>D4</v>
      </c>
      <c r="O11" s="28" t="str">
        <f>母公司汇总抵销!O11</f>
        <v>衍生金融资产</v>
      </c>
    </row>
    <row r="12" spans="1:15" s="23" customFormat="1">
      <c r="A12" s="1159">
        <v>2</v>
      </c>
      <c r="B12" s="1162"/>
      <c r="C12" s="1165"/>
      <c r="D12" s="17"/>
      <c r="E12" s="26" t="str">
        <f t="shared" ref="E12:E17" si="0">IF(D12=0,"",VLOOKUP(D12,$N:$O,2,0))</f>
        <v/>
      </c>
      <c r="F12" s="313"/>
      <c r="G12" s="27"/>
      <c r="H12" s="26" t="str">
        <f t="shared" ref="H12:H17" si="1">IF(G12=0,"",VLOOKUP(G12,$N:$O,2,0))</f>
        <v/>
      </c>
      <c r="I12" s="313"/>
      <c r="J12" s="142"/>
      <c r="N12" s="84" t="str">
        <f>母公司汇总抵销!N12</f>
        <v>D5</v>
      </c>
      <c r="O12" s="28" t="str">
        <f>母公司汇总抵销!O12</f>
        <v>应收票据</v>
      </c>
    </row>
    <row r="13" spans="1:15" s="23" customFormat="1">
      <c r="A13" s="1160"/>
      <c r="B13" s="1163"/>
      <c r="C13" s="1166"/>
      <c r="D13" s="17"/>
      <c r="E13" s="26" t="str">
        <f t="shared" si="0"/>
        <v/>
      </c>
      <c r="F13" s="313"/>
      <c r="G13" s="27"/>
      <c r="H13" s="26" t="str">
        <f t="shared" si="1"/>
        <v/>
      </c>
      <c r="I13" s="313"/>
      <c r="J13" s="142"/>
      <c r="N13" s="84" t="str">
        <f>母公司汇总抵销!N13</f>
        <v>D6</v>
      </c>
      <c r="O13" s="28" t="str">
        <f>母公司汇总抵销!O13</f>
        <v>应收账款</v>
      </c>
    </row>
    <row r="14" spans="1:15" s="23" customFormat="1">
      <c r="A14" s="1160"/>
      <c r="B14" s="1163"/>
      <c r="C14" s="1166"/>
      <c r="D14" s="17"/>
      <c r="E14" s="26" t="str">
        <f t="shared" si="0"/>
        <v/>
      </c>
      <c r="F14" s="313"/>
      <c r="G14" s="27"/>
      <c r="H14" s="26" t="str">
        <f t="shared" si="1"/>
        <v/>
      </c>
      <c r="I14" s="313"/>
      <c r="J14" s="142"/>
      <c r="N14" s="84" t="str">
        <f>母公司汇总抵销!N14</f>
        <v>D7</v>
      </c>
      <c r="O14" s="28" t="str">
        <f>母公司汇总抵销!O14</f>
        <v>应收款项融资</v>
      </c>
    </row>
    <row r="15" spans="1:15" s="23" customFormat="1">
      <c r="A15" s="1160"/>
      <c r="B15" s="1163"/>
      <c r="C15" s="1166"/>
      <c r="D15" s="17"/>
      <c r="E15" s="26" t="str">
        <f t="shared" si="0"/>
        <v/>
      </c>
      <c r="F15" s="313"/>
      <c r="G15" s="27"/>
      <c r="H15" s="26" t="str">
        <f t="shared" si="1"/>
        <v/>
      </c>
      <c r="I15" s="313"/>
      <c r="J15" s="142"/>
      <c r="N15" s="84" t="str">
        <f>母公司汇总抵销!N15</f>
        <v>D8</v>
      </c>
      <c r="O15" s="28" t="str">
        <f>母公司汇总抵销!O15</f>
        <v>预付款项</v>
      </c>
    </row>
    <row r="16" spans="1:15" s="23" customFormat="1">
      <c r="A16" s="1160"/>
      <c r="B16" s="1163"/>
      <c r="C16" s="1166"/>
      <c r="D16" s="17"/>
      <c r="E16" s="26" t="str">
        <f t="shared" si="0"/>
        <v/>
      </c>
      <c r="F16" s="313"/>
      <c r="G16" s="27"/>
      <c r="H16" s="26" t="str">
        <f t="shared" si="1"/>
        <v/>
      </c>
      <c r="I16" s="313"/>
      <c r="J16" s="142"/>
      <c r="N16" s="84" t="str">
        <f>母公司汇总抵销!N16</f>
        <v>D43</v>
      </c>
      <c r="O16" s="28" t="str">
        <f>母公司汇总抵销!O16</f>
        <v>应收保费</v>
      </c>
    </row>
    <row r="17" spans="1:15" s="23" customFormat="1">
      <c r="A17" s="1161"/>
      <c r="B17" s="1164"/>
      <c r="C17" s="1167"/>
      <c r="D17" s="17"/>
      <c r="E17" s="26" t="str">
        <f t="shared" si="0"/>
        <v/>
      </c>
      <c r="F17" s="313"/>
      <c r="G17" s="27"/>
      <c r="H17" s="26" t="str">
        <f t="shared" si="1"/>
        <v/>
      </c>
      <c r="I17" s="313"/>
      <c r="J17" s="142"/>
      <c r="N17" s="84" t="str">
        <f>母公司汇总抵销!N17</f>
        <v>D44</v>
      </c>
      <c r="O17" s="28" t="str">
        <f>母公司汇总抵销!O17</f>
        <v>应收分保账款</v>
      </c>
    </row>
    <row r="18" spans="1:15" s="23" customFormat="1">
      <c r="A18" s="453"/>
      <c r="B18" s="453"/>
      <c r="C18" s="454"/>
      <c r="D18" s="455"/>
      <c r="E18" s="456"/>
      <c r="F18" s="456"/>
      <c r="G18" s="455"/>
      <c r="H18" s="456"/>
      <c r="I18" s="456"/>
      <c r="J18" s="457" t="str">
        <f>IF(ABS((SUMIF(E12:E17,"?*",J12:J17)-SUMIF(H12:H17,"?*",J12:J17)))&lt;0.005,"","借贷不等")</f>
        <v/>
      </c>
      <c r="N18" s="84" t="str">
        <f>母公司汇总抵销!N18</f>
        <v>D45</v>
      </c>
      <c r="O18" s="28" t="str">
        <f>母公司汇总抵销!O18</f>
        <v>应收分保准备金</v>
      </c>
    </row>
    <row r="19" spans="1:15" s="23" customFormat="1">
      <c r="A19" s="1159">
        <v>3</v>
      </c>
      <c r="B19" s="1162"/>
      <c r="C19" s="1165"/>
      <c r="D19" s="17"/>
      <c r="E19" s="26" t="str">
        <f t="shared" ref="E19:E24" si="2">IF(D19=0,"",VLOOKUP(D19,$N:$O,2,0))</f>
        <v/>
      </c>
      <c r="F19" s="313"/>
      <c r="G19" s="27"/>
      <c r="H19" s="26" t="str">
        <f t="shared" ref="H19:H24" si="3">IF(G19=0,"",VLOOKUP(G19,$N:$O,2,0))</f>
        <v/>
      </c>
      <c r="I19" s="313"/>
      <c r="J19" s="142"/>
      <c r="N19" s="84" t="str">
        <f>母公司汇总抵销!N19</f>
        <v>D9</v>
      </c>
      <c r="O19" s="28" t="str">
        <f>母公司汇总抵销!O19</f>
        <v>其他应收款</v>
      </c>
    </row>
    <row r="20" spans="1:15" s="23" customFormat="1">
      <c r="A20" s="1160"/>
      <c r="B20" s="1163"/>
      <c r="C20" s="1166"/>
      <c r="D20" s="17"/>
      <c r="E20" s="26" t="str">
        <f t="shared" si="2"/>
        <v/>
      </c>
      <c r="F20" s="313"/>
      <c r="G20" s="27"/>
      <c r="H20" s="26" t="str">
        <f t="shared" si="3"/>
        <v/>
      </c>
      <c r="I20" s="313"/>
      <c r="J20" s="142"/>
      <c r="N20" s="84">
        <f>母公司汇总抵销!N20</f>
        <v>0</v>
      </c>
      <c r="O20" s="28" t="str">
        <f>母公司汇总抵销!O20</f>
        <v>应收利息</v>
      </c>
    </row>
    <row r="21" spans="1:15" s="23" customFormat="1">
      <c r="A21" s="1160"/>
      <c r="B21" s="1163"/>
      <c r="C21" s="1166"/>
      <c r="D21" s="17"/>
      <c r="E21" s="26" t="str">
        <f t="shared" si="2"/>
        <v/>
      </c>
      <c r="F21" s="313"/>
      <c r="G21" s="27"/>
      <c r="H21" s="26" t="str">
        <f t="shared" si="3"/>
        <v/>
      </c>
      <c r="I21" s="313"/>
      <c r="J21" s="142"/>
      <c r="N21" s="84">
        <f>母公司汇总抵销!N21</f>
        <v>0</v>
      </c>
      <c r="O21" s="28" t="str">
        <f>母公司汇总抵销!O21</f>
        <v>应收股利</v>
      </c>
    </row>
    <row r="22" spans="1:15" s="23" customFormat="1">
      <c r="A22" s="1160"/>
      <c r="B22" s="1163"/>
      <c r="C22" s="1166"/>
      <c r="D22" s="17"/>
      <c r="E22" s="26" t="str">
        <f t="shared" si="2"/>
        <v/>
      </c>
      <c r="F22" s="313"/>
      <c r="G22" s="27"/>
      <c r="H22" s="26" t="str">
        <f t="shared" si="3"/>
        <v/>
      </c>
      <c r="I22" s="313"/>
      <c r="J22" s="142"/>
      <c r="N22" s="84" t="str">
        <f>母公司汇总抵销!N22</f>
        <v>D46</v>
      </c>
      <c r="O22" s="28" t="str">
        <f>母公司汇总抵销!O22</f>
        <v>买入返售金融资产</v>
      </c>
    </row>
    <row r="23" spans="1:15" s="23" customFormat="1">
      <c r="A23" s="1160"/>
      <c r="B23" s="1163"/>
      <c r="C23" s="1166"/>
      <c r="D23" s="17"/>
      <c r="E23" s="26" t="str">
        <f t="shared" si="2"/>
        <v/>
      </c>
      <c r="F23" s="313"/>
      <c r="G23" s="27"/>
      <c r="H23" s="26" t="str">
        <f t="shared" si="3"/>
        <v/>
      </c>
      <c r="I23" s="313"/>
      <c r="J23" s="142"/>
      <c r="N23" s="84" t="str">
        <f>母公司汇总抵销!N23</f>
        <v>D10</v>
      </c>
      <c r="O23" s="28" t="str">
        <f>母公司汇总抵销!O23</f>
        <v>存货</v>
      </c>
    </row>
    <row r="24" spans="1:15" s="23" customFormat="1">
      <c r="A24" s="1161"/>
      <c r="B24" s="1164"/>
      <c r="C24" s="1167"/>
      <c r="D24" s="17"/>
      <c r="E24" s="26" t="str">
        <f t="shared" si="2"/>
        <v/>
      </c>
      <c r="F24" s="313"/>
      <c r="G24" s="27"/>
      <c r="H24" s="26" t="str">
        <f t="shared" si="3"/>
        <v/>
      </c>
      <c r="I24" s="313"/>
      <c r="J24" s="142"/>
      <c r="N24" s="84" t="str">
        <f>母公司汇总抵销!N24</f>
        <v>D11</v>
      </c>
      <c r="O24" s="28" t="str">
        <f>母公司汇总抵销!O24</f>
        <v>合同资产</v>
      </c>
    </row>
    <row r="25" spans="1:15" s="23" customFormat="1">
      <c r="A25" s="453"/>
      <c r="B25" s="453"/>
      <c r="C25" s="454"/>
      <c r="D25" s="455"/>
      <c r="E25" s="456"/>
      <c r="F25" s="456"/>
      <c r="G25" s="455"/>
      <c r="H25" s="456"/>
      <c r="I25" s="456"/>
      <c r="J25" s="457" t="str">
        <f>IF(ABS((SUMIF(E19:E24,"?*",J19:J24)-SUMIF(H19:H24,"?*",J19:J24)))&lt;0.005,"","借贷不等")</f>
        <v/>
      </c>
      <c r="N25" s="84" t="str">
        <f>母公司汇总抵销!N25</f>
        <v>D12</v>
      </c>
      <c r="O25" s="28" t="str">
        <f>母公司汇总抵销!O25</f>
        <v>持有待售资产</v>
      </c>
    </row>
    <row r="26" spans="1:15" s="23" customFormat="1">
      <c r="A26" s="1159">
        <v>4</v>
      </c>
      <c r="B26" s="1162"/>
      <c r="C26" s="1165"/>
      <c r="D26" s="17"/>
      <c r="E26" s="26" t="str">
        <f t="shared" ref="E26:E31" si="4">IF(D26=0,"",VLOOKUP(D26,$N:$O,2,0))</f>
        <v/>
      </c>
      <c r="F26" s="313"/>
      <c r="G26" s="27"/>
      <c r="H26" s="26" t="str">
        <f t="shared" ref="H26:H31" si="5">IF(G26=0,"",VLOOKUP(G26,$N:$O,2,0))</f>
        <v/>
      </c>
      <c r="I26" s="313"/>
      <c r="J26" s="142"/>
      <c r="N26" s="84" t="str">
        <f>母公司汇总抵销!N26</f>
        <v>D13</v>
      </c>
      <c r="O26" s="28" t="str">
        <f>母公司汇总抵销!O26</f>
        <v>一年内到期的非流动资产</v>
      </c>
    </row>
    <row r="27" spans="1:15" s="23" customFormat="1">
      <c r="A27" s="1160"/>
      <c r="B27" s="1163"/>
      <c r="C27" s="1166"/>
      <c r="D27" s="17"/>
      <c r="E27" s="26" t="str">
        <f t="shared" si="4"/>
        <v/>
      </c>
      <c r="F27" s="313"/>
      <c r="G27" s="27"/>
      <c r="H27" s="26" t="str">
        <f t="shared" si="5"/>
        <v/>
      </c>
      <c r="I27" s="313"/>
      <c r="J27" s="142"/>
      <c r="N27" s="84" t="str">
        <f>母公司汇总抵销!N27</f>
        <v>D14</v>
      </c>
      <c r="O27" s="28" t="str">
        <f>母公司汇总抵销!O27</f>
        <v>其他流动资产</v>
      </c>
    </row>
    <row r="28" spans="1:15" s="23" customFormat="1">
      <c r="A28" s="1160"/>
      <c r="B28" s="1163"/>
      <c r="C28" s="1166"/>
      <c r="D28" s="17"/>
      <c r="E28" s="26" t="str">
        <f t="shared" si="4"/>
        <v/>
      </c>
      <c r="F28" s="313"/>
      <c r="G28" s="27"/>
      <c r="H28" s="26" t="str">
        <f t="shared" si="5"/>
        <v/>
      </c>
      <c r="I28" s="313"/>
      <c r="J28" s="142"/>
      <c r="N28" s="84" t="str">
        <f>母公司汇总抵销!N28</f>
        <v>D15</v>
      </c>
      <c r="O28" s="28" t="str">
        <f>母公司汇总抵销!O28</f>
        <v>0</v>
      </c>
    </row>
    <row r="29" spans="1:15" s="23" customFormat="1">
      <c r="A29" s="1160"/>
      <c r="B29" s="1163"/>
      <c r="C29" s="1166"/>
      <c r="D29" s="17"/>
      <c r="E29" s="26" t="str">
        <f t="shared" si="4"/>
        <v/>
      </c>
      <c r="F29" s="313"/>
      <c r="G29" s="27"/>
      <c r="H29" s="26" t="str">
        <f t="shared" si="5"/>
        <v/>
      </c>
      <c r="I29" s="313"/>
      <c r="J29" s="142"/>
      <c r="N29" s="84" t="str">
        <f>母公司汇总抵销!N29</f>
        <v>D16</v>
      </c>
      <c r="O29" s="28" t="str">
        <f>母公司汇总抵销!O29</f>
        <v>0</v>
      </c>
    </row>
    <row r="30" spans="1:15" s="23" customFormat="1">
      <c r="A30" s="1160"/>
      <c r="B30" s="1163"/>
      <c r="C30" s="1166"/>
      <c r="D30" s="17"/>
      <c r="E30" s="26" t="str">
        <f t="shared" si="4"/>
        <v/>
      </c>
      <c r="F30" s="313"/>
      <c r="G30" s="27"/>
      <c r="H30" s="26" t="str">
        <f t="shared" si="5"/>
        <v/>
      </c>
      <c r="I30" s="313"/>
      <c r="J30" s="142"/>
      <c r="N30" s="84">
        <f>母公司汇总抵销!N30</f>
        <v>0</v>
      </c>
      <c r="O30" s="859" t="str">
        <f>母公司汇总抵销!O30</f>
        <v>流动资产合计</v>
      </c>
    </row>
    <row r="31" spans="1:15" s="23" customFormat="1">
      <c r="A31" s="1161"/>
      <c r="B31" s="1164"/>
      <c r="C31" s="1167"/>
      <c r="D31" s="17"/>
      <c r="E31" s="26" t="str">
        <f t="shared" si="4"/>
        <v/>
      </c>
      <c r="F31" s="313"/>
      <c r="G31" s="27"/>
      <c r="H31" s="26" t="str">
        <f t="shared" si="5"/>
        <v/>
      </c>
      <c r="I31" s="313"/>
      <c r="J31" s="142"/>
      <c r="N31" s="84">
        <f>母公司汇总抵销!N31</f>
        <v>0</v>
      </c>
      <c r="O31" s="859" t="str">
        <f>母公司汇总抵销!O31</f>
        <v>非流动资产:</v>
      </c>
    </row>
    <row r="32" spans="1:15" s="23" customFormat="1">
      <c r="A32" s="453"/>
      <c r="B32" s="453"/>
      <c r="C32" s="454"/>
      <c r="D32" s="455"/>
      <c r="E32" s="456"/>
      <c r="F32" s="456"/>
      <c r="G32" s="455"/>
      <c r="H32" s="456"/>
      <c r="I32" s="456"/>
      <c r="J32" s="457" t="str">
        <f>IF(ABS((SUMIF(E26:E31,"?*",J26:J31)-SUMIF(H26:H31,"?*",J26:J31)))&lt;0.005,"","借贷不等")</f>
        <v/>
      </c>
      <c r="N32" s="84" t="str">
        <f>母公司汇总抵销!N32</f>
        <v>D47</v>
      </c>
      <c r="O32" s="28" t="str">
        <f>母公司汇总抵销!O32</f>
        <v>发放贷款及垫款</v>
      </c>
    </row>
    <row r="33" spans="1:15" s="23" customFormat="1">
      <c r="A33" s="1159">
        <v>5</v>
      </c>
      <c r="B33" s="1162"/>
      <c r="C33" s="1165"/>
      <c r="D33" s="17"/>
      <c r="E33" s="26" t="str">
        <f t="shared" ref="E33:E38" si="6">IF(D33=0,"",VLOOKUP(D33,$N:$O,2,0))</f>
        <v/>
      </c>
      <c r="F33" s="313"/>
      <c r="G33" s="27"/>
      <c r="H33" s="26" t="str">
        <f t="shared" ref="H33:H38" si="7">IF(G33=0,"",VLOOKUP(G33,$N:$O,2,0))</f>
        <v/>
      </c>
      <c r="I33" s="313"/>
      <c r="J33" s="142"/>
      <c r="N33" s="84" t="str">
        <f>母公司汇总抵销!N33</f>
        <v>D17</v>
      </c>
      <c r="O33" s="28" t="str">
        <f>母公司汇总抵销!O33</f>
        <v>债权投资</v>
      </c>
    </row>
    <row r="34" spans="1:15" s="23" customFormat="1">
      <c r="A34" s="1160"/>
      <c r="B34" s="1163"/>
      <c r="C34" s="1166"/>
      <c r="D34" s="17"/>
      <c r="E34" s="26" t="str">
        <f t="shared" si="6"/>
        <v/>
      </c>
      <c r="F34" s="313"/>
      <c r="G34" s="27"/>
      <c r="H34" s="26" t="str">
        <f t="shared" si="7"/>
        <v/>
      </c>
      <c r="I34" s="313"/>
      <c r="J34" s="142"/>
      <c r="N34" s="84" t="str">
        <f>母公司汇总抵销!N34</f>
        <v>D18</v>
      </c>
      <c r="O34" s="28" t="str">
        <f>母公司汇总抵销!O34</f>
        <v>可供出售金融资产</v>
      </c>
    </row>
    <row r="35" spans="1:15" s="23" customFormat="1">
      <c r="A35" s="1160"/>
      <c r="B35" s="1163"/>
      <c r="C35" s="1166"/>
      <c r="D35" s="17"/>
      <c r="E35" s="26" t="str">
        <f t="shared" si="6"/>
        <v/>
      </c>
      <c r="F35" s="313"/>
      <c r="G35" s="27"/>
      <c r="H35" s="26" t="str">
        <f t="shared" si="7"/>
        <v/>
      </c>
      <c r="I35" s="313"/>
      <c r="J35" s="142"/>
      <c r="N35" s="84" t="str">
        <f>母公司汇总抵销!N35</f>
        <v>D19</v>
      </c>
      <c r="O35" s="28" t="str">
        <f>母公司汇总抵销!O35</f>
        <v>其他债权投资</v>
      </c>
    </row>
    <row r="36" spans="1:15" s="23" customFormat="1">
      <c r="A36" s="1160"/>
      <c r="B36" s="1163"/>
      <c r="C36" s="1166"/>
      <c r="D36" s="17"/>
      <c r="E36" s="26" t="str">
        <f t="shared" si="6"/>
        <v/>
      </c>
      <c r="F36" s="313"/>
      <c r="G36" s="27"/>
      <c r="H36" s="26" t="str">
        <f t="shared" si="7"/>
        <v/>
      </c>
      <c r="I36" s="313"/>
      <c r="J36" s="142"/>
      <c r="N36" s="84" t="str">
        <f>母公司汇总抵销!N36</f>
        <v>D20</v>
      </c>
      <c r="O36" s="28" t="str">
        <f>母公司汇总抵销!O36</f>
        <v>持有至到期投资</v>
      </c>
    </row>
    <row r="37" spans="1:15" s="23" customFormat="1">
      <c r="A37" s="1160"/>
      <c r="B37" s="1163"/>
      <c r="C37" s="1166"/>
      <c r="D37" s="17"/>
      <c r="E37" s="26" t="str">
        <f t="shared" si="6"/>
        <v/>
      </c>
      <c r="F37" s="313"/>
      <c r="G37" s="27"/>
      <c r="H37" s="26" t="str">
        <f t="shared" si="7"/>
        <v/>
      </c>
      <c r="I37" s="313"/>
      <c r="J37" s="142"/>
      <c r="N37" s="84" t="str">
        <f>母公司汇总抵销!N37</f>
        <v>D21</v>
      </c>
      <c r="O37" s="28" t="str">
        <f>母公司汇总抵销!O37</f>
        <v>长期应收款</v>
      </c>
    </row>
    <row r="38" spans="1:15" s="23" customFormat="1">
      <c r="A38" s="1161"/>
      <c r="B38" s="1164"/>
      <c r="C38" s="1167"/>
      <c r="D38" s="17"/>
      <c r="E38" s="26" t="str">
        <f t="shared" si="6"/>
        <v/>
      </c>
      <c r="F38" s="313"/>
      <c r="G38" s="27"/>
      <c r="H38" s="26" t="str">
        <f t="shared" si="7"/>
        <v/>
      </c>
      <c r="I38" s="313"/>
      <c r="J38" s="142"/>
      <c r="N38" s="84" t="str">
        <f>母公司汇总抵销!N38</f>
        <v>D22</v>
      </c>
      <c r="O38" s="28" t="str">
        <f>母公司汇总抵销!O38</f>
        <v>设定受益计划净资产</v>
      </c>
    </row>
    <row r="39" spans="1:15" s="23" customFormat="1">
      <c r="A39" s="453"/>
      <c r="B39" s="453"/>
      <c r="C39" s="454"/>
      <c r="D39" s="455"/>
      <c r="E39" s="456"/>
      <c r="F39" s="456"/>
      <c r="G39" s="455"/>
      <c r="H39" s="456"/>
      <c r="I39" s="456"/>
      <c r="J39" s="457" t="str">
        <f>IF(ABS((SUMIF(E33:E38,"?*",J33:J38)-SUMIF(H33:H38,"?*",J33:J38)))&lt;0.005,"","借贷不等")</f>
        <v/>
      </c>
      <c r="N39" s="84" t="str">
        <f>母公司汇总抵销!N39</f>
        <v>D23</v>
      </c>
      <c r="O39" s="28" t="str">
        <f>母公司汇总抵销!O39</f>
        <v>长期股权投资</v>
      </c>
    </row>
    <row r="40" spans="1:15" s="23" customFormat="1">
      <c r="A40" s="1159">
        <v>6</v>
      </c>
      <c r="B40" s="1162"/>
      <c r="C40" s="1165"/>
      <c r="D40" s="17"/>
      <c r="E40" s="26" t="str">
        <f t="shared" ref="E40:E45" si="8">IF(D40=0,"",VLOOKUP(D40,$N:$O,2,0))</f>
        <v/>
      </c>
      <c r="F40" s="313"/>
      <c r="G40" s="27"/>
      <c r="H40" s="26" t="str">
        <f t="shared" ref="H40:H45" si="9">IF(G40=0,"",VLOOKUP(G40,$N:$O,2,0))</f>
        <v/>
      </c>
      <c r="I40" s="313"/>
      <c r="J40" s="142"/>
      <c r="N40" s="84" t="str">
        <f>母公司汇总抵销!N40</f>
        <v>D24</v>
      </c>
      <c r="O40" s="28" t="str">
        <f>母公司汇总抵销!O40</f>
        <v>其他权益工具投资</v>
      </c>
    </row>
    <row r="41" spans="1:15" s="23" customFormat="1">
      <c r="A41" s="1160"/>
      <c r="B41" s="1163"/>
      <c r="C41" s="1166"/>
      <c r="D41" s="17"/>
      <c r="E41" s="26" t="str">
        <f t="shared" si="8"/>
        <v/>
      </c>
      <c r="F41" s="313"/>
      <c r="G41" s="27"/>
      <c r="H41" s="26" t="str">
        <f t="shared" si="9"/>
        <v/>
      </c>
      <c r="I41" s="313"/>
      <c r="J41" s="142"/>
      <c r="N41" s="84" t="str">
        <f>母公司汇总抵销!N41</f>
        <v>D25</v>
      </c>
      <c r="O41" s="28" t="str">
        <f>母公司汇总抵销!O41</f>
        <v>其他非流动金融资产</v>
      </c>
    </row>
    <row r="42" spans="1:15" s="23" customFormat="1">
      <c r="A42" s="1160"/>
      <c r="B42" s="1163"/>
      <c r="C42" s="1166"/>
      <c r="D42" s="17"/>
      <c r="E42" s="26" t="str">
        <f t="shared" si="8"/>
        <v/>
      </c>
      <c r="F42" s="313"/>
      <c r="G42" s="27"/>
      <c r="H42" s="26" t="str">
        <f t="shared" si="9"/>
        <v/>
      </c>
      <c r="I42" s="313"/>
      <c r="J42" s="142"/>
      <c r="N42" s="84" t="str">
        <f>母公司汇总抵销!N42</f>
        <v>D26</v>
      </c>
      <c r="O42" s="28" t="str">
        <f>母公司汇总抵销!O42</f>
        <v>投资性房地产</v>
      </c>
    </row>
    <row r="43" spans="1:15" s="23" customFormat="1">
      <c r="A43" s="1160"/>
      <c r="B43" s="1163"/>
      <c r="C43" s="1166"/>
      <c r="D43" s="17"/>
      <c r="E43" s="26" t="str">
        <f t="shared" si="8"/>
        <v/>
      </c>
      <c r="F43" s="313"/>
      <c r="G43" s="27"/>
      <c r="H43" s="26" t="str">
        <f t="shared" si="9"/>
        <v/>
      </c>
      <c r="I43" s="313"/>
      <c r="J43" s="142"/>
      <c r="N43" s="84" t="str">
        <f>母公司汇总抵销!N43</f>
        <v>D27</v>
      </c>
      <c r="O43" s="28" t="str">
        <f>母公司汇总抵销!O43</f>
        <v>固定资产</v>
      </c>
    </row>
    <row r="44" spans="1:15" s="23" customFormat="1">
      <c r="A44" s="1160"/>
      <c r="B44" s="1163"/>
      <c r="C44" s="1166"/>
      <c r="D44" s="17"/>
      <c r="E44" s="26" t="str">
        <f t="shared" si="8"/>
        <v/>
      </c>
      <c r="F44" s="313"/>
      <c r="G44" s="27"/>
      <c r="H44" s="26" t="str">
        <f t="shared" si="9"/>
        <v/>
      </c>
      <c r="I44" s="313"/>
      <c r="J44" s="142"/>
      <c r="N44" s="84" t="str">
        <f>母公司汇总抵销!N44</f>
        <v>D28</v>
      </c>
      <c r="O44" s="28" t="str">
        <f>母公司汇总抵销!O44</f>
        <v>在建工程</v>
      </c>
    </row>
    <row r="45" spans="1:15" s="23" customFormat="1">
      <c r="A45" s="1161"/>
      <c r="B45" s="1164"/>
      <c r="C45" s="1167"/>
      <c r="D45" s="17"/>
      <c r="E45" s="26" t="str">
        <f t="shared" si="8"/>
        <v/>
      </c>
      <c r="F45" s="313"/>
      <c r="G45" s="27"/>
      <c r="H45" s="26" t="str">
        <f t="shared" si="9"/>
        <v/>
      </c>
      <c r="I45" s="313"/>
      <c r="J45" s="142"/>
      <c r="N45" s="84" t="str">
        <f>母公司汇总抵销!N45</f>
        <v>D29</v>
      </c>
      <c r="O45" s="28" t="str">
        <f>母公司汇总抵销!O45</f>
        <v>生产性生物资产</v>
      </c>
    </row>
    <row r="46" spans="1:15" s="23" customFormat="1">
      <c r="A46" s="453"/>
      <c r="B46" s="453"/>
      <c r="C46" s="454"/>
      <c r="D46" s="455"/>
      <c r="E46" s="456"/>
      <c r="F46" s="456"/>
      <c r="G46" s="455"/>
      <c r="H46" s="456"/>
      <c r="I46" s="456"/>
      <c r="J46" s="457" t="str">
        <f>IF(ABS((SUMIF(E40:E45,"?*",J40:J45)-SUMIF(H40:H45,"?*",J40:J45)))&lt;0.005,"","借贷不等")</f>
        <v/>
      </c>
      <c r="N46" s="84" t="str">
        <f>母公司汇总抵销!N46</f>
        <v>D30</v>
      </c>
      <c r="O46" s="28" t="str">
        <f>母公司汇总抵销!O46</f>
        <v>油气资产</v>
      </c>
    </row>
    <row r="47" spans="1:15" s="23" customFormat="1">
      <c r="A47" s="1159">
        <v>7</v>
      </c>
      <c r="B47" s="1162"/>
      <c r="C47" s="1165"/>
      <c r="D47" s="17"/>
      <c r="E47" s="26" t="str">
        <f t="shared" ref="E47:E52" si="10">IF(D47=0,"",VLOOKUP(D47,$N:$O,2,0))</f>
        <v/>
      </c>
      <c r="F47" s="313"/>
      <c r="G47" s="27"/>
      <c r="H47" s="26" t="str">
        <f t="shared" ref="H47:H52" si="11">IF(G47=0,"",VLOOKUP(G47,$N:$O,2,0))</f>
        <v/>
      </c>
      <c r="I47" s="313"/>
      <c r="J47" s="142"/>
      <c r="N47" s="84" t="str">
        <f>母公司汇总抵销!N47</f>
        <v>D31</v>
      </c>
      <c r="O47" s="28" t="str">
        <f>母公司汇总抵销!O47</f>
        <v>使用权资产</v>
      </c>
    </row>
    <row r="48" spans="1:15" s="23" customFormat="1">
      <c r="A48" s="1160"/>
      <c r="B48" s="1163"/>
      <c r="C48" s="1166"/>
      <c r="D48" s="17"/>
      <c r="E48" s="26" t="str">
        <f t="shared" si="10"/>
        <v/>
      </c>
      <c r="F48" s="313"/>
      <c r="G48" s="27"/>
      <c r="H48" s="26" t="str">
        <f t="shared" si="11"/>
        <v/>
      </c>
      <c r="I48" s="313"/>
      <c r="J48" s="142"/>
      <c r="N48" s="84" t="str">
        <f>母公司汇总抵销!N48</f>
        <v>D32</v>
      </c>
      <c r="O48" s="28" t="str">
        <f>母公司汇总抵销!O48</f>
        <v>无形资产</v>
      </c>
    </row>
    <row r="49" spans="1:15" s="23" customFormat="1">
      <c r="A49" s="1160"/>
      <c r="B49" s="1163"/>
      <c r="C49" s="1166"/>
      <c r="D49" s="17"/>
      <c r="E49" s="26" t="str">
        <f t="shared" si="10"/>
        <v/>
      </c>
      <c r="F49" s="313"/>
      <c r="G49" s="27"/>
      <c r="H49" s="26" t="str">
        <f t="shared" si="11"/>
        <v/>
      </c>
      <c r="I49" s="313"/>
      <c r="J49" s="142"/>
      <c r="N49" s="84" t="str">
        <f>母公司汇总抵销!N49</f>
        <v>D33</v>
      </c>
      <c r="O49" s="28" t="str">
        <f>母公司汇总抵销!O49</f>
        <v>开发支出</v>
      </c>
    </row>
    <row r="50" spans="1:15" s="23" customFormat="1">
      <c r="A50" s="1160"/>
      <c r="B50" s="1163"/>
      <c r="C50" s="1166"/>
      <c r="D50" s="17"/>
      <c r="E50" s="26" t="str">
        <f t="shared" si="10"/>
        <v/>
      </c>
      <c r="F50" s="313"/>
      <c r="G50" s="27"/>
      <c r="H50" s="26" t="str">
        <f t="shared" si="11"/>
        <v/>
      </c>
      <c r="I50" s="313"/>
      <c r="J50" s="142"/>
      <c r="N50" s="84" t="str">
        <f>母公司汇总抵销!N50</f>
        <v>D34</v>
      </c>
      <c r="O50" s="28" t="str">
        <f>母公司汇总抵销!O50</f>
        <v>商誉</v>
      </c>
    </row>
    <row r="51" spans="1:15" s="23" customFormat="1">
      <c r="A51" s="1160"/>
      <c r="B51" s="1163"/>
      <c r="C51" s="1166"/>
      <c r="D51" s="17"/>
      <c r="E51" s="26" t="str">
        <f t="shared" si="10"/>
        <v/>
      </c>
      <c r="F51" s="313"/>
      <c r="G51" s="27"/>
      <c r="H51" s="26" t="str">
        <f t="shared" si="11"/>
        <v/>
      </c>
      <c r="I51" s="313"/>
      <c r="J51" s="142"/>
      <c r="N51" s="84" t="str">
        <f>母公司汇总抵销!N51</f>
        <v>D35</v>
      </c>
      <c r="O51" s="28" t="str">
        <f>母公司汇总抵销!O51</f>
        <v>长期待摊费用</v>
      </c>
    </row>
    <row r="52" spans="1:15" s="23" customFormat="1">
      <c r="A52" s="1161"/>
      <c r="B52" s="1164"/>
      <c r="C52" s="1167"/>
      <c r="D52" s="17"/>
      <c r="E52" s="26" t="str">
        <f t="shared" si="10"/>
        <v/>
      </c>
      <c r="F52" s="313"/>
      <c r="G52" s="27"/>
      <c r="H52" s="26" t="str">
        <f t="shared" si="11"/>
        <v/>
      </c>
      <c r="I52" s="313"/>
      <c r="J52" s="142"/>
      <c r="N52" s="84" t="str">
        <f>母公司汇总抵销!N52</f>
        <v>D36</v>
      </c>
      <c r="O52" s="28" t="str">
        <f>母公司汇总抵销!O52</f>
        <v>递延所得税资产</v>
      </c>
    </row>
    <row r="53" spans="1:15" s="23" customFormat="1">
      <c r="A53" s="453"/>
      <c r="B53" s="453"/>
      <c r="C53" s="454"/>
      <c r="D53" s="455"/>
      <c r="E53" s="456"/>
      <c r="F53" s="456"/>
      <c r="G53" s="455"/>
      <c r="H53" s="456"/>
      <c r="I53" s="456"/>
      <c r="J53" s="457" t="str">
        <f>IF(ABS((SUMIF(E47:E52,"?*",J47:J52)-SUMIF(H47:H52,"?*",J47:J52)))&lt;0.005,"","借贷不等")</f>
        <v/>
      </c>
      <c r="N53" s="84" t="str">
        <f>母公司汇总抵销!N53</f>
        <v>D37</v>
      </c>
      <c r="O53" s="28" t="str">
        <f>母公司汇总抵销!O53</f>
        <v>其他非流动资产</v>
      </c>
    </row>
    <row r="54" spans="1:15" s="23" customFormat="1">
      <c r="A54" s="1159">
        <v>8</v>
      </c>
      <c r="B54" s="1162"/>
      <c r="C54" s="1165"/>
      <c r="D54" s="17"/>
      <c r="E54" s="26" t="str">
        <f t="shared" ref="E54:E59" si="12">IF(D54=0,"",VLOOKUP(D54,$N:$O,2,0))</f>
        <v/>
      </c>
      <c r="F54" s="313"/>
      <c r="G54" s="27"/>
      <c r="H54" s="26" t="str">
        <f t="shared" ref="H54:H59" si="13">IF(G54=0,"",VLOOKUP(G54,$N:$O,2,0))</f>
        <v/>
      </c>
      <c r="I54" s="313"/>
      <c r="J54" s="142"/>
      <c r="N54" s="84" t="str">
        <f>母公司汇总抵销!N54</f>
        <v>D38</v>
      </c>
      <c r="O54" s="28" t="str">
        <f>母公司汇总抵销!O54</f>
        <v>0</v>
      </c>
    </row>
    <row r="55" spans="1:15" s="23" customFormat="1">
      <c r="A55" s="1160"/>
      <c r="B55" s="1163"/>
      <c r="C55" s="1166"/>
      <c r="D55" s="17"/>
      <c r="E55" s="26" t="str">
        <f t="shared" si="12"/>
        <v/>
      </c>
      <c r="F55" s="313"/>
      <c r="G55" s="27"/>
      <c r="H55" s="26" t="str">
        <f t="shared" si="13"/>
        <v/>
      </c>
      <c r="I55" s="313"/>
      <c r="J55" s="142"/>
      <c r="N55" s="84" t="str">
        <f>母公司汇总抵销!N55</f>
        <v>D39</v>
      </c>
      <c r="O55" s="28" t="str">
        <f>母公司汇总抵销!O55</f>
        <v>0</v>
      </c>
    </row>
    <row r="56" spans="1:15" s="23" customFormat="1">
      <c r="A56" s="1160"/>
      <c r="B56" s="1163"/>
      <c r="C56" s="1166"/>
      <c r="D56" s="17"/>
      <c r="E56" s="26" t="str">
        <f t="shared" si="12"/>
        <v/>
      </c>
      <c r="F56" s="313"/>
      <c r="G56" s="27"/>
      <c r="H56" s="26" t="str">
        <f t="shared" si="13"/>
        <v/>
      </c>
      <c r="I56" s="313"/>
      <c r="J56" s="142"/>
      <c r="N56" s="84" t="str">
        <f>母公司汇总抵销!N56</f>
        <v>D40</v>
      </c>
      <c r="O56" s="28" t="str">
        <f>母公司汇总抵销!O56</f>
        <v>0</v>
      </c>
    </row>
    <row r="57" spans="1:15" s="23" customFormat="1">
      <c r="A57" s="1160"/>
      <c r="B57" s="1163"/>
      <c r="C57" s="1166"/>
      <c r="D57" s="17"/>
      <c r="E57" s="26" t="str">
        <f t="shared" si="12"/>
        <v/>
      </c>
      <c r="F57" s="313"/>
      <c r="G57" s="27"/>
      <c r="H57" s="26" t="str">
        <f t="shared" si="13"/>
        <v/>
      </c>
      <c r="I57" s="313"/>
      <c r="J57" s="142"/>
      <c r="N57" s="84">
        <f>母公司汇总抵销!N57</f>
        <v>0</v>
      </c>
      <c r="O57" s="859" t="str">
        <f>母公司汇总抵销!O57</f>
        <v>非流动资产合计</v>
      </c>
    </row>
    <row r="58" spans="1:15" s="23" customFormat="1">
      <c r="A58" s="1160"/>
      <c r="B58" s="1163"/>
      <c r="C58" s="1166"/>
      <c r="D58" s="17"/>
      <c r="E58" s="26" t="str">
        <f t="shared" si="12"/>
        <v/>
      </c>
      <c r="F58" s="313"/>
      <c r="G58" s="27"/>
      <c r="H58" s="26" t="str">
        <f t="shared" si="13"/>
        <v/>
      </c>
      <c r="I58" s="313"/>
      <c r="J58" s="142"/>
      <c r="N58" s="84">
        <f>母公司汇总抵销!N58</f>
        <v>0</v>
      </c>
      <c r="O58" s="859" t="str">
        <f>母公司汇总抵销!O58</f>
        <v>资 产 总 计</v>
      </c>
    </row>
    <row r="59" spans="1:15" s="23" customFormat="1">
      <c r="A59" s="1161"/>
      <c r="B59" s="1164"/>
      <c r="C59" s="1167"/>
      <c r="D59" s="17"/>
      <c r="E59" s="26" t="str">
        <f t="shared" si="12"/>
        <v/>
      </c>
      <c r="F59" s="313"/>
      <c r="G59" s="27"/>
      <c r="H59" s="26" t="str">
        <f t="shared" si="13"/>
        <v/>
      </c>
      <c r="I59" s="313"/>
      <c r="J59" s="142"/>
      <c r="N59" s="84">
        <f>母公司汇总抵销!N59</f>
        <v>0</v>
      </c>
      <c r="O59" s="859" t="str">
        <f>母公司汇总抵销!O59</f>
        <v/>
      </c>
    </row>
    <row r="60" spans="1:15" s="23" customFormat="1">
      <c r="A60" s="453"/>
      <c r="B60" s="453"/>
      <c r="C60" s="454"/>
      <c r="D60" s="455"/>
      <c r="E60" s="456"/>
      <c r="F60" s="456"/>
      <c r="G60" s="455"/>
      <c r="H60" s="456"/>
      <c r="I60" s="456"/>
      <c r="J60" s="457" t="str">
        <f>IF(ABS((SUMIF(E54:E59,"?*",J54:J59)-SUMIF(H54:H59,"?*",J54:J59)))&lt;0.005,"","借贷不等")</f>
        <v/>
      </c>
      <c r="N60" s="84">
        <f>母公司汇总抵销!N60</f>
        <v>0</v>
      </c>
      <c r="O60" s="859" t="str">
        <f>母公司汇总抵销!O60</f>
        <v/>
      </c>
    </row>
    <row r="61" spans="1:15" s="23" customFormat="1">
      <c r="A61" s="1159">
        <v>9</v>
      </c>
      <c r="B61" s="1162"/>
      <c r="C61" s="1165"/>
      <c r="D61" s="17"/>
      <c r="E61" s="26" t="str">
        <f t="shared" ref="E61:E66" si="14">IF(D61=0,"",VLOOKUP(D61,$N:$O,2,0))</f>
        <v/>
      </c>
      <c r="F61" s="313"/>
      <c r="G61" s="27"/>
      <c r="H61" s="26" t="str">
        <f t="shared" ref="H61:H66" si="15">IF(G61=0,"",VLOOKUP(G61,$N:$O,2,0))</f>
        <v/>
      </c>
      <c r="I61" s="313"/>
      <c r="J61" s="142"/>
      <c r="N61" s="84">
        <f>母公司汇总抵销!N61</f>
        <v>0</v>
      </c>
      <c r="O61" s="783" t="str">
        <f>母公司汇总抵销!O61</f>
        <v>流动负债：</v>
      </c>
    </row>
    <row r="62" spans="1:15" s="23" customFormat="1">
      <c r="A62" s="1160"/>
      <c r="B62" s="1163"/>
      <c r="C62" s="1166"/>
      <c r="D62" s="17"/>
      <c r="E62" s="26" t="str">
        <f t="shared" si="14"/>
        <v/>
      </c>
      <c r="F62" s="313"/>
      <c r="G62" s="27"/>
      <c r="H62" s="26" t="str">
        <f t="shared" si="15"/>
        <v/>
      </c>
      <c r="I62" s="313"/>
      <c r="J62" s="142"/>
      <c r="N62" s="84" t="str">
        <f>母公司汇总抵销!N62</f>
        <v>E1</v>
      </c>
      <c r="O62" s="28" t="str">
        <f>母公司汇总抵销!O62</f>
        <v>短期借款</v>
      </c>
    </row>
    <row r="63" spans="1:15" s="23" customFormat="1">
      <c r="A63" s="1160"/>
      <c r="B63" s="1163"/>
      <c r="C63" s="1166"/>
      <c r="D63" s="17"/>
      <c r="E63" s="26" t="str">
        <f t="shared" si="14"/>
        <v/>
      </c>
      <c r="F63" s="313"/>
      <c r="G63" s="27"/>
      <c r="H63" s="26" t="str">
        <f t="shared" si="15"/>
        <v/>
      </c>
      <c r="I63" s="313"/>
      <c r="J63" s="142"/>
      <c r="N63" s="84" t="str">
        <f>母公司汇总抵销!N63</f>
        <v>E24</v>
      </c>
      <c r="O63" s="28" t="str">
        <f>母公司汇总抵销!O63</f>
        <v>向中央银行借款</v>
      </c>
    </row>
    <row r="64" spans="1:15" s="23" customFormat="1">
      <c r="A64" s="1160"/>
      <c r="B64" s="1163"/>
      <c r="C64" s="1166"/>
      <c r="D64" s="17"/>
      <c r="E64" s="26" t="str">
        <f t="shared" si="14"/>
        <v/>
      </c>
      <c r="F64" s="313"/>
      <c r="G64" s="27"/>
      <c r="H64" s="26" t="str">
        <f t="shared" si="15"/>
        <v/>
      </c>
      <c r="I64" s="313"/>
      <c r="J64" s="142"/>
      <c r="N64" s="84" t="str">
        <f>母公司汇总抵销!N64</f>
        <v>E25</v>
      </c>
      <c r="O64" s="28" t="str">
        <f>母公司汇总抵销!O64</f>
        <v>吸收存款及同业存放</v>
      </c>
    </row>
    <row r="65" spans="1:15" s="23" customFormat="1">
      <c r="A65" s="1160"/>
      <c r="B65" s="1163"/>
      <c r="C65" s="1166"/>
      <c r="D65" s="17"/>
      <c r="E65" s="26" t="str">
        <f t="shared" si="14"/>
        <v/>
      </c>
      <c r="F65" s="313"/>
      <c r="G65" s="27"/>
      <c r="H65" s="26" t="str">
        <f t="shared" si="15"/>
        <v/>
      </c>
      <c r="I65" s="313"/>
      <c r="J65" s="142"/>
      <c r="N65" s="84" t="str">
        <f>母公司汇总抵销!N65</f>
        <v>E26</v>
      </c>
      <c r="O65" s="28" t="str">
        <f>母公司汇总抵销!O65</f>
        <v>拆入资金</v>
      </c>
    </row>
    <row r="66" spans="1:15" s="23" customFormat="1">
      <c r="A66" s="1161"/>
      <c r="B66" s="1164"/>
      <c r="C66" s="1167"/>
      <c r="D66" s="17"/>
      <c r="E66" s="26" t="str">
        <f t="shared" si="14"/>
        <v/>
      </c>
      <c r="F66" s="313"/>
      <c r="G66" s="27"/>
      <c r="H66" s="26" t="str">
        <f t="shared" si="15"/>
        <v/>
      </c>
      <c r="I66" s="313"/>
      <c r="J66" s="142"/>
      <c r="N66" s="84" t="str">
        <f>母公司汇总抵销!N66</f>
        <v>E2</v>
      </c>
      <c r="O66" s="28" t="str">
        <f>母公司汇总抵销!O66</f>
        <v>交易性金融负债</v>
      </c>
    </row>
    <row r="67" spans="1:15" s="23" customFormat="1">
      <c r="A67" s="453"/>
      <c r="B67" s="453"/>
      <c r="C67" s="454"/>
      <c r="D67" s="455"/>
      <c r="E67" s="456"/>
      <c r="F67" s="456"/>
      <c r="G67" s="455"/>
      <c r="H67" s="456"/>
      <c r="I67" s="456"/>
      <c r="J67" s="457" t="str">
        <f>IF(ABS((SUMIF(E61:E66,"?*",J61:J66)-SUMIF(H61:H66,"?*",J61:J66)))&lt;0.005,"","借贷不等")</f>
        <v/>
      </c>
      <c r="N67" s="84" t="str">
        <f>母公司汇总抵销!N67</f>
        <v>E3</v>
      </c>
      <c r="O67" s="28" t="str">
        <f>母公司汇总抵销!O67</f>
        <v>以公允价值计量且其变动计入当期损益的金融负债</v>
      </c>
    </row>
    <row r="68" spans="1:15" s="23" customFormat="1">
      <c r="A68" s="1159">
        <v>10</v>
      </c>
      <c r="B68" s="1162"/>
      <c r="C68" s="1165"/>
      <c r="D68" s="17"/>
      <c r="E68" s="26" t="str">
        <f t="shared" ref="E68:E73" si="16">IF(D68=0,"",VLOOKUP(D68,$N:$O,2,0))</f>
        <v/>
      </c>
      <c r="F68" s="313"/>
      <c r="G68" s="27"/>
      <c r="H68" s="26" t="str">
        <f t="shared" ref="H68:H73" si="17">IF(G68=0,"",VLOOKUP(G68,$N:$O,2,0))</f>
        <v/>
      </c>
      <c r="I68" s="313"/>
      <c r="J68" s="142"/>
      <c r="N68" s="84" t="str">
        <f>母公司汇总抵销!N68</f>
        <v>E4</v>
      </c>
      <c r="O68" s="28" t="str">
        <f>母公司汇总抵销!O68</f>
        <v>衍生金融负债</v>
      </c>
    </row>
    <row r="69" spans="1:15" s="23" customFormat="1">
      <c r="A69" s="1160"/>
      <c r="B69" s="1163"/>
      <c r="C69" s="1166"/>
      <c r="D69" s="17"/>
      <c r="E69" s="26" t="str">
        <f t="shared" si="16"/>
        <v/>
      </c>
      <c r="F69" s="313"/>
      <c r="G69" s="27"/>
      <c r="H69" s="26" t="str">
        <f t="shared" si="17"/>
        <v/>
      </c>
      <c r="I69" s="313"/>
      <c r="J69" s="142"/>
      <c r="N69" s="84" t="str">
        <f>母公司汇总抵销!N69</f>
        <v>E5</v>
      </c>
      <c r="O69" s="28" t="str">
        <f>母公司汇总抵销!O69</f>
        <v>应付票据</v>
      </c>
    </row>
    <row r="70" spans="1:15" s="23" customFormat="1">
      <c r="A70" s="1160"/>
      <c r="B70" s="1163"/>
      <c r="C70" s="1166"/>
      <c r="D70" s="17"/>
      <c r="E70" s="26" t="str">
        <f t="shared" si="16"/>
        <v/>
      </c>
      <c r="F70" s="313"/>
      <c r="G70" s="27"/>
      <c r="H70" s="26" t="str">
        <f t="shared" si="17"/>
        <v/>
      </c>
      <c r="I70" s="313"/>
      <c r="J70" s="142"/>
      <c r="N70" s="84" t="str">
        <f>母公司汇总抵销!N70</f>
        <v>E6</v>
      </c>
      <c r="O70" s="28" t="str">
        <f>母公司汇总抵销!O70</f>
        <v>应付账款</v>
      </c>
    </row>
    <row r="71" spans="1:15" s="23" customFormat="1">
      <c r="A71" s="1160"/>
      <c r="B71" s="1163"/>
      <c r="C71" s="1166"/>
      <c r="D71" s="17"/>
      <c r="E71" s="26" t="str">
        <f t="shared" si="16"/>
        <v/>
      </c>
      <c r="F71" s="313"/>
      <c r="G71" s="27"/>
      <c r="H71" s="26" t="str">
        <f t="shared" si="17"/>
        <v/>
      </c>
      <c r="I71" s="313"/>
      <c r="J71" s="142"/>
      <c r="N71" s="84" t="str">
        <f>母公司汇总抵销!N71</f>
        <v>E7</v>
      </c>
      <c r="O71" s="28" t="str">
        <f>母公司汇总抵销!O71</f>
        <v>预收款项</v>
      </c>
    </row>
    <row r="72" spans="1:15" s="23" customFormat="1">
      <c r="A72" s="1160"/>
      <c r="B72" s="1163"/>
      <c r="C72" s="1166"/>
      <c r="D72" s="17"/>
      <c r="E72" s="26" t="str">
        <f t="shared" si="16"/>
        <v/>
      </c>
      <c r="F72" s="313"/>
      <c r="G72" s="27"/>
      <c r="H72" s="26" t="str">
        <f t="shared" si="17"/>
        <v/>
      </c>
      <c r="I72" s="313"/>
      <c r="J72" s="142"/>
      <c r="N72" s="84" t="str">
        <f>母公司汇总抵销!N72</f>
        <v>E27</v>
      </c>
      <c r="O72" s="28" t="str">
        <f>母公司汇总抵销!O72</f>
        <v>卖出回购金融资产款</v>
      </c>
    </row>
    <row r="73" spans="1:15" s="23" customFormat="1">
      <c r="A73" s="1161"/>
      <c r="B73" s="1164"/>
      <c r="C73" s="1167"/>
      <c r="D73" s="17"/>
      <c r="E73" s="26" t="str">
        <f t="shared" si="16"/>
        <v/>
      </c>
      <c r="F73" s="313"/>
      <c r="G73" s="27"/>
      <c r="H73" s="26" t="str">
        <f t="shared" si="17"/>
        <v/>
      </c>
      <c r="I73" s="313"/>
      <c r="J73" s="142"/>
      <c r="N73" s="84" t="str">
        <f>母公司汇总抵销!N73</f>
        <v>E28</v>
      </c>
      <c r="O73" s="28" t="str">
        <f>母公司汇总抵销!O73</f>
        <v>应付手续费及佣金</v>
      </c>
    </row>
    <row r="74" spans="1:15" s="23" customFormat="1">
      <c r="A74" s="453"/>
      <c r="B74" s="453"/>
      <c r="C74" s="454"/>
      <c r="D74" s="455"/>
      <c r="E74" s="456"/>
      <c r="F74" s="456"/>
      <c r="G74" s="455"/>
      <c r="H74" s="456"/>
      <c r="I74" s="456"/>
      <c r="J74" s="457" t="str">
        <f>IF(ABS((SUMIF(E68:E73,"?*",J68:J73)-SUMIF(H68:H73,"?*",J68:J73)))&lt;0.005,"","借贷不等")</f>
        <v/>
      </c>
      <c r="N74" s="84" t="str">
        <f>母公司汇总抵销!N74</f>
        <v>E8</v>
      </c>
      <c r="O74" s="28" t="str">
        <f>母公司汇总抵销!O74</f>
        <v>合同负债</v>
      </c>
    </row>
    <row r="75" spans="1:15" s="23" customFormat="1">
      <c r="A75" s="1159">
        <v>11</v>
      </c>
      <c r="B75" s="1162"/>
      <c r="C75" s="1165"/>
      <c r="D75" s="17"/>
      <c r="E75" s="26" t="str">
        <f t="shared" ref="E75:E80" si="18">IF(D75=0,"",VLOOKUP(D75,$N:$O,2,0))</f>
        <v/>
      </c>
      <c r="F75" s="313"/>
      <c r="G75" s="27"/>
      <c r="H75" s="26" t="str">
        <f t="shared" ref="H75:H80" si="19">IF(G75=0,"",VLOOKUP(G75,$N:$O,2,0))</f>
        <v/>
      </c>
      <c r="I75" s="313"/>
      <c r="J75" s="142"/>
      <c r="N75" s="84" t="str">
        <f>母公司汇总抵销!N75</f>
        <v>E9</v>
      </c>
      <c r="O75" s="28" t="str">
        <f>母公司汇总抵销!O75</f>
        <v>应付职工薪酬</v>
      </c>
    </row>
    <row r="76" spans="1:15" s="23" customFormat="1">
      <c r="A76" s="1160"/>
      <c r="B76" s="1163"/>
      <c r="C76" s="1166"/>
      <c r="D76" s="17"/>
      <c r="E76" s="26" t="str">
        <f t="shared" si="18"/>
        <v/>
      </c>
      <c r="F76" s="313"/>
      <c r="G76" s="27"/>
      <c r="H76" s="26" t="str">
        <f t="shared" si="19"/>
        <v/>
      </c>
      <c r="I76" s="313"/>
      <c r="J76" s="142"/>
      <c r="N76" s="84" t="str">
        <f>母公司汇总抵销!N76</f>
        <v>E10</v>
      </c>
      <c r="O76" s="28" t="str">
        <f>母公司汇总抵销!O76</f>
        <v>应交税费</v>
      </c>
    </row>
    <row r="77" spans="1:15" s="23" customFormat="1">
      <c r="A77" s="1160"/>
      <c r="B77" s="1163"/>
      <c r="C77" s="1166"/>
      <c r="D77" s="17"/>
      <c r="E77" s="26" t="str">
        <f t="shared" si="18"/>
        <v/>
      </c>
      <c r="F77" s="313"/>
      <c r="G77" s="27"/>
      <c r="H77" s="26" t="str">
        <f t="shared" si="19"/>
        <v/>
      </c>
      <c r="I77" s="313"/>
      <c r="J77" s="142"/>
      <c r="N77" s="84" t="str">
        <f>母公司汇总抵销!N77</f>
        <v>E11</v>
      </c>
      <c r="O77" s="28" t="str">
        <f>母公司汇总抵销!O77</f>
        <v>其他应付款</v>
      </c>
    </row>
    <row r="78" spans="1:15" s="23" customFormat="1">
      <c r="A78" s="1160"/>
      <c r="B78" s="1163"/>
      <c r="C78" s="1166"/>
      <c r="D78" s="17"/>
      <c r="E78" s="26" t="str">
        <f t="shared" si="18"/>
        <v/>
      </c>
      <c r="F78" s="313"/>
      <c r="G78" s="27"/>
      <c r="H78" s="26" t="str">
        <f t="shared" si="19"/>
        <v/>
      </c>
      <c r="I78" s="313"/>
      <c r="J78" s="142"/>
      <c r="N78" s="84">
        <f>母公司汇总抵销!N78</f>
        <v>0</v>
      </c>
      <c r="O78" s="28" t="str">
        <f>母公司汇总抵销!O78</f>
        <v>应付利息</v>
      </c>
    </row>
    <row r="79" spans="1:15" s="23" customFormat="1">
      <c r="A79" s="1160"/>
      <c r="B79" s="1163"/>
      <c r="C79" s="1166"/>
      <c r="D79" s="17"/>
      <c r="E79" s="26" t="str">
        <f t="shared" si="18"/>
        <v/>
      </c>
      <c r="F79" s="313"/>
      <c r="G79" s="27"/>
      <c r="H79" s="26" t="str">
        <f t="shared" si="19"/>
        <v/>
      </c>
      <c r="I79" s="313"/>
      <c r="J79" s="142"/>
      <c r="N79" s="84">
        <f>母公司汇总抵销!N79</f>
        <v>0</v>
      </c>
      <c r="O79" s="28" t="str">
        <f>母公司汇总抵销!O79</f>
        <v>应付股利</v>
      </c>
    </row>
    <row r="80" spans="1:15" s="23" customFormat="1">
      <c r="A80" s="1161"/>
      <c r="B80" s="1164"/>
      <c r="C80" s="1167"/>
      <c r="D80" s="17"/>
      <c r="E80" s="26" t="str">
        <f t="shared" si="18"/>
        <v/>
      </c>
      <c r="F80" s="313"/>
      <c r="G80" s="27"/>
      <c r="H80" s="26" t="str">
        <f t="shared" si="19"/>
        <v/>
      </c>
      <c r="I80" s="313"/>
      <c r="J80" s="142"/>
      <c r="N80" s="84" t="str">
        <f>母公司汇总抵销!N80</f>
        <v>E29</v>
      </c>
      <c r="O80" s="28" t="str">
        <f>母公司汇总抵销!O80</f>
        <v>应付分保账款</v>
      </c>
    </row>
    <row r="81" spans="1:15" s="23" customFormat="1">
      <c r="A81" s="453"/>
      <c r="B81" s="453"/>
      <c r="C81" s="454"/>
      <c r="D81" s="455"/>
      <c r="E81" s="456"/>
      <c r="F81" s="456"/>
      <c r="G81" s="455"/>
      <c r="H81" s="456"/>
      <c r="I81" s="456"/>
      <c r="J81" s="457" t="str">
        <f>IF(ABS((SUMIF(E75:E80,"?*",J75:J80)-SUMIF(H75:H80,"?*",J75:J80)))&lt;0.005,"","借贷不等")</f>
        <v/>
      </c>
      <c r="N81" s="84" t="str">
        <f>母公司汇总抵销!N81</f>
        <v>E30</v>
      </c>
      <c r="O81" s="28" t="str">
        <f>母公司汇总抵销!O81</f>
        <v>保险合同准备金</v>
      </c>
    </row>
    <row r="82" spans="1:15" s="23" customFormat="1">
      <c r="A82" s="1159">
        <v>12</v>
      </c>
      <c r="B82" s="1162"/>
      <c r="C82" s="1165"/>
      <c r="D82" s="17"/>
      <c r="E82" s="26" t="str">
        <f t="shared" ref="E82:E87" si="20">IF(D82=0,"",VLOOKUP(D82,$N:$O,2,0))</f>
        <v/>
      </c>
      <c r="F82" s="313"/>
      <c r="G82" s="27"/>
      <c r="H82" s="26" t="str">
        <f t="shared" ref="H82:H87" si="21">IF(G82=0,"",VLOOKUP(G82,$N:$O,2,0))</f>
        <v/>
      </c>
      <c r="I82" s="313"/>
      <c r="J82" s="142"/>
      <c r="N82" s="84" t="str">
        <f>母公司汇总抵销!N82</f>
        <v>E31</v>
      </c>
      <c r="O82" s="28" t="str">
        <f>母公司汇总抵销!O82</f>
        <v>代理买卖证券款</v>
      </c>
    </row>
    <row r="83" spans="1:15" s="23" customFormat="1">
      <c r="A83" s="1160"/>
      <c r="B83" s="1163"/>
      <c r="C83" s="1166"/>
      <c r="D83" s="17"/>
      <c r="E83" s="26" t="str">
        <f t="shared" si="20"/>
        <v/>
      </c>
      <c r="F83" s="313"/>
      <c r="G83" s="27"/>
      <c r="H83" s="26" t="str">
        <f t="shared" si="21"/>
        <v/>
      </c>
      <c r="I83" s="313"/>
      <c r="J83" s="142"/>
      <c r="N83" s="84" t="str">
        <f>母公司汇总抵销!N83</f>
        <v>E32</v>
      </c>
      <c r="O83" s="28" t="str">
        <f>母公司汇总抵销!O83</f>
        <v>代理承销证券款</v>
      </c>
    </row>
    <row r="84" spans="1:15" s="23" customFormat="1">
      <c r="A84" s="1160"/>
      <c r="B84" s="1163"/>
      <c r="C84" s="1166"/>
      <c r="D84" s="17"/>
      <c r="E84" s="26" t="str">
        <f t="shared" si="20"/>
        <v/>
      </c>
      <c r="F84" s="313"/>
      <c r="G84" s="27"/>
      <c r="H84" s="26" t="str">
        <f t="shared" si="21"/>
        <v/>
      </c>
      <c r="I84" s="313"/>
      <c r="J84" s="142"/>
      <c r="N84" s="84" t="str">
        <f>母公司汇总抵销!N84</f>
        <v>E12</v>
      </c>
      <c r="O84" s="28" t="str">
        <f>母公司汇总抵销!O84</f>
        <v>持有待售负债</v>
      </c>
    </row>
    <row r="85" spans="1:15" s="23" customFormat="1">
      <c r="A85" s="1160"/>
      <c r="B85" s="1163"/>
      <c r="C85" s="1166"/>
      <c r="D85" s="17"/>
      <c r="E85" s="26" t="str">
        <f t="shared" si="20"/>
        <v/>
      </c>
      <c r="F85" s="313"/>
      <c r="G85" s="27"/>
      <c r="H85" s="26" t="str">
        <f t="shared" si="21"/>
        <v/>
      </c>
      <c r="I85" s="313"/>
      <c r="J85" s="142"/>
      <c r="N85" s="84" t="str">
        <f>母公司汇总抵销!N85</f>
        <v>E13</v>
      </c>
      <c r="O85" s="28" t="str">
        <f>母公司汇总抵销!O85</f>
        <v>一年内到期的非流动负债</v>
      </c>
    </row>
    <row r="86" spans="1:15" s="23" customFormat="1">
      <c r="A86" s="1160"/>
      <c r="B86" s="1163"/>
      <c r="C86" s="1166"/>
      <c r="D86" s="17"/>
      <c r="E86" s="26" t="str">
        <f t="shared" si="20"/>
        <v/>
      </c>
      <c r="F86" s="313"/>
      <c r="G86" s="27"/>
      <c r="H86" s="26" t="str">
        <f t="shared" si="21"/>
        <v/>
      </c>
      <c r="I86" s="313"/>
      <c r="J86" s="142"/>
      <c r="N86" s="84" t="str">
        <f>母公司汇总抵销!N86</f>
        <v>E14</v>
      </c>
      <c r="O86" s="28" t="str">
        <f>母公司汇总抵销!O86</f>
        <v>其他流动负债</v>
      </c>
    </row>
    <row r="87" spans="1:15" s="23" customFormat="1">
      <c r="A87" s="1161"/>
      <c r="B87" s="1164"/>
      <c r="C87" s="1167"/>
      <c r="D87" s="17"/>
      <c r="E87" s="26" t="str">
        <f t="shared" si="20"/>
        <v/>
      </c>
      <c r="F87" s="313"/>
      <c r="G87" s="27"/>
      <c r="H87" s="26" t="str">
        <f t="shared" si="21"/>
        <v/>
      </c>
      <c r="I87" s="313"/>
      <c r="J87" s="142"/>
      <c r="N87" s="84">
        <f>母公司汇总抵销!N87</f>
        <v>0</v>
      </c>
      <c r="O87" s="859" t="str">
        <f>母公司汇总抵销!O87</f>
        <v>流动负债合计</v>
      </c>
    </row>
    <row r="88" spans="1:15" s="23" customFormat="1">
      <c r="A88" s="453"/>
      <c r="B88" s="453"/>
      <c r="C88" s="454"/>
      <c r="D88" s="455"/>
      <c r="E88" s="456"/>
      <c r="F88" s="456"/>
      <c r="G88" s="455"/>
      <c r="H88" s="456"/>
      <c r="I88" s="456"/>
      <c r="J88" s="457" t="str">
        <f>IF(ABS((SUMIF(E82:E87,"?*",J82:J87)-SUMIF(H82:H87,"?*",J82:J87)))&lt;0.005,"","借贷不等")</f>
        <v/>
      </c>
      <c r="N88" s="84">
        <f>母公司汇总抵销!N88</f>
        <v>0</v>
      </c>
      <c r="O88" s="783" t="str">
        <f>母公司汇总抵销!O88</f>
        <v>非流动负债:</v>
      </c>
    </row>
    <row r="89" spans="1:15" s="23" customFormat="1">
      <c r="A89" s="1159">
        <v>13</v>
      </c>
      <c r="B89" s="1162"/>
      <c r="C89" s="1165"/>
      <c r="D89" s="17"/>
      <c r="E89" s="26" t="str">
        <f t="shared" ref="E89:E94" si="22">IF(D89=0,"",VLOOKUP(D89,$N:$O,2,0))</f>
        <v/>
      </c>
      <c r="F89" s="313"/>
      <c r="G89" s="27"/>
      <c r="H89" s="26" t="str">
        <f t="shared" ref="H89:H94" si="23">IF(G89=0,"",VLOOKUP(G89,$N:$O,2,0))</f>
        <v/>
      </c>
      <c r="I89" s="313"/>
      <c r="J89" s="142"/>
      <c r="N89" s="84" t="str">
        <f>母公司汇总抵销!N89</f>
        <v>E15</v>
      </c>
      <c r="O89" s="28" t="str">
        <f>母公司汇总抵销!O89</f>
        <v>长期借款</v>
      </c>
    </row>
    <row r="90" spans="1:15" s="23" customFormat="1">
      <c r="A90" s="1160"/>
      <c r="B90" s="1163"/>
      <c r="C90" s="1166"/>
      <c r="D90" s="17"/>
      <c r="E90" s="26" t="str">
        <f t="shared" si="22"/>
        <v/>
      </c>
      <c r="F90" s="313"/>
      <c r="G90" s="27"/>
      <c r="H90" s="26" t="str">
        <f t="shared" si="23"/>
        <v/>
      </c>
      <c r="I90" s="313"/>
      <c r="J90" s="142"/>
      <c r="N90" s="84" t="str">
        <f>母公司汇总抵销!N90</f>
        <v>E16</v>
      </c>
      <c r="O90" s="28" t="str">
        <f>母公司汇总抵销!O90</f>
        <v>应付债券</v>
      </c>
    </row>
    <row r="91" spans="1:15" s="23" customFormat="1">
      <c r="A91" s="1160"/>
      <c r="B91" s="1163"/>
      <c r="C91" s="1166"/>
      <c r="D91" s="17"/>
      <c r="E91" s="26" t="str">
        <f t="shared" si="22"/>
        <v/>
      </c>
      <c r="F91" s="313"/>
      <c r="G91" s="27"/>
      <c r="H91" s="26" t="str">
        <f t="shared" si="23"/>
        <v/>
      </c>
      <c r="I91" s="313"/>
      <c r="J91" s="142"/>
      <c r="N91" s="84">
        <f>母公司汇总抵销!N91</f>
        <v>0</v>
      </c>
      <c r="O91" s="28" t="str">
        <f>母公司汇总抵销!O91</f>
        <v>优先股</v>
      </c>
    </row>
    <row r="92" spans="1:15" s="23" customFormat="1">
      <c r="A92" s="1160"/>
      <c r="B92" s="1163"/>
      <c r="C92" s="1166"/>
      <c r="D92" s="17"/>
      <c r="E92" s="26" t="str">
        <f t="shared" si="22"/>
        <v/>
      </c>
      <c r="F92" s="313"/>
      <c r="G92" s="27"/>
      <c r="H92" s="26" t="str">
        <f t="shared" si="23"/>
        <v/>
      </c>
      <c r="I92" s="313"/>
      <c r="J92" s="142"/>
      <c r="N92" s="84">
        <f>母公司汇总抵销!N92</f>
        <v>0</v>
      </c>
      <c r="O92" s="28" t="str">
        <f>母公司汇总抵销!O92</f>
        <v>永续债</v>
      </c>
    </row>
    <row r="93" spans="1:15" s="23" customFormat="1">
      <c r="A93" s="1160"/>
      <c r="B93" s="1163"/>
      <c r="C93" s="1166"/>
      <c r="D93" s="17"/>
      <c r="E93" s="26" t="str">
        <f t="shared" si="22"/>
        <v/>
      </c>
      <c r="F93" s="313"/>
      <c r="G93" s="27"/>
      <c r="H93" s="26" t="str">
        <f t="shared" si="23"/>
        <v/>
      </c>
      <c r="I93" s="313"/>
      <c r="J93" s="142"/>
      <c r="N93" s="84" t="str">
        <f>母公司汇总抵销!N93</f>
        <v>E17</v>
      </c>
      <c r="O93" s="28" t="str">
        <f>母公司汇总抵销!O93</f>
        <v>租赁负债</v>
      </c>
    </row>
    <row r="94" spans="1:15" s="23" customFormat="1">
      <c r="A94" s="1161"/>
      <c r="B94" s="1164"/>
      <c r="C94" s="1167"/>
      <c r="D94" s="17"/>
      <c r="E94" s="26" t="str">
        <f t="shared" si="22"/>
        <v/>
      </c>
      <c r="F94" s="313"/>
      <c r="G94" s="27"/>
      <c r="H94" s="26" t="str">
        <f t="shared" si="23"/>
        <v/>
      </c>
      <c r="I94" s="313"/>
      <c r="J94" s="142"/>
      <c r="N94" s="84" t="str">
        <f>母公司汇总抵销!N94</f>
        <v>E18</v>
      </c>
      <c r="O94" s="28" t="str">
        <f>母公司汇总抵销!O94</f>
        <v>长期应付款</v>
      </c>
    </row>
    <row r="95" spans="1:15" s="23" customFormat="1">
      <c r="A95" s="453"/>
      <c r="B95" s="453"/>
      <c r="C95" s="454"/>
      <c r="D95" s="455"/>
      <c r="E95" s="456"/>
      <c r="F95" s="456"/>
      <c r="G95" s="455"/>
      <c r="H95" s="456"/>
      <c r="I95" s="456"/>
      <c r="J95" s="457" t="str">
        <f>IF(ABS((SUMIF(E89:E94,"?*",J89:J94)-SUMIF(H89:H94,"?*",J89:J94)))&lt;0.005,"","借贷不等")</f>
        <v/>
      </c>
      <c r="N95" s="84" t="str">
        <f>母公司汇总抵销!N95</f>
        <v>E19</v>
      </c>
      <c r="O95" s="28" t="str">
        <f>母公司汇总抵销!O95</f>
        <v>长期应付职工薪酬</v>
      </c>
    </row>
    <row r="96" spans="1:15" s="23" customFormat="1">
      <c r="A96" s="1159">
        <v>14</v>
      </c>
      <c r="B96" s="1162"/>
      <c r="C96" s="1165"/>
      <c r="D96" s="17"/>
      <c r="E96" s="26" t="str">
        <f t="shared" ref="E96:E101" si="24">IF(D96=0,"",VLOOKUP(D96,$N:$O,2,0))</f>
        <v/>
      </c>
      <c r="F96" s="313"/>
      <c r="G96" s="27"/>
      <c r="H96" s="26" t="str">
        <f t="shared" ref="H96:H101" si="25">IF(G96=0,"",VLOOKUP(G96,$N:$O,2,0))</f>
        <v/>
      </c>
      <c r="I96" s="313"/>
      <c r="J96" s="142"/>
      <c r="N96" s="84" t="str">
        <f>母公司汇总抵销!N96</f>
        <v>E20</v>
      </c>
      <c r="O96" s="28" t="str">
        <f>母公司汇总抵销!O96</f>
        <v>预计负债</v>
      </c>
    </row>
    <row r="97" spans="1:15" s="23" customFormat="1">
      <c r="A97" s="1160"/>
      <c r="B97" s="1163"/>
      <c r="C97" s="1166"/>
      <c r="D97" s="17"/>
      <c r="E97" s="26" t="str">
        <f t="shared" si="24"/>
        <v/>
      </c>
      <c r="F97" s="313"/>
      <c r="G97" s="27"/>
      <c r="H97" s="26" t="str">
        <f t="shared" si="25"/>
        <v/>
      </c>
      <c r="I97" s="313"/>
      <c r="J97" s="142"/>
      <c r="N97" s="84" t="str">
        <f>母公司汇总抵销!N97</f>
        <v>E21</v>
      </c>
      <c r="O97" s="28" t="str">
        <f>母公司汇总抵销!O97</f>
        <v>递延收益</v>
      </c>
    </row>
    <row r="98" spans="1:15" s="23" customFormat="1">
      <c r="A98" s="1160"/>
      <c r="B98" s="1163"/>
      <c r="C98" s="1166"/>
      <c r="D98" s="17"/>
      <c r="E98" s="26" t="str">
        <f t="shared" si="24"/>
        <v/>
      </c>
      <c r="F98" s="313"/>
      <c r="G98" s="27"/>
      <c r="H98" s="26" t="str">
        <f t="shared" si="25"/>
        <v/>
      </c>
      <c r="I98" s="313"/>
      <c r="J98" s="142"/>
      <c r="N98" s="84" t="str">
        <f>母公司汇总抵销!N98</f>
        <v>E22</v>
      </c>
      <c r="O98" s="28" t="str">
        <f>母公司汇总抵销!O98</f>
        <v>递延所得税负债</v>
      </c>
    </row>
    <row r="99" spans="1:15" s="23" customFormat="1">
      <c r="A99" s="1160"/>
      <c r="B99" s="1163"/>
      <c r="C99" s="1166"/>
      <c r="D99" s="17"/>
      <c r="E99" s="26" t="str">
        <f t="shared" si="24"/>
        <v/>
      </c>
      <c r="F99" s="313"/>
      <c r="G99" s="27"/>
      <c r="H99" s="26" t="str">
        <f t="shared" si="25"/>
        <v/>
      </c>
      <c r="I99" s="313"/>
      <c r="J99" s="142"/>
      <c r="N99" s="84" t="str">
        <f>母公司汇总抵销!N99</f>
        <v>E23</v>
      </c>
      <c r="O99" s="28" t="str">
        <f>母公司汇总抵销!O99</f>
        <v>其他非流动负债</v>
      </c>
    </row>
    <row r="100" spans="1:15" s="23" customFormat="1">
      <c r="A100" s="1160"/>
      <c r="B100" s="1163"/>
      <c r="C100" s="1166"/>
      <c r="D100" s="17"/>
      <c r="E100" s="26" t="str">
        <f t="shared" si="24"/>
        <v/>
      </c>
      <c r="F100" s="313"/>
      <c r="G100" s="27"/>
      <c r="H100" s="26" t="str">
        <f t="shared" si="25"/>
        <v/>
      </c>
      <c r="I100" s="313"/>
      <c r="J100" s="142"/>
      <c r="N100" s="84">
        <f>母公司汇总抵销!N100</f>
        <v>0</v>
      </c>
      <c r="O100" s="859" t="str">
        <f>母公司汇总抵销!O100</f>
        <v>非流动负债合计</v>
      </c>
    </row>
    <row r="101" spans="1:15" s="23" customFormat="1">
      <c r="A101" s="1161"/>
      <c r="B101" s="1164"/>
      <c r="C101" s="1167"/>
      <c r="D101" s="17"/>
      <c r="E101" s="26" t="str">
        <f t="shared" si="24"/>
        <v/>
      </c>
      <c r="F101" s="313"/>
      <c r="G101" s="27"/>
      <c r="H101" s="26" t="str">
        <f t="shared" si="25"/>
        <v/>
      </c>
      <c r="I101" s="313"/>
      <c r="J101" s="142"/>
      <c r="N101" s="84">
        <f>母公司汇总抵销!N101</f>
        <v>0</v>
      </c>
      <c r="O101" s="859" t="str">
        <f>母公司汇总抵销!O101</f>
        <v>负 债 合 计</v>
      </c>
    </row>
    <row r="102" spans="1:15" s="23" customFormat="1">
      <c r="A102" s="453"/>
      <c r="B102" s="453"/>
      <c r="C102" s="454"/>
      <c r="D102" s="455"/>
      <c r="E102" s="456"/>
      <c r="F102" s="456"/>
      <c r="G102" s="455"/>
      <c r="H102" s="456"/>
      <c r="I102" s="456"/>
      <c r="J102" s="457" t="str">
        <f>IF(ABS((SUMIF(E96:E101,"?*",J96:J101)-SUMIF(H96:H101,"?*",J96:J101)))&lt;0.005,"","借贷不等")</f>
        <v/>
      </c>
      <c r="N102" s="84">
        <f>母公司汇总抵销!N102</f>
        <v>0</v>
      </c>
      <c r="O102" s="783" t="str">
        <f>母公司汇总抵销!O102</f>
        <v>股东权益：</v>
      </c>
    </row>
    <row r="103" spans="1:15" s="23" customFormat="1">
      <c r="A103" s="1159">
        <v>15</v>
      </c>
      <c r="B103" s="1162"/>
      <c r="C103" s="1165"/>
      <c r="D103" s="17"/>
      <c r="E103" s="26" t="str">
        <f t="shared" ref="E103:E108" si="26">IF(D103=0,"",VLOOKUP(D103,$N:$O,2,0))</f>
        <v/>
      </c>
      <c r="F103" s="313"/>
      <c r="G103" s="27"/>
      <c r="H103" s="26" t="str">
        <f t="shared" ref="H103:H108" si="27">IF(G103=0,"",VLOOKUP(G103,$N:$O,2,0))</f>
        <v/>
      </c>
      <c r="I103" s="313"/>
      <c r="J103" s="142"/>
      <c r="N103" s="84" t="str">
        <f>母公司汇总抵销!N103</f>
        <v>F1</v>
      </c>
      <c r="O103" s="28" t="str">
        <f>母公司汇总抵销!O103</f>
        <v>股本</v>
      </c>
    </row>
    <row r="104" spans="1:15" s="23" customFormat="1">
      <c r="A104" s="1160"/>
      <c r="B104" s="1163"/>
      <c r="C104" s="1166"/>
      <c r="D104" s="17"/>
      <c r="E104" s="26" t="str">
        <f t="shared" si="26"/>
        <v/>
      </c>
      <c r="F104" s="313"/>
      <c r="G104" s="27"/>
      <c r="H104" s="26" t="str">
        <f t="shared" si="27"/>
        <v/>
      </c>
      <c r="I104" s="313"/>
      <c r="J104" s="142"/>
      <c r="N104" s="84" t="str">
        <f>母公司汇总抵销!N104</f>
        <v>F2</v>
      </c>
      <c r="O104" s="28" t="str">
        <f>母公司汇总抵销!O104</f>
        <v>其他权益工具</v>
      </c>
    </row>
    <row r="105" spans="1:15" s="23" customFormat="1">
      <c r="A105" s="1160"/>
      <c r="B105" s="1163"/>
      <c r="C105" s="1166"/>
      <c r="D105" s="17"/>
      <c r="E105" s="26" t="str">
        <f t="shared" si="26"/>
        <v/>
      </c>
      <c r="F105" s="313"/>
      <c r="G105" s="27"/>
      <c r="H105" s="26" t="str">
        <f t="shared" si="27"/>
        <v/>
      </c>
      <c r="I105" s="313"/>
      <c r="J105" s="142"/>
      <c r="N105" s="84">
        <f>母公司汇总抵销!N105</f>
        <v>0</v>
      </c>
      <c r="O105" s="28" t="str">
        <f>母公司汇总抵销!O105</f>
        <v>优先股</v>
      </c>
    </row>
    <row r="106" spans="1:15" s="23" customFormat="1">
      <c r="A106" s="1160"/>
      <c r="B106" s="1163"/>
      <c r="C106" s="1166"/>
      <c r="D106" s="17"/>
      <c r="E106" s="26" t="str">
        <f t="shared" si="26"/>
        <v/>
      </c>
      <c r="F106" s="313"/>
      <c r="G106" s="27"/>
      <c r="H106" s="26" t="str">
        <f t="shared" si="27"/>
        <v/>
      </c>
      <c r="I106" s="313"/>
      <c r="J106" s="142"/>
      <c r="N106" s="84">
        <f>母公司汇总抵销!N106</f>
        <v>0</v>
      </c>
      <c r="O106" s="28" t="str">
        <f>母公司汇总抵销!O106</f>
        <v>永续债</v>
      </c>
    </row>
    <row r="107" spans="1:15" s="23" customFormat="1">
      <c r="A107" s="1160"/>
      <c r="B107" s="1163"/>
      <c r="C107" s="1166"/>
      <c r="D107" s="17"/>
      <c r="E107" s="26" t="str">
        <f t="shared" si="26"/>
        <v/>
      </c>
      <c r="F107" s="313"/>
      <c r="G107" s="27"/>
      <c r="H107" s="26" t="str">
        <f t="shared" si="27"/>
        <v/>
      </c>
      <c r="I107" s="313"/>
      <c r="J107" s="142"/>
      <c r="N107" s="84" t="str">
        <f>母公司汇总抵销!N107</f>
        <v>F3</v>
      </c>
      <c r="O107" s="28" t="str">
        <f>母公司汇总抵销!O107</f>
        <v>资本公积</v>
      </c>
    </row>
    <row r="108" spans="1:15" s="23" customFormat="1">
      <c r="A108" s="1161"/>
      <c r="B108" s="1164"/>
      <c r="C108" s="1167"/>
      <c r="D108" s="17"/>
      <c r="E108" s="26" t="str">
        <f t="shared" si="26"/>
        <v/>
      </c>
      <c r="F108" s="313"/>
      <c r="G108" s="27"/>
      <c r="H108" s="26" t="str">
        <f t="shared" si="27"/>
        <v/>
      </c>
      <c r="I108" s="313"/>
      <c r="J108" s="142"/>
      <c r="N108" s="84" t="str">
        <f>母公司汇总抵销!N108</f>
        <v>F4</v>
      </c>
      <c r="O108" s="28" t="str">
        <f>母公司汇总抵销!O108</f>
        <v>库存股</v>
      </c>
    </row>
    <row r="109" spans="1:15" s="23" customFormat="1">
      <c r="A109" s="453"/>
      <c r="B109" s="453"/>
      <c r="C109" s="454"/>
      <c r="D109" s="455"/>
      <c r="E109" s="456"/>
      <c r="F109" s="456"/>
      <c r="G109" s="455"/>
      <c r="H109" s="456"/>
      <c r="I109" s="456"/>
      <c r="J109" s="457" t="str">
        <f>IF(ABS((SUMIF(E103:E108,"?*",J103:J108)-SUMIF(H103:H108,"?*",J103:J108)))&lt;0.005,"","借贷不等")</f>
        <v/>
      </c>
      <c r="N109" s="84" t="str">
        <f>母公司汇总抵销!N109</f>
        <v>F5</v>
      </c>
      <c r="O109" s="28" t="str">
        <f>母公司汇总抵销!O109</f>
        <v>其他综合收益</v>
      </c>
    </row>
    <row r="110" spans="1:15" s="23" customFormat="1">
      <c r="A110" s="1159">
        <v>16</v>
      </c>
      <c r="B110" s="1162"/>
      <c r="C110" s="1165"/>
      <c r="D110" s="17"/>
      <c r="E110" s="26" t="str">
        <f t="shared" ref="E110:E115" si="28">IF(D110=0,"",VLOOKUP(D110,$N:$O,2,0))</f>
        <v/>
      </c>
      <c r="F110" s="313"/>
      <c r="G110" s="27"/>
      <c r="H110" s="26" t="str">
        <f t="shared" ref="H110:H115" si="29">IF(G110=0,"",VLOOKUP(G110,$N:$O,2,0))</f>
        <v/>
      </c>
      <c r="I110" s="313"/>
      <c r="J110" s="142"/>
      <c r="N110" s="84" t="str">
        <f>母公司汇总抵销!N110</f>
        <v>F6</v>
      </c>
      <c r="O110" s="28" t="str">
        <f>母公司汇总抵销!O110</f>
        <v>专项储备</v>
      </c>
    </row>
    <row r="111" spans="1:15" s="23" customFormat="1">
      <c r="A111" s="1160"/>
      <c r="B111" s="1163"/>
      <c r="C111" s="1166"/>
      <c r="D111" s="17"/>
      <c r="E111" s="26" t="str">
        <f t="shared" si="28"/>
        <v/>
      </c>
      <c r="F111" s="313"/>
      <c r="G111" s="27"/>
      <c r="H111" s="26" t="str">
        <f t="shared" si="29"/>
        <v/>
      </c>
      <c r="I111" s="313"/>
      <c r="J111" s="142"/>
      <c r="N111" s="84" t="str">
        <f>母公司汇总抵销!N111</f>
        <v>F7</v>
      </c>
      <c r="O111" s="28" t="str">
        <f>母公司汇总抵销!O111</f>
        <v>盈余公积</v>
      </c>
    </row>
    <row r="112" spans="1:15" s="23" customFormat="1">
      <c r="A112" s="1160"/>
      <c r="B112" s="1163"/>
      <c r="C112" s="1166"/>
      <c r="D112" s="17"/>
      <c r="E112" s="26" t="str">
        <f t="shared" si="28"/>
        <v/>
      </c>
      <c r="F112" s="313"/>
      <c r="G112" s="27"/>
      <c r="H112" s="26" t="str">
        <f t="shared" si="29"/>
        <v/>
      </c>
      <c r="I112" s="313"/>
      <c r="J112" s="142"/>
      <c r="N112" s="84" t="str">
        <f>母公司汇总抵销!N112</f>
        <v>F10</v>
      </c>
      <c r="O112" s="28" t="str">
        <f>母公司汇总抵销!O112</f>
        <v>一般风险准备</v>
      </c>
    </row>
    <row r="113" spans="1:15" s="23" customFormat="1">
      <c r="A113" s="1160"/>
      <c r="B113" s="1163"/>
      <c r="C113" s="1166"/>
      <c r="D113" s="17"/>
      <c r="E113" s="26" t="str">
        <f t="shared" si="28"/>
        <v/>
      </c>
      <c r="F113" s="313"/>
      <c r="G113" s="27"/>
      <c r="H113" s="26" t="str">
        <f t="shared" si="29"/>
        <v/>
      </c>
      <c r="I113" s="313"/>
      <c r="J113" s="142"/>
      <c r="N113" s="84" t="str">
        <f>母公司汇总抵销!N113</f>
        <v>F8</v>
      </c>
      <c r="O113" s="28" t="str">
        <f>母公司汇总抵销!O113</f>
        <v>未分配利润</v>
      </c>
    </row>
    <row r="114" spans="1:15" s="23" customFormat="1">
      <c r="A114" s="1160"/>
      <c r="B114" s="1163"/>
      <c r="C114" s="1166"/>
      <c r="D114" s="17"/>
      <c r="E114" s="26" t="str">
        <f t="shared" si="28"/>
        <v/>
      </c>
      <c r="F114" s="313"/>
      <c r="G114" s="27"/>
      <c r="H114" s="26" t="str">
        <f t="shared" si="29"/>
        <v/>
      </c>
      <c r="I114" s="313"/>
      <c r="J114" s="142"/>
      <c r="N114" s="84">
        <f>母公司汇总抵销!N114</f>
        <v>0</v>
      </c>
      <c r="O114" s="28" t="str">
        <f>母公司汇总抵销!O114</f>
        <v>归属于母公司股东权益合计</v>
      </c>
    </row>
    <row r="115" spans="1:15" s="23" customFormat="1">
      <c r="A115" s="1161"/>
      <c r="B115" s="1164"/>
      <c r="C115" s="1167"/>
      <c r="D115" s="17"/>
      <c r="E115" s="26" t="str">
        <f t="shared" si="28"/>
        <v/>
      </c>
      <c r="F115" s="313"/>
      <c r="G115" s="27"/>
      <c r="H115" s="26" t="str">
        <f t="shared" si="29"/>
        <v/>
      </c>
      <c r="I115" s="313"/>
      <c r="J115" s="142"/>
      <c r="N115" s="84" t="str">
        <f>母公司汇总抵销!N115</f>
        <v>F9</v>
      </c>
      <c r="O115" s="28" t="str">
        <f>母公司汇总抵销!O115</f>
        <v>少数股东权益</v>
      </c>
    </row>
    <row r="116" spans="1:15" s="23" customFormat="1">
      <c r="A116" s="453"/>
      <c r="B116" s="453"/>
      <c r="C116" s="454"/>
      <c r="D116" s="455"/>
      <c r="E116" s="456"/>
      <c r="F116" s="456"/>
      <c r="G116" s="455"/>
      <c r="H116" s="456"/>
      <c r="I116" s="456"/>
      <c r="J116" s="457" t="str">
        <f>IF(ABS((SUMIF(E110:E115,"?*",J110:J115)-SUMIF(H110:H115,"?*",J110:J115)))&lt;0.005,"","借贷不等")</f>
        <v/>
      </c>
      <c r="N116" s="84">
        <f>母公司汇总抵销!N116</f>
        <v>0</v>
      </c>
      <c r="O116" s="859" t="str">
        <f>母公司汇总抵销!O116</f>
        <v>股东权益合计</v>
      </c>
    </row>
    <row r="117" spans="1:15" s="23" customFormat="1">
      <c r="A117" s="1159">
        <v>17</v>
      </c>
      <c r="B117" s="1162"/>
      <c r="C117" s="1165"/>
      <c r="D117" s="17"/>
      <c r="E117" s="26" t="str">
        <f t="shared" ref="E117:E122" si="30">IF(D117=0,"",VLOOKUP(D117,$N:$O,2,0))</f>
        <v/>
      </c>
      <c r="F117" s="313"/>
      <c r="G117" s="27"/>
      <c r="H117" s="26" t="str">
        <f t="shared" ref="H117:H122" si="31">IF(G117=0,"",VLOOKUP(G117,$N:$O,2,0))</f>
        <v/>
      </c>
      <c r="I117" s="313"/>
      <c r="J117" s="142"/>
      <c r="N117" s="84">
        <f>母公司汇总抵销!N117</f>
        <v>0</v>
      </c>
      <c r="O117" s="859" t="str">
        <f>母公司汇总抵销!O117</f>
        <v>负债和股东权益合计</v>
      </c>
    </row>
    <row r="118" spans="1:15" s="23" customFormat="1">
      <c r="A118" s="1160"/>
      <c r="B118" s="1163"/>
      <c r="C118" s="1166"/>
      <c r="D118" s="17"/>
      <c r="E118" s="26" t="str">
        <f t="shared" si="30"/>
        <v/>
      </c>
      <c r="F118" s="313"/>
      <c r="G118" s="27"/>
      <c r="H118" s="26" t="str">
        <f t="shared" si="31"/>
        <v/>
      </c>
      <c r="I118" s="313"/>
      <c r="J118" s="142"/>
      <c r="N118" s="84">
        <f>母公司汇总抵销!N118</f>
        <v>0</v>
      </c>
      <c r="O118" s="28" t="str">
        <f>母公司汇总抵销!O118</f>
        <v>0</v>
      </c>
    </row>
    <row r="119" spans="1:15" s="23" customFormat="1">
      <c r="A119" s="1160"/>
      <c r="B119" s="1163"/>
      <c r="C119" s="1166"/>
      <c r="D119" s="17"/>
      <c r="E119" s="26" t="str">
        <f t="shared" si="30"/>
        <v/>
      </c>
      <c r="F119" s="313"/>
      <c r="G119" s="27"/>
      <c r="H119" s="26" t="str">
        <f t="shared" si="31"/>
        <v/>
      </c>
      <c r="I119" s="313"/>
      <c r="J119" s="142"/>
      <c r="N119" s="84">
        <f>母公司汇总抵销!N119</f>
        <v>0</v>
      </c>
      <c r="O119" s="28" t="str">
        <f>母公司汇总抵销!O119</f>
        <v>0</v>
      </c>
    </row>
    <row r="120" spans="1:15" s="23" customFormat="1">
      <c r="A120" s="1160"/>
      <c r="B120" s="1163"/>
      <c r="C120" s="1166"/>
      <c r="D120" s="17"/>
      <c r="E120" s="26" t="str">
        <f t="shared" si="30"/>
        <v/>
      </c>
      <c r="F120" s="313"/>
      <c r="G120" s="27"/>
      <c r="H120" s="26" t="str">
        <f t="shared" si="31"/>
        <v/>
      </c>
      <c r="I120" s="313"/>
      <c r="J120" s="142"/>
      <c r="N120" s="84">
        <f>母公司汇总抵销!N120</f>
        <v>0</v>
      </c>
      <c r="O120" s="28" t="str">
        <f>母公司汇总抵销!O120</f>
        <v/>
      </c>
    </row>
    <row r="121" spans="1:15" s="23" customFormat="1">
      <c r="A121" s="1160"/>
      <c r="B121" s="1163"/>
      <c r="C121" s="1166"/>
      <c r="D121" s="17"/>
      <c r="E121" s="26" t="str">
        <f t="shared" si="30"/>
        <v/>
      </c>
      <c r="F121" s="313"/>
      <c r="G121" s="27"/>
      <c r="H121" s="26" t="str">
        <f t="shared" si="31"/>
        <v/>
      </c>
      <c r="I121" s="313"/>
      <c r="J121" s="142"/>
      <c r="N121" s="84" t="str">
        <f>母公司汇总抵销!N121</f>
        <v>G1</v>
      </c>
      <c r="O121" s="782" t="str">
        <f>母公司汇总抵销!O121</f>
        <v>营业收入</v>
      </c>
    </row>
    <row r="122" spans="1:15" s="23" customFormat="1">
      <c r="A122" s="1161"/>
      <c r="B122" s="1164"/>
      <c r="C122" s="1167"/>
      <c r="D122" s="17"/>
      <c r="E122" s="26" t="str">
        <f t="shared" si="30"/>
        <v/>
      </c>
      <c r="F122" s="313"/>
      <c r="G122" s="27"/>
      <c r="H122" s="26" t="str">
        <f t="shared" si="31"/>
        <v/>
      </c>
      <c r="I122" s="313"/>
      <c r="J122" s="142"/>
      <c r="N122" s="84">
        <f>母公司汇总抵销!N122</f>
        <v>0</v>
      </c>
      <c r="O122" s="28" t="str">
        <f>母公司汇总抵销!O122</f>
        <v>主营业务收入</v>
      </c>
    </row>
    <row r="123" spans="1:15" s="23" customFormat="1">
      <c r="A123" s="453"/>
      <c r="B123" s="453"/>
      <c r="C123" s="454"/>
      <c r="D123" s="455"/>
      <c r="E123" s="456"/>
      <c r="F123" s="456"/>
      <c r="G123" s="455"/>
      <c r="H123" s="456"/>
      <c r="I123" s="456"/>
      <c r="J123" s="457" t="str">
        <f>IF(ABS((SUMIF(E117:E122,"?*",J117:J122)-SUMIF(H117:H122,"?*",J117:J122)))&lt;0.005,"","借贷不等")</f>
        <v/>
      </c>
      <c r="N123" s="84">
        <f>母公司汇总抵销!N123</f>
        <v>0</v>
      </c>
      <c r="O123" s="28" t="str">
        <f>母公司汇总抵销!O123</f>
        <v>利息收入</v>
      </c>
    </row>
    <row r="124" spans="1:15" s="23" customFormat="1">
      <c r="A124" s="1159">
        <v>18</v>
      </c>
      <c r="B124" s="1162"/>
      <c r="C124" s="1165"/>
      <c r="D124" s="17"/>
      <c r="E124" s="26" t="str">
        <f t="shared" ref="E124:E129" si="32">IF(D124=0,"",VLOOKUP(D124,$N:$O,2,0))</f>
        <v/>
      </c>
      <c r="F124" s="313"/>
      <c r="G124" s="27"/>
      <c r="H124" s="26" t="str">
        <f t="shared" ref="H124:H129" si="33">IF(G124=0,"",VLOOKUP(G124,$N:$O,2,0))</f>
        <v/>
      </c>
      <c r="I124" s="313"/>
      <c r="J124" s="142"/>
      <c r="N124" s="84">
        <f>母公司汇总抵销!N124</f>
        <v>0</v>
      </c>
      <c r="O124" s="28" t="str">
        <f>母公司汇总抵销!O124</f>
        <v>已赚保费</v>
      </c>
    </row>
    <row r="125" spans="1:15" s="23" customFormat="1">
      <c r="A125" s="1160"/>
      <c r="B125" s="1163"/>
      <c r="C125" s="1166"/>
      <c r="D125" s="17"/>
      <c r="E125" s="26" t="str">
        <f t="shared" si="32"/>
        <v/>
      </c>
      <c r="F125" s="313"/>
      <c r="G125" s="27"/>
      <c r="H125" s="26" t="str">
        <f t="shared" si="33"/>
        <v/>
      </c>
      <c r="I125" s="313"/>
      <c r="J125" s="142"/>
      <c r="N125" s="84">
        <f>母公司汇总抵销!N125</f>
        <v>0</v>
      </c>
      <c r="O125" s="28" t="str">
        <f>母公司汇总抵销!O125</f>
        <v>手续费及佣金收入</v>
      </c>
    </row>
    <row r="126" spans="1:15" s="23" customFormat="1">
      <c r="A126" s="1160"/>
      <c r="B126" s="1163"/>
      <c r="C126" s="1166"/>
      <c r="D126" s="17"/>
      <c r="E126" s="26" t="str">
        <f t="shared" si="32"/>
        <v/>
      </c>
      <c r="F126" s="313"/>
      <c r="G126" s="27"/>
      <c r="H126" s="26" t="str">
        <f t="shared" si="33"/>
        <v/>
      </c>
      <c r="I126" s="313"/>
      <c r="J126" s="142"/>
      <c r="N126" s="84">
        <f>母公司汇总抵销!N126</f>
        <v>0</v>
      </c>
      <c r="O126" s="28" t="str">
        <f>母公司汇总抵销!O126</f>
        <v>其他业务收入</v>
      </c>
    </row>
    <row r="127" spans="1:15" s="23" customFormat="1">
      <c r="A127" s="1160"/>
      <c r="B127" s="1163"/>
      <c r="C127" s="1166"/>
      <c r="D127" s="17"/>
      <c r="E127" s="26" t="str">
        <f t="shared" si="32"/>
        <v/>
      </c>
      <c r="F127" s="313"/>
      <c r="G127" s="27"/>
      <c r="H127" s="26" t="str">
        <f t="shared" si="33"/>
        <v/>
      </c>
      <c r="I127" s="313"/>
      <c r="J127" s="142"/>
      <c r="N127" s="84" t="str">
        <f>母公司汇总抵销!N127</f>
        <v>G2</v>
      </c>
      <c r="O127" s="782" t="str">
        <f>母公司汇总抵销!O127</f>
        <v>营业成本</v>
      </c>
    </row>
    <row r="128" spans="1:15" s="23" customFormat="1">
      <c r="A128" s="1160"/>
      <c r="B128" s="1163"/>
      <c r="C128" s="1166"/>
      <c r="D128" s="17"/>
      <c r="E128" s="26" t="str">
        <f t="shared" si="32"/>
        <v/>
      </c>
      <c r="F128" s="313"/>
      <c r="G128" s="27"/>
      <c r="H128" s="26" t="str">
        <f t="shared" si="33"/>
        <v/>
      </c>
      <c r="I128" s="313"/>
      <c r="J128" s="142"/>
      <c r="N128" s="84">
        <f>母公司汇总抵销!N128</f>
        <v>0</v>
      </c>
      <c r="O128" s="28" t="str">
        <f>母公司汇总抵销!O128</f>
        <v>主营业务成本</v>
      </c>
    </row>
    <row r="129" spans="1:15" s="23" customFormat="1">
      <c r="A129" s="1161"/>
      <c r="B129" s="1164"/>
      <c r="C129" s="1167"/>
      <c r="D129" s="17"/>
      <c r="E129" s="26" t="str">
        <f t="shared" si="32"/>
        <v/>
      </c>
      <c r="F129" s="313"/>
      <c r="G129" s="27"/>
      <c r="H129" s="26" t="str">
        <f t="shared" si="33"/>
        <v/>
      </c>
      <c r="I129" s="313"/>
      <c r="J129" s="142"/>
      <c r="N129" s="84">
        <f>母公司汇总抵销!N129</f>
        <v>0</v>
      </c>
      <c r="O129" s="28" t="str">
        <f>母公司汇总抵销!O129</f>
        <v>利息支出</v>
      </c>
    </row>
    <row r="130" spans="1:15" s="23" customFormat="1">
      <c r="A130" s="453"/>
      <c r="B130" s="453"/>
      <c r="C130" s="454"/>
      <c r="D130" s="455"/>
      <c r="E130" s="456"/>
      <c r="F130" s="456"/>
      <c r="G130" s="455"/>
      <c r="H130" s="456"/>
      <c r="I130" s="456"/>
      <c r="J130" s="457" t="str">
        <f>IF(ABS((SUMIF(E124:E129,"?*",J124:J129)-SUMIF(H124:H129,"?*",J124:J129)))&lt;0.005,"","借贷不等")</f>
        <v/>
      </c>
      <c r="N130" s="84">
        <f>母公司汇总抵销!N130</f>
        <v>0</v>
      </c>
      <c r="O130" s="28" t="str">
        <f>母公司汇总抵销!O130</f>
        <v>手续费及佣金支出</v>
      </c>
    </row>
    <row r="131" spans="1:15" s="23" customFormat="1">
      <c r="A131" s="1159">
        <v>19</v>
      </c>
      <c r="B131" s="1162"/>
      <c r="C131" s="1165"/>
      <c r="D131" s="17"/>
      <c r="E131" s="26" t="str">
        <f t="shared" ref="E131:E136" si="34">IF(D131=0,"",VLOOKUP(D131,$N:$O,2,0))</f>
        <v/>
      </c>
      <c r="F131" s="313"/>
      <c r="G131" s="27"/>
      <c r="H131" s="26" t="str">
        <f t="shared" ref="H131:H136" si="35">IF(G131=0,"",VLOOKUP(G131,$N:$O,2,0))</f>
        <v/>
      </c>
      <c r="I131" s="313"/>
      <c r="J131" s="142"/>
      <c r="N131" s="84">
        <f>母公司汇总抵销!N131</f>
        <v>0</v>
      </c>
      <c r="O131" s="28" t="str">
        <f>母公司汇总抵销!O131</f>
        <v>退保金</v>
      </c>
    </row>
    <row r="132" spans="1:15" s="23" customFormat="1">
      <c r="A132" s="1160"/>
      <c r="B132" s="1163"/>
      <c r="C132" s="1166"/>
      <c r="D132" s="17"/>
      <c r="E132" s="26" t="str">
        <f t="shared" si="34"/>
        <v/>
      </c>
      <c r="F132" s="313"/>
      <c r="G132" s="27"/>
      <c r="H132" s="26" t="str">
        <f t="shared" si="35"/>
        <v/>
      </c>
      <c r="I132" s="313"/>
      <c r="J132" s="142"/>
      <c r="N132" s="84">
        <f>母公司汇总抵销!N132</f>
        <v>0</v>
      </c>
      <c r="O132" s="28" t="str">
        <f>母公司汇总抵销!O132</f>
        <v>赔付支出净额</v>
      </c>
    </row>
    <row r="133" spans="1:15" s="23" customFormat="1">
      <c r="A133" s="1160"/>
      <c r="B133" s="1163"/>
      <c r="C133" s="1166"/>
      <c r="D133" s="17"/>
      <c r="E133" s="26" t="str">
        <f t="shared" si="34"/>
        <v/>
      </c>
      <c r="F133" s="313"/>
      <c r="G133" s="27"/>
      <c r="H133" s="26" t="str">
        <f t="shared" si="35"/>
        <v/>
      </c>
      <c r="I133" s="313"/>
      <c r="J133" s="142"/>
      <c r="N133" s="84">
        <f>母公司汇总抵销!N133</f>
        <v>0</v>
      </c>
      <c r="O133" s="28" t="str">
        <f>母公司汇总抵销!O133</f>
        <v>提取保险合同准备金净额</v>
      </c>
    </row>
    <row r="134" spans="1:15" s="23" customFormat="1">
      <c r="A134" s="1160"/>
      <c r="B134" s="1163"/>
      <c r="C134" s="1166"/>
      <c r="D134" s="17"/>
      <c r="E134" s="26" t="str">
        <f t="shared" si="34"/>
        <v/>
      </c>
      <c r="F134" s="313"/>
      <c r="G134" s="27"/>
      <c r="H134" s="26" t="str">
        <f t="shared" si="35"/>
        <v/>
      </c>
      <c r="I134" s="313"/>
      <c r="J134" s="142"/>
      <c r="N134" s="84">
        <f>母公司汇总抵销!N134</f>
        <v>0</v>
      </c>
      <c r="O134" s="28" t="str">
        <f>母公司汇总抵销!O134</f>
        <v>保单红利支出</v>
      </c>
    </row>
    <row r="135" spans="1:15" s="23" customFormat="1">
      <c r="A135" s="1160"/>
      <c r="B135" s="1163"/>
      <c r="C135" s="1166"/>
      <c r="D135" s="17"/>
      <c r="E135" s="26" t="str">
        <f t="shared" si="34"/>
        <v/>
      </c>
      <c r="F135" s="313"/>
      <c r="G135" s="27"/>
      <c r="H135" s="26" t="str">
        <f t="shared" si="35"/>
        <v/>
      </c>
      <c r="I135" s="313"/>
      <c r="J135" s="142"/>
      <c r="N135" s="84">
        <f>母公司汇总抵销!N135</f>
        <v>0</v>
      </c>
      <c r="O135" s="28" t="str">
        <f>母公司汇总抵销!O135</f>
        <v>分保费用</v>
      </c>
    </row>
    <row r="136" spans="1:15" s="23" customFormat="1">
      <c r="A136" s="1161"/>
      <c r="B136" s="1164"/>
      <c r="C136" s="1167"/>
      <c r="D136" s="17"/>
      <c r="E136" s="26" t="str">
        <f t="shared" si="34"/>
        <v/>
      </c>
      <c r="F136" s="313"/>
      <c r="G136" s="27"/>
      <c r="H136" s="26" t="str">
        <f t="shared" si="35"/>
        <v/>
      </c>
      <c r="I136" s="313"/>
      <c r="J136" s="142"/>
      <c r="N136" s="84">
        <f>母公司汇总抵销!N136</f>
        <v>0</v>
      </c>
      <c r="O136" s="28" t="str">
        <f>母公司汇总抵销!O136</f>
        <v>其他业务成本</v>
      </c>
    </row>
    <row r="137" spans="1:15" s="23" customFormat="1">
      <c r="A137" s="453"/>
      <c r="B137" s="453"/>
      <c r="C137" s="454"/>
      <c r="D137" s="455"/>
      <c r="E137" s="456"/>
      <c r="F137" s="456"/>
      <c r="G137" s="455"/>
      <c r="H137" s="456"/>
      <c r="I137" s="456"/>
      <c r="J137" s="457" t="str">
        <f>IF(ABS((SUMIF(E131:E136,"?*",J131:J136)-SUMIF(H131:H136,"?*",J131:J136)))&lt;0.005,"","借贷不等")</f>
        <v/>
      </c>
      <c r="N137" s="84" t="str">
        <f>母公司汇总抵销!N137</f>
        <v>G3</v>
      </c>
      <c r="O137" s="28" t="str">
        <f>母公司汇总抵销!O137</f>
        <v>税金及附加</v>
      </c>
    </row>
    <row r="138" spans="1:15" s="23" customFormat="1">
      <c r="A138" s="1159">
        <v>20</v>
      </c>
      <c r="B138" s="1162"/>
      <c r="C138" s="1165"/>
      <c r="D138" s="17"/>
      <c r="E138" s="26" t="str">
        <f t="shared" ref="E138:E143" si="36">IF(D138=0,"",VLOOKUP(D138,$N:$O,2,0))</f>
        <v/>
      </c>
      <c r="F138" s="313"/>
      <c r="G138" s="27"/>
      <c r="H138" s="26" t="str">
        <f t="shared" ref="H138:H143" si="37">IF(G138=0,"",VLOOKUP(G138,$N:$O,2,0))</f>
        <v/>
      </c>
      <c r="I138" s="313"/>
      <c r="J138" s="142"/>
      <c r="N138" s="84" t="str">
        <f>母公司汇总抵销!N138</f>
        <v>G4</v>
      </c>
      <c r="O138" s="28" t="str">
        <f>母公司汇总抵销!O138</f>
        <v>销售费用</v>
      </c>
    </row>
    <row r="139" spans="1:15" s="23" customFormat="1">
      <c r="A139" s="1160"/>
      <c r="B139" s="1163"/>
      <c r="C139" s="1166"/>
      <c r="D139" s="17"/>
      <c r="E139" s="26" t="str">
        <f t="shared" si="36"/>
        <v/>
      </c>
      <c r="F139" s="313"/>
      <c r="G139" s="27"/>
      <c r="H139" s="26" t="str">
        <f t="shared" si="37"/>
        <v/>
      </c>
      <c r="I139" s="313"/>
      <c r="J139" s="142"/>
      <c r="N139" s="84" t="str">
        <f>母公司汇总抵销!N139</f>
        <v>G5</v>
      </c>
      <c r="O139" s="28" t="str">
        <f>母公司汇总抵销!O139</f>
        <v>管理费用</v>
      </c>
    </row>
    <row r="140" spans="1:15" s="23" customFormat="1">
      <c r="A140" s="1160"/>
      <c r="B140" s="1163"/>
      <c r="C140" s="1166"/>
      <c r="D140" s="17"/>
      <c r="E140" s="26" t="str">
        <f t="shared" si="36"/>
        <v/>
      </c>
      <c r="F140" s="313"/>
      <c r="G140" s="27"/>
      <c r="H140" s="26" t="str">
        <f t="shared" si="37"/>
        <v/>
      </c>
      <c r="I140" s="313"/>
      <c r="J140" s="142"/>
      <c r="N140" s="84" t="str">
        <f>母公司汇总抵销!N140</f>
        <v>G6</v>
      </c>
      <c r="O140" s="28" t="str">
        <f>母公司汇总抵销!O140</f>
        <v>研发费用</v>
      </c>
    </row>
    <row r="141" spans="1:15" s="23" customFormat="1">
      <c r="A141" s="1160"/>
      <c r="B141" s="1163"/>
      <c r="C141" s="1166"/>
      <c r="D141" s="17"/>
      <c r="E141" s="26" t="str">
        <f t="shared" si="36"/>
        <v/>
      </c>
      <c r="F141" s="313"/>
      <c r="G141" s="27"/>
      <c r="H141" s="26" t="str">
        <f t="shared" si="37"/>
        <v/>
      </c>
      <c r="I141" s="313"/>
      <c r="J141" s="142"/>
      <c r="N141" s="84" t="str">
        <f>母公司汇总抵销!N141</f>
        <v>G7</v>
      </c>
      <c r="O141" s="28" t="str">
        <f>母公司汇总抵销!O141</f>
        <v>财务费用</v>
      </c>
    </row>
    <row r="142" spans="1:15" s="23" customFormat="1">
      <c r="A142" s="1160"/>
      <c r="B142" s="1163"/>
      <c r="C142" s="1166"/>
      <c r="D142" s="17"/>
      <c r="E142" s="26" t="str">
        <f t="shared" si="36"/>
        <v/>
      </c>
      <c r="F142" s="313"/>
      <c r="G142" s="27"/>
      <c r="H142" s="26" t="str">
        <f t="shared" si="37"/>
        <v/>
      </c>
      <c r="I142" s="313"/>
      <c r="J142" s="142"/>
      <c r="N142" s="84">
        <f>母公司汇总抵销!N142</f>
        <v>0</v>
      </c>
      <c r="O142" s="28" t="str">
        <f>母公司汇总抵销!O142</f>
        <v>利息费用</v>
      </c>
    </row>
    <row r="143" spans="1:15" s="23" customFormat="1">
      <c r="A143" s="1161"/>
      <c r="B143" s="1164"/>
      <c r="C143" s="1167"/>
      <c r="D143" s="17"/>
      <c r="E143" s="26" t="str">
        <f t="shared" si="36"/>
        <v/>
      </c>
      <c r="F143" s="313"/>
      <c r="G143" s="27"/>
      <c r="H143" s="26" t="str">
        <f t="shared" si="37"/>
        <v/>
      </c>
      <c r="I143" s="313"/>
      <c r="J143" s="142"/>
      <c r="N143" s="84">
        <f>母公司汇总抵销!N143</f>
        <v>0</v>
      </c>
      <c r="O143" s="28" t="str">
        <f>母公司汇总抵销!O143</f>
        <v>利息收入</v>
      </c>
    </row>
    <row r="144" spans="1:15" s="23" customFormat="1">
      <c r="A144" s="453"/>
      <c r="B144" s="453"/>
      <c r="C144" s="454"/>
      <c r="D144" s="455"/>
      <c r="E144" s="456"/>
      <c r="F144" s="456"/>
      <c r="G144" s="455"/>
      <c r="H144" s="456"/>
      <c r="I144" s="456"/>
      <c r="J144" s="457" t="str">
        <f>IF(ABS((SUMIF(E138:E143,"?*",J138:J143)-SUMIF(H138:H143,"?*",J138:J143)))&lt;0.005,"","借贷不等")</f>
        <v/>
      </c>
      <c r="N144" s="84" t="str">
        <f>母公司汇总抵销!N144</f>
        <v>G8</v>
      </c>
      <c r="O144" s="28" t="str">
        <f>母公司汇总抵销!O144</f>
        <v>其他收益</v>
      </c>
    </row>
    <row r="145" spans="1:15" s="23" customFormat="1">
      <c r="A145" s="1159">
        <v>21</v>
      </c>
      <c r="B145" s="1162"/>
      <c r="C145" s="1165"/>
      <c r="D145" s="17"/>
      <c r="E145" s="26" t="str">
        <f t="shared" ref="E145:E150" si="38">IF(D145=0,"",VLOOKUP(D145,$N:$O,2,0))</f>
        <v/>
      </c>
      <c r="F145" s="313"/>
      <c r="G145" s="27"/>
      <c r="H145" s="26" t="str">
        <f t="shared" ref="H145:H150" si="39">IF(G145=0,"",VLOOKUP(G145,$N:$O,2,0))</f>
        <v/>
      </c>
      <c r="I145" s="313"/>
      <c r="J145" s="142"/>
      <c r="N145" s="84" t="str">
        <f>母公司汇总抵销!N145</f>
        <v>G9</v>
      </c>
      <c r="O145" s="28" t="str">
        <f>母公司汇总抵销!O145</f>
        <v>投资收益</v>
      </c>
    </row>
    <row r="146" spans="1:15" s="23" customFormat="1">
      <c r="A146" s="1160"/>
      <c r="B146" s="1163"/>
      <c r="C146" s="1166"/>
      <c r="D146" s="17"/>
      <c r="E146" s="26" t="str">
        <f t="shared" si="38"/>
        <v/>
      </c>
      <c r="F146" s="313"/>
      <c r="G146" s="27"/>
      <c r="H146" s="26" t="str">
        <f t="shared" si="39"/>
        <v/>
      </c>
      <c r="I146" s="313"/>
      <c r="J146" s="142"/>
      <c r="N146" s="84">
        <f>母公司汇总抵销!N146</f>
        <v>0</v>
      </c>
      <c r="O146" s="28" t="str">
        <f>母公司汇总抵销!O146</f>
        <v>对联营企业和合营企业的投资收益</v>
      </c>
    </row>
    <row r="147" spans="1:15" s="23" customFormat="1">
      <c r="A147" s="1160"/>
      <c r="B147" s="1163"/>
      <c r="C147" s="1166"/>
      <c r="D147" s="17"/>
      <c r="E147" s="26" t="str">
        <f t="shared" si="38"/>
        <v/>
      </c>
      <c r="F147" s="313"/>
      <c r="G147" s="27"/>
      <c r="H147" s="26" t="str">
        <f t="shared" si="39"/>
        <v/>
      </c>
      <c r="I147" s="313"/>
      <c r="J147" s="142"/>
      <c r="N147" s="84">
        <f>母公司汇总抵销!N147</f>
        <v>0</v>
      </c>
      <c r="O147" s="28" t="str">
        <f>母公司汇总抵销!O147</f>
        <v>以摊余成本计量的金融资产终止确认收益</v>
      </c>
    </row>
    <row r="148" spans="1:15" s="23" customFormat="1">
      <c r="A148" s="1160"/>
      <c r="B148" s="1163"/>
      <c r="C148" s="1166"/>
      <c r="D148" s="17"/>
      <c r="E148" s="26" t="str">
        <f t="shared" si="38"/>
        <v/>
      </c>
      <c r="F148" s="313"/>
      <c r="G148" s="27"/>
      <c r="H148" s="26" t="str">
        <f t="shared" si="39"/>
        <v/>
      </c>
      <c r="I148" s="313"/>
      <c r="J148" s="142"/>
      <c r="N148" s="84" t="str">
        <f>母公司汇总抵销!N148</f>
        <v>G10</v>
      </c>
      <c r="O148" s="28" t="str">
        <f>母公司汇总抵销!O148</f>
        <v>净敞口套期收益</v>
      </c>
    </row>
    <row r="149" spans="1:15" s="23" customFormat="1">
      <c r="A149" s="1160"/>
      <c r="B149" s="1163"/>
      <c r="C149" s="1166"/>
      <c r="D149" s="17"/>
      <c r="E149" s="26" t="str">
        <f t="shared" si="38"/>
        <v/>
      </c>
      <c r="F149" s="313"/>
      <c r="G149" s="27"/>
      <c r="H149" s="26" t="str">
        <f t="shared" si="39"/>
        <v/>
      </c>
      <c r="I149" s="313"/>
      <c r="J149" s="142"/>
      <c r="N149" s="84" t="str">
        <f>母公司汇总抵销!N149</f>
        <v>G11</v>
      </c>
      <c r="O149" s="28" t="str">
        <f>母公司汇总抵销!O149</f>
        <v>公允价值变动收益</v>
      </c>
    </row>
    <row r="150" spans="1:15" s="23" customFormat="1">
      <c r="A150" s="1161"/>
      <c r="B150" s="1164"/>
      <c r="C150" s="1167"/>
      <c r="D150" s="17"/>
      <c r="E150" s="26" t="str">
        <f t="shared" si="38"/>
        <v/>
      </c>
      <c r="F150" s="313"/>
      <c r="G150" s="27"/>
      <c r="H150" s="26" t="str">
        <f t="shared" si="39"/>
        <v/>
      </c>
      <c r="I150" s="313"/>
      <c r="J150" s="142"/>
      <c r="N150" s="84" t="str">
        <f>母公司汇总抵销!N150</f>
        <v>G12</v>
      </c>
      <c r="O150" s="28" t="str">
        <f>母公司汇总抵销!O150</f>
        <v>信用减值损失(损</v>
      </c>
    </row>
    <row r="151" spans="1:15" s="23" customFormat="1">
      <c r="A151" s="453"/>
      <c r="B151" s="453"/>
      <c r="C151" s="454"/>
      <c r="D151" s="455"/>
      <c r="E151" s="456"/>
      <c r="F151" s="456"/>
      <c r="G151" s="455"/>
      <c r="H151" s="456"/>
      <c r="I151" s="456"/>
      <c r="J151" s="457" t="str">
        <f>IF(ABS((SUMIF(E145:E150,"?*",J145:J150)-SUMIF(H145:H150,"?*",J145:J150)))&lt;0.005,"","借贷不等")</f>
        <v/>
      </c>
      <c r="N151" s="84" t="str">
        <f>母公司汇总抵销!N151</f>
        <v>G13</v>
      </c>
      <c r="O151" s="28" t="str">
        <f>母公司汇总抵销!O151</f>
        <v>资产减值损失</v>
      </c>
    </row>
    <row r="152" spans="1:15" s="23" customFormat="1">
      <c r="A152" s="1159">
        <v>22</v>
      </c>
      <c r="B152" s="1162"/>
      <c r="C152" s="1165"/>
      <c r="D152" s="17"/>
      <c r="E152" s="26" t="str">
        <f t="shared" ref="E152:E157" si="40">IF(D152=0,"",VLOOKUP(D152,$N:$O,2,0))</f>
        <v/>
      </c>
      <c r="F152" s="313"/>
      <c r="G152" s="27"/>
      <c r="H152" s="26" t="str">
        <f t="shared" ref="H152:H157" si="41">IF(G152=0,"",VLOOKUP(G152,$N:$O,2,0))</f>
        <v/>
      </c>
      <c r="I152" s="313"/>
      <c r="J152" s="142"/>
      <c r="N152" s="84" t="str">
        <f>母公司汇总抵销!N152</f>
        <v>G14</v>
      </c>
      <c r="O152" s="28" t="str">
        <f>母公司汇总抵销!O152</f>
        <v>资产处置收益</v>
      </c>
    </row>
    <row r="153" spans="1:15" s="23" customFormat="1">
      <c r="A153" s="1160"/>
      <c r="B153" s="1163"/>
      <c r="C153" s="1166"/>
      <c r="D153" s="17"/>
      <c r="E153" s="26" t="str">
        <f t="shared" si="40"/>
        <v/>
      </c>
      <c r="F153" s="313"/>
      <c r="G153" s="27"/>
      <c r="H153" s="26" t="str">
        <f t="shared" si="41"/>
        <v/>
      </c>
      <c r="I153" s="313"/>
      <c r="J153" s="142"/>
      <c r="N153" s="84">
        <f>母公司汇总抵销!N153</f>
        <v>0</v>
      </c>
      <c r="O153" s="782" t="str">
        <f>母公司汇总抵销!O153</f>
        <v>营业利润</v>
      </c>
    </row>
    <row r="154" spans="1:15" s="23" customFormat="1">
      <c r="A154" s="1160"/>
      <c r="B154" s="1163"/>
      <c r="C154" s="1166"/>
      <c r="D154" s="17"/>
      <c r="E154" s="26" t="str">
        <f t="shared" si="40"/>
        <v/>
      </c>
      <c r="F154" s="313"/>
      <c r="G154" s="27"/>
      <c r="H154" s="26" t="str">
        <f t="shared" si="41"/>
        <v/>
      </c>
      <c r="I154" s="313"/>
      <c r="J154" s="142"/>
      <c r="N154" s="84" t="str">
        <f>母公司汇总抵销!N154</f>
        <v>G15</v>
      </c>
      <c r="O154" s="28" t="str">
        <f>母公司汇总抵销!O154</f>
        <v>营业外收入</v>
      </c>
    </row>
    <row r="155" spans="1:15" s="23" customFormat="1">
      <c r="A155" s="1160"/>
      <c r="B155" s="1163"/>
      <c r="C155" s="1166"/>
      <c r="D155" s="17"/>
      <c r="E155" s="26" t="str">
        <f t="shared" si="40"/>
        <v/>
      </c>
      <c r="F155" s="313"/>
      <c r="G155" s="27"/>
      <c r="H155" s="26" t="str">
        <f t="shared" si="41"/>
        <v/>
      </c>
      <c r="I155" s="313"/>
      <c r="J155" s="142"/>
      <c r="N155" s="84" t="str">
        <f>母公司汇总抵销!N155</f>
        <v>G16</v>
      </c>
      <c r="O155" s="28" t="str">
        <f>母公司汇总抵销!O155</f>
        <v>营业外支出</v>
      </c>
    </row>
    <row r="156" spans="1:15" s="23" customFormat="1">
      <c r="A156" s="1160"/>
      <c r="B156" s="1163"/>
      <c r="C156" s="1166"/>
      <c r="D156" s="17"/>
      <c r="E156" s="26" t="str">
        <f t="shared" si="40"/>
        <v/>
      </c>
      <c r="F156" s="313"/>
      <c r="G156" s="27"/>
      <c r="H156" s="26" t="str">
        <f t="shared" si="41"/>
        <v/>
      </c>
      <c r="I156" s="313"/>
      <c r="J156" s="142"/>
      <c r="N156" s="84">
        <f>母公司汇总抵销!N156</f>
        <v>0</v>
      </c>
      <c r="O156" s="782" t="str">
        <f>母公司汇总抵销!O156</f>
        <v>利润总额</v>
      </c>
    </row>
    <row r="157" spans="1:15" s="23" customFormat="1">
      <c r="A157" s="1161"/>
      <c r="B157" s="1164"/>
      <c r="C157" s="1167"/>
      <c r="D157" s="17"/>
      <c r="E157" s="26" t="str">
        <f t="shared" si="40"/>
        <v/>
      </c>
      <c r="F157" s="313"/>
      <c r="G157" s="27"/>
      <c r="H157" s="26" t="str">
        <f t="shared" si="41"/>
        <v/>
      </c>
      <c r="I157" s="313"/>
      <c r="J157" s="142"/>
      <c r="N157" s="84" t="str">
        <f>母公司汇总抵销!N157</f>
        <v>G17</v>
      </c>
      <c r="O157" s="28" t="str">
        <f>母公司汇总抵销!O157</f>
        <v>所得税费用</v>
      </c>
    </row>
    <row r="158" spans="1:15" s="23" customFormat="1">
      <c r="A158" s="453"/>
      <c r="B158" s="453"/>
      <c r="C158" s="454"/>
      <c r="D158" s="455"/>
      <c r="E158" s="456"/>
      <c r="F158" s="456"/>
      <c r="G158" s="455"/>
      <c r="H158" s="456"/>
      <c r="I158" s="456"/>
      <c r="J158" s="457" t="str">
        <f>IF(ABS((SUMIF(E152:E157,"?*",J152:J157)-SUMIF(H152:H157,"?*",J152:J157)))&lt;0.005,"","借贷不等")</f>
        <v/>
      </c>
      <c r="N158" s="84" t="str">
        <f>母公司汇总抵销!N158</f>
        <v>G18</v>
      </c>
      <c r="O158" s="28" t="str">
        <f>母公司汇总抵销!O158</f>
        <v>0</v>
      </c>
    </row>
    <row r="159" spans="1:15" s="23" customFormat="1">
      <c r="A159" s="1159">
        <v>23</v>
      </c>
      <c r="B159" s="1162"/>
      <c r="C159" s="1165"/>
      <c r="D159" s="17"/>
      <c r="E159" s="26" t="str">
        <f t="shared" ref="E159:E164" si="42">IF(D159=0,"",VLOOKUP(D159,$N:$O,2,0))</f>
        <v/>
      </c>
      <c r="F159" s="313"/>
      <c r="G159" s="27"/>
      <c r="H159" s="26" t="str">
        <f t="shared" ref="H159:H164" si="43">IF(G159=0,"",VLOOKUP(G159,$N:$O,2,0))</f>
        <v/>
      </c>
      <c r="I159" s="313"/>
      <c r="J159" s="142"/>
      <c r="N159" s="84">
        <f>母公司汇总抵销!N159</f>
        <v>0</v>
      </c>
      <c r="O159" s="782" t="str">
        <f>母公司汇总抵销!O159</f>
        <v>净利润</v>
      </c>
    </row>
    <row r="160" spans="1:15" s="23" customFormat="1">
      <c r="A160" s="1160"/>
      <c r="B160" s="1163"/>
      <c r="C160" s="1166"/>
      <c r="D160" s="17"/>
      <c r="E160" s="26" t="str">
        <f t="shared" si="42"/>
        <v/>
      </c>
      <c r="F160" s="313"/>
      <c r="G160" s="27"/>
      <c r="H160" s="26" t="str">
        <f t="shared" si="43"/>
        <v/>
      </c>
      <c r="I160" s="313"/>
      <c r="J160" s="142"/>
      <c r="N160" s="84">
        <f>母公司汇总抵销!N160</f>
        <v>0</v>
      </c>
      <c r="O160" s="28" t="str">
        <f>母公司汇总抵销!O160</f>
        <v>（一）按经营持续性分类</v>
      </c>
    </row>
    <row r="161" spans="1:15" s="23" customFormat="1">
      <c r="A161" s="1160"/>
      <c r="B161" s="1163"/>
      <c r="C161" s="1166"/>
      <c r="D161" s="17"/>
      <c r="E161" s="26" t="str">
        <f t="shared" si="42"/>
        <v/>
      </c>
      <c r="F161" s="313"/>
      <c r="G161" s="27"/>
      <c r="H161" s="26" t="str">
        <f t="shared" si="43"/>
        <v/>
      </c>
      <c r="I161" s="313"/>
      <c r="J161" s="142"/>
      <c r="N161" s="84">
        <f>母公司汇总抵销!N161</f>
        <v>0</v>
      </c>
      <c r="O161" s="28" t="str">
        <f>母公司汇总抵销!O161</f>
        <v>持续经营净利润</v>
      </c>
    </row>
    <row r="162" spans="1:15" s="23" customFormat="1">
      <c r="A162" s="1160"/>
      <c r="B162" s="1163"/>
      <c r="C162" s="1166"/>
      <c r="D162" s="17"/>
      <c r="E162" s="26" t="str">
        <f t="shared" si="42"/>
        <v/>
      </c>
      <c r="F162" s="313"/>
      <c r="G162" s="27"/>
      <c r="H162" s="26" t="str">
        <f t="shared" si="43"/>
        <v/>
      </c>
      <c r="I162" s="313"/>
      <c r="J162" s="142"/>
      <c r="N162" s="84">
        <f>母公司汇总抵销!N162</f>
        <v>0</v>
      </c>
      <c r="O162" s="28" t="str">
        <f>母公司汇总抵销!O162</f>
        <v>终止经营净利润</v>
      </c>
    </row>
    <row r="163" spans="1:15" s="23" customFormat="1">
      <c r="A163" s="1160"/>
      <c r="B163" s="1163"/>
      <c r="C163" s="1166"/>
      <c r="D163" s="17"/>
      <c r="E163" s="26" t="str">
        <f t="shared" si="42"/>
        <v/>
      </c>
      <c r="F163" s="313"/>
      <c r="G163" s="27"/>
      <c r="H163" s="26" t="str">
        <f t="shared" si="43"/>
        <v/>
      </c>
      <c r="I163" s="313"/>
      <c r="J163" s="142"/>
      <c r="N163" s="84">
        <f>母公司汇总抵销!N163</f>
        <v>0</v>
      </c>
      <c r="O163" s="28" t="str">
        <f>母公司汇总抵销!O163</f>
        <v>（二）按所有权归属分类</v>
      </c>
    </row>
    <row r="164" spans="1:15" s="23" customFormat="1">
      <c r="A164" s="1161"/>
      <c r="B164" s="1164"/>
      <c r="C164" s="1167"/>
      <c r="D164" s="17"/>
      <c r="E164" s="26" t="str">
        <f t="shared" si="42"/>
        <v/>
      </c>
      <c r="F164" s="313"/>
      <c r="G164" s="27"/>
      <c r="H164" s="26" t="str">
        <f t="shared" si="43"/>
        <v/>
      </c>
      <c r="I164" s="313"/>
      <c r="J164" s="142"/>
      <c r="N164" s="84">
        <f>母公司汇总抵销!N164</f>
        <v>0</v>
      </c>
      <c r="O164" s="28" t="str">
        <f>母公司汇总抵销!O164</f>
        <v>归属于母公司股东的净利润</v>
      </c>
    </row>
    <row r="165" spans="1:15" s="23" customFormat="1">
      <c r="A165" s="453"/>
      <c r="B165" s="453"/>
      <c r="C165" s="454"/>
      <c r="D165" s="455"/>
      <c r="E165" s="456"/>
      <c r="F165" s="456"/>
      <c r="G165" s="455"/>
      <c r="H165" s="456"/>
      <c r="I165" s="456"/>
      <c r="J165" s="457" t="str">
        <f>IF(ABS((SUMIF(E159:E164,"?*",J159:J164)-SUMIF(H159:H164,"?*",J159:J164)))&lt;0.005,"","借贷不等")</f>
        <v/>
      </c>
      <c r="N165" s="84" t="str">
        <f>母公司汇总抵销!N165</f>
        <v>G19</v>
      </c>
      <c r="O165" s="28" t="str">
        <f>母公司汇总抵销!O165</f>
        <v>少数股东损益</v>
      </c>
    </row>
    <row r="166" spans="1:15" s="23" customFormat="1">
      <c r="A166" s="1159">
        <v>24</v>
      </c>
      <c r="B166" s="1162"/>
      <c r="C166" s="1165"/>
      <c r="D166" s="17"/>
      <c r="E166" s="26" t="str">
        <f t="shared" ref="E166:E171" si="44">IF(D166=0,"",VLOOKUP(D166,$N:$O,2,0))</f>
        <v/>
      </c>
      <c r="F166" s="313"/>
      <c r="G166" s="27"/>
      <c r="H166" s="26" t="str">
        <f t="shared" ref="H166:H171" si="45">IF(G166=0,"",VLOOKUP(G166,$N:$O,2,0))</f>
        <v/>
      </c>
      <c r="I166" s="313"/>
      <c r="J166" s="142"/>
      <c r="N166" s="84">
        <f>母公司汇总抵销!N166</f>
        <v>0</v>
      </c>
      <c r="O166" s="782" t="str">
        <f>母公司汇总抵销!O166</f>
        <v>其他综合收益的税后净额</v>
      </c>
    </row>
    <row r="167" spans="1:15" s="23" customFormat="1">
      <c r="A167" s="1160"/>
      <c r="B167" s="1163"/>
      <c r="C167" s="1166"/>
      <c r="D167" s="17"/>
      <c r="E167" s="26" t="str">
        <f t="shared" si="44"/>
        <v/>
      </c>
      <c r="F167" s="313"/>
      <c r="G167" s="27"/>
      <c r="H167" s="26" t="str">
        <f t="shared" si="45"/>
        <v/>
      </c>
      <c r="I167" s="313"/>
      <c r="J167" s="142"/>
      <c r="N167" s="84">
        <f>母公司汇总抵销!N167</f>
        <v>0</v>
      </c>
      <c r="O167" s="28" t="str">
        <f>母公司汇总抵销!O167</f>
        <v>归属于母公司股东的其他综合收益的税后净额</v>
      </c>
    </row>
    <row r="168" spans="1:15" s="23" customFormat="1">
      <c r="A168" s="1160"/>
      <c r="B168" s="1163"/>
      <c r="C168" s="1166"/>
      <c r="D168" s="17"/>
      <c r="E168" s="26" t="str">
        <f t="shared" si="44"/>
        <v/>
      </c>
      <c r="F168" s="313"/>
      <c r="G168" s="27"/>
      <c r="H168" s="26" t="str">
        <f t="shared" si="45"/>
        <v/>
      </c>
      <c r="I168" s="313"/>
      <c r="J168" s="142"/>
      <c r="N168" s="84">
        <f>母公司汇总抵销!N168</f>
        <v>0</v>
      </c>
      <c r="O168" s="28" t="str">
        <f>母公司汇总抵销!O168</f>
        <v>（一）不能重分类进损益的其他综合收益</v>
      </c>
    </row>
    <row r="169" spans="1:15" s="23" customFormat="1">
      <c r="A169" s="1160"/>
      <c r="B169" s="1163"/>
      <c r="C169" s="1166"/>
      <c r="D169" s="17"/>
      <c r="E169" s="26" t="str">
        <f t="shared" si="44"/>
        <v/>
      </c>
      <c r="F169" s="313"/>
      <c r="G169" s="27"/>
      <c r="H169" s="26" t="str">
        <f t="shared" si="45"/>
        <v/>
      </c>
      <c r="I169" s="313"/>
      <c r="J169" s="142"/>
      <c r="N169" s="84" t="str">
        <f>母公司汇总抵销!N169</f>
        <v>G21</v>
      </c>
      <c r="O169" s="28" t="str">
        <f>母公司汇总抵销!O169</f>
        <v>1.重新计量设定受益计划变动额</v>
      </c>
    </row>
    <row r="170" spans="1:15" s="23" customFormat="1">
      <c r="A170" s="1160"/>
      <c r="B170" s="1163"/>
      <c r="C170" s="1166"/>
      <c r="D170" s="17"/>
      <c r="E170" s="26" t="str">
        <f t="shared" si="44"/>
        <v/>
      </c>
      <c r="F170" s="313"/>
      <c r="G170" s="27"/>
      <c r="H170" s="26" t="str">
        <f t="shared" si="45"/>
        <v/>
      </c>
      <c r="I170" s="313"/>
      <c r="J170" s="142"/>
      <c r="N170" s="84" t="str">
        <f>母公司汇总抵销!N170</f>
        <v>G22</v>
      </c>
      <c r="O170" s="28" t="str">
        <f>母公司汇总抵销!O170</f>
        <v>2.权益法下不能转损益的其他综合收益</v>
      </c>
    </row>
    <row r="171" spans="1:15" s="23" customFormat="1">
      <c r="A171" s="1161"/>
      <c r="B171" s="1164"/>
      <c r="C171" s="1167"/>
      <c r="D171" s="17"/>
      <c r="E171" s="26" t="str">
        <f t="shared" si="44"/>
        <v/>
      </c>
      <c r="F171" s="313"/>
      <c r="G171" s="27"/>
      <c r="H171" s="26" t="str">
        <f t="shared" si="45"/>
        <v/>
      </c>
      <c r="I171" s="313"/>
      <c r="J171" s="142"/>
      <c r="N171" s="84" t="str">
        <f>母公司汇总抵销!N171</f>
        <v>G23</v>
      </c>
      <c r="O171" s="28" t="str">
        <f>母公司汇总抵销!O171</f>
        <v>3.其他权益工具投资公允价值变动</v>
      </c>
    </row>
    <row r="172" spans="1:15" s="23" customFormat="1">
      <c r="A172" s="453"/>
      <c r="B172" s="453"/>
      <c r="C172" s="454"/>
      <c r="D172" s="455"/>
      <c r="E172" s="456"/>
      <c r="F172" s="456"/>
      <c r="G172" s="455"/>
      <c r="H172" s="456"/>
      <c r="I172" s="456"/>
      <c r="J172" s="457" t="str">
        <f>IF(ABS((SUMIF(E166:E171,"?*",J166:J171)-SUMIF(H166:H171,"?*",J166:J171)))&lt;0.005,"","借贷不等")</f>
        <v/>
      </c>
      <c r="N172" s="84" t="str">
        <f>母公司汇总抵销!N172</f>
        <v>G24</v>
      </c>
      <c r="O172" s="28" t="str">
        <f>母公司汇总抵销!O172</f>
        <v>4.企业自身信用风险公允价值变动</v>
      </c>
    </row>
    <row r="173" spans="1:15" s="23" customFormat="1">
      <c r="A173" s="1159">
        <v>25</v>
      </c>
      <c r="B173" s="1162"/>
      <c r="C173" s="1165"/>
      <c r="D173" s="17"/>
      <c r="E173" s="26" t="str">
        <f t="shared" ref="E173:E178" si="46">IF(D173=0,"",VLOOKUP(D173,$N:$O,2,0))</f>
        <v/>
      </c>
      <c r="F173" s="313"/>
      <c r="G173" s="27"/>
      <c r="H173" s="26" t="str">
        <f t="shared" ref="H173:H178" si="47">IF(G173=0,"",VLOOKUP(G173,$N:$O,2,0))</f>
        <v/>
      </c>
      <c r="I173" s="313"/>
      <c r="J173" s="142"/>
      <c r="N173" s="84" t="str">
        <f>母公司汇总抵销!N173</f>
        <v>G25</v>
      </c>
      <c r="O173" s="28" t="str">
        <f>母公司汇总抵销!O173</f>
        <v>5.其他</v>
      </c>
    </row>
    <row r="174" spans="1:15" s="23" customFormat="1">
      <c r="A174" s="1160"/>
      <c r="B174" s="1163"/>
      <c r="C174" s="1166"/>
      <c r="D174" s="17"/>
      <c r="E174" s="26" t="str">
        <f t="shared" si="46"/>
        <v/>
      </c>
      <c r="F174" s="313"/>
      <c r="G174" s="27"/>
      <c r="H174" s="26" t="str">
        <f t="shared" si="47"/>
        <v/>
      </c>
      <c r="I174" s="313"/>
      <c r="J174" s="142"/>
      <c r="N174" s="84">
        <f>母公司汇总抵销!N174</f>
        <v>0</v>
      </c>
      <c r="O174" s="28" t="str">
        <f>母公司汇总抵销!O174</f>
        <v>（二）将重分类进损益的其他综合收益</v>
      </c>
    </row>
    <row r="175" spans="1:15" s="23" customFormat="1">
      <c r="A175" s="1160"/>
      <c r="B175" s="1163"/>
      <c r="C175" s="1166"/>
      <c r="D175" s="17"/>
      <c r="E175" s="26" t="str">
        <f t="shared" si="46"/>
        <v/>
      </c>
      <c r="F175" s="313"/>
      <c r="G175" s="27"/>
      <c r="H175" s="26" t="str">
        <f t="shared" si="47"/>
        <v/>
      </c>
      <c r="I175" s="313"/>
      <c r="J175" s="142"/>
      <c r="N175" s="84" t="str">
        <f>母公司汇总抵销!N175</f>
        <v>G26</v>
      </c>
      <c r="O175" s="28" t="str">
        <f>母公司汇总抵销!O175</f>
        <v>1.权益法下可转损益的其他综合收益</v>
      </c>
    </row>
    <row r="176" spans="1:15" s="23" customFormat="1">
      <c r="A176" s="1160"/>
      <c r="B176" s="1163"/>
      <c r="C176" s="1166"/>
      <c r="D176" s="17"/>
      <c r="E176" s="26" t="str">
        <f t="shared" si="46"/>
        <v/>
      </c>
      <c r="F176" s="313"/>
      <c r="G176" s="27"/>
      <c r="H176" s="26" t="str">
        <f t="shared" si="47"/>
        <v/>
      </c>
      <c r="I176" s="313"/>
      <c r="J176" s="142"/>
      <c r="N176" s="84" t="str">
        <f>母公司汇总抵销!N176</f>
        <v>G27</v>
      </c>
      <c r="O176" s="28" t="str">
        <f>母公司汇总抵销!O176</f>
        <v>2.其他债权投资公允价值变动</v>
      </c>
    </row>
    <row r="177" spans="1:15" s="23" customFormat="1">
      <c r="A177" s="1160"/>
      <c r="B177" s="1163"/>
      <c r="C177" s="1166"/>
      <c r="D177" s="17"/>
      <c r="E177" s="26" t="str">
        <f t="shared" si="46"/>
        <v/>
      </c>
      <c r="F177" s="313"/>
      <c r="G177" s="27"/>
      <c r="H177" s="26" t="str">
        <f t="shared" si="47"/>
        <v/>
      </c>
      <c r="I177" s="313"/>
      <c r="J177" s="142"/>
      <c r="N177" s="84" t="str">
        <f>母公司汇总抵销!N177</f>
        <v>G28</v>
      </c>
      <c r="O177" s="28" t="str">
        <f>母公司汇总抵销!O177</f>
        <v>3.可供出售金融资产公允价值变动损益</v>
      </c>
    </row>
    <row r="178" spans="1:15" s="23" customFormat="1">
      <c r="A178" s="1161"/>
      <c r="B178" s="1164"/>
      <c r="C178" s="1167"/>
      <c r="D178" s="17"/>
      <c r="E178" s="26" t="str">
        <f t="shared" si="46"/>
        <v/>
      </c>
      <c r="F178" s="313"/>
      <c r="G178" s="27"/>
      <c r="H178" s="26" t="str">
        <f t="shared" si="47"/>
        <v/>
      </c>
      <c r="I178" s="313"/>
      <c r="J178" s="142"/>
      <c r="N178" s="84" t="str">
        <f>母公司汇总抵销!N178</f>
        <v>G29</v>
      </c>
      <c r="O178" s="28" t="str">
        <f>母公司汇总抵销!O178</f>
        <v>4.金融资产重分类计入其他综合收益的金额</v>
      </c>
    </row>
    <row r="179" spans="1:15" s="23" customFormat="1">
      <c r="A179" s="453"/>
      <c r="B179" s="453"/>
      <c r="C179" s="454"/>
      <c r="D179" s="455"/>
      <c r="E179" s="456"/>
      <c r="F179" s="456"/>
      <c r="G179" s="455"/>
      <c r="H179" s="456"/>
      <c r="I179" s="456"/>
      <c r="J179" s="457" t="str">
        <f>IF(ABS((SUMIF(E173:E178,"?*",J173:J178)-SUMIF(H173:H178,"?*",J173:J178)))&lt;0.005,"","借贷不等")</f>
        <v/>
      </c>
      <c r="N179" s="84" t="str">
        <f>母公司汇总抵销!N179</f>
        <v>G30</v>
      </c>
      <c r="O179" s="28" t="str">
        <f>母公司汇总抵销!O179</f>
        <v>5.持有至到期投资重分类为可供出售金融资产损益</v>
      </c>
    </row>
    <row r="180" spans="1:15" s="23" customFormat="1">
      <c r="A180" s="1159">
        <v>26</v>
      </c>
      <c r="B180" s="1162"/>
      <c r="C180" s="1165"/>
      <c r="D180" s="17"/>
      <c r="E180" s="26" t="str">
        <f t="shared" ref="E180:E185" si="48">IF(D180=0,"",VLOOKUP(D180,$N:$O,2,0))</f>
        <v/>
      </c>
      <c r="F180" s="313"/>
      <c r="G180" s="27"/>
      <c r="H180" s="26" t="str">
        <f t="shared" ref="H180:H185" si="49">IF(G180=0,"",VLOOKUP(G180,$N:$O,2,0))</f>
        <v/>
      </c>
      <c r="I180" s="313"/>
      <c r="J180" s="142"/>
      <c r="N180" s="84" t="str">
        <f>母公司汇总抵销!N180</f>
        <v>G31</v>
      </c>
      <c r="O180" s="28" t="str">
        <f>母公司汇总抵销!O180</f>
        <v>6.其他债权投资信用减值准备</v>
      </c>
    </row>
    <row r="181" spans="1:15" s="23" customFormat="1">
      <c r="A181" s="1160"/>
      <c r="B181" s="1163"/>
      <c r="C181" s="1166"/>
      <c r="D181" s="17"/>
      <c r="E181" s="26" t="str">
        <f t="shared" si="48"/>
        <v/>
      </c>
      <c r="F181" s="313"/>
      <c r="G181" s="27"/>
      <c r="H181" s="26" t="str">
        <f t="shared" si="49"/>
        <v/>
      </c>
      <c r="I181" s="313"/>
      <c r="J181" s="142"/>
      <c r="N181" s="84" t="str">
        <f>母公司汇总抵销!N181</f>
        <v>G32</v>
      </c>
      <c r="O181" s="28" t="str">
        <f>母公司汇总抵销!O181</f>
        <v>7.现金流量套期储备</v>
      </c>
    </row>
    <row r="182" spans="1:15" s="23" customFormat="1">
      <c r="A182" s="1160"/>
      <c r="B182" s="1163"/>
      <c r="C182" s="1166"/>
      <c r="D182" s="17"/>
      <c r="E182" s="26" t="str">
        <f t="shared" si="48"/>
        <v/>
      </c>
      <c r="F182" s="313"/>
      <c r="G182" s="27"/>
      <c r="H182" s="26" t="str">
        <f t="shared" si="49"/>
        <v/>
      </c>
      <c r="I182" s="313"/>
      <c r="J182" s="142"/>
      <c r="N182" s="84" t="str">
        <f>母公司汇总抵销!N182</f>
        <v>G33</v>
      </c>
      <c r="O182" s="28" t="str">
        <f>母公司汇总抵销!O182</f>
        <v>8.外币财务报表折算差额</v>
      </c>
    </row>
    <row r="183" spans="1:15" s="23" customFormat="1">
      <c r="A183" s="1160"/>
      <c r="B183" s="1163"/>
      <c r="C183" s="1166"/>
      <c r="D183" s="17"/>
      <c r="E183" s="26" t="str">
        <f t="shared" si="48"/>
        <v/>
      </c>
      <c r="F183" s="313"/>
      <c r="G183" s="27"/>
      <c r="H183" s="26" t="str">
        <f t="shared" si="49"/>
        <v/>
      </c>
      <c r="I183" s="313"/>
      <c r="J183" s="142"/>
      <c r="N183" s="84" t="str">
        <f>母公司汇总抵销!N183</f>
        <v>G34</v>
      </c>
      <c r="O183" s="28" t="str">
        <f>母公司汇总抵销!O183</f>
        <v>9.自用房地产或作为存货的房地产转换为以公允价值计量的投资性房地产在转换日公允价值大于账面价值部分</v>
      </c>
    </row>
    <row r="184" spans="1:15" s="23" customFormat="1">
      <c r="A184" s="1160"/>
      <c r="B184" s="1163"/>
      <c r="C184" s="1166"/>
      <c r="D184" s="17"/>
      <c r="E184" s="26" t="str">
        <f t="shared" si="48"/>
        <v/>
      </c>
      <c r="F184" s="313"/>
      <c r="G184" s="27"/>
      <c r="H184" s="26" t="str">
        <f t="shared" si="49"/>
        <v/>
      </c>
      <c r="I184" s="313"/>
      <c r="J184" s="142"/>
      <c r="N184" s="84" t="str">
        <f>母公司汇总抵销!N184</f>
        <v>G35</v>
      </c>
      <c r="O184" s="28" t="str">
        <f>母公司汇总抵销!O184</f>
        <v>10.多次交易分步处置子公司股权构成一揽子交易的，丧失控制权之前各次交易处置价款与对应净资产账面价值份额的差额</v>
      </c>
    </row>
    <row r="185" spans="1:15" s="23" customFormat="1">
      <c r="A185" s="1161"/>
      <c r="B185" s="1164"/>
      <c r="C185" s="1167"/>
      <c r="D185" s="17"/>
      <c r="E185" s="26" t="str">
        <f t="shared" si="48"/>
        <v/>
      </c>
      <c r="F185" s="313"/>
      <c r="G185" s="27"/>
      <c r="H185" s="26" t="str">
        <f t="shared" si="49"/>
        <v/>
      </c>
      <c r="I185" s="313"/>
      <c r="J185" s="142"/>
      <c r="N185" s="84" t="str">
        <f>母公司汇总抵销!N185</f>
        <v>G36</v>
      </c>
      <c r="O185" s="28" t="str">
        <f>母公司汇总抵销!O185</f>
        <v>11.其他</v>
      </c>
    </row>
    <row r="186" spans="1:15" s="23" customFormat="1">
      <c r="A186" s="453"/>
      <c r="B186" s="453"/>
      <c r="C186" s="454"/>
      <c r="D186" s="455"/>
      <c r="E186" s="456"/>
      <c r="F186" s="456"/>
      <c r="G186" s="455"/>
      <c r="H186" s="456"/>
      <c r="I186" s="456"/>
      <c r="J186" s="457" t="str">
        <f>IF(ABS((SUMIF(E180:E185,"?*",J180:J185)-SUMIF(H180:H185,"?*",J180:J185)))&lt;0.005,"","借贷不等")</f>
        <v/>
      </c>
      <c r="N186" s="84" t="str">
        <f>母公司汇总抵销!N186</f>
        <v>G37</v>
      </c>
      <c r="O186" s="28" t="str">
        <f>母公司汇总抵销!O186</f>
        <v>归属于少数股东的其他综合收益的税后净额</v>
      </c>
    </row>
    <row r="187" spans="1:15" s="23" customFormat="1">
      <c r="A187" s="1159">
        <v>27</v>
      </c>
      <c r="B187" s="1162"/>
      <c r="C187" s="1165"/>
      <c r="D187" s="17"/>
      <c r="E187" s="26" t="str">
        <f t="shared" ref="E187:E192" si="50">IF(D187=0,"",VLOOKUP(D187,$N:$O,2,0))</f>
        <v/>
      </c>
      <c r="F187" s="313"/>
      <c r="G187" s="27"/>
      <c r="H187" s="26" t="str">
        <f t="shared" ref="H187:H192" si="51">IF(G187=0,"",VLOOKUP(G187,$N:$O,2,0))</f>
        <v/>
      </c>
      <c r="I187" s="313"/>
      <c r="J187" s="142"/>
      <c r="N187" s="84">
        <f>母公司汇总抵销!N187</f>
        <v>0</v>
      </c>
      <c r="O187" s="782" t="str">
        <f>母公司汇总抵销!O187</f>
        <v>综合收益总额</v>
      </c>
    </row>
    <row r="188" spans="1:15" s="23" customFormat="1">
      <c r="A188" s="1160"/>
      <c r="B188" s="1163"/>
      <c r="C188" s="1166"/>
      <c r="D188" s="17"/>
      <c r="E188" s="26" t="str">
        <f t="shared" si="50"/>
        <v/>
      </c>
      <c r="F188" s="313"/>
      <c r="G188" s="27"/>
      <c r="H188" s="26" t="str">
        <f t="shared" si="51"/>
        <v/>
      </c>
      <c r="I188" s="313"/>
      <c r="J188" s="142"/>
      <c r="N188" s="84">
        <f>母公司汇总抵销!N188</f>
        <v>0</v>
      </c>
      <c r="O188" s="28" t="str">
        <f>母公司汇总抵销!O188</f>
        <v>归属于母公司股东的综合收益总额</v>
      </c>
    </row>
    <row r="189" spans="1:15" s="23" customFormat="1">
      <c r="A189" s="1160"/>
      <c r="B189" s="1163"/>
      <c r="C189" s="1166"/>
      <c r="D189" s="17"/>
      <c r="E189" s="26" t="str">
        <f t="shared" si="50"/>
        <v/>
      </c>
      <c r="F189" s="313"/>
      <c r="G189" s="27"/>
      <c r="H189" s="26" t="str">
        <f t="shared" si="51"/>
        <v/>
      </c>
      <c r="I189" s="313"/>
      <c r="J189" s="142"/>
      <c r="N189" s="84">
        <f>母公司汇总抵销!N189</f>
        <v>0</v>
      </c>
      <c r="O189" s="28" t="str">
        <f>母公司汇总抵销!O189</f>
        <v>归属于少数股东的综合收益总额</v>
      </c>
    </row>
    <row r="190" spans="1:15" s="23" customFormat="1">
      <c r="A190" s="1160"/>
      <c r="B190" s="1163"/>
      <c r="C190" s="1166"/>
      <c r="D190" s="17"/>
      <c r="E190" s="26" t="str">
        <f t="shared" si="50"/>
        <v/>
      </c>
      <c r="F190" s="313"/>
      <c r="G190" s="27"/>
      <c r="H190" s="26" t="str">
        <f t="shared" si="51"/>
        <v/>
      </c>
      <c r="I190" s="313"/>
      <c r="J190" s="142"/>
      <c r="N190" s="84">
        <f>母公司汇总抵销!N190</f>
        <v>0</v>
      </c>
      <c r="O190" s="782" t="str">
        <f>母公司汇总抵销!O190</f>
        <v>每股收益</v>
      </c>
    </row>
    <row r="191" spans="1:15" s="23" customFormat="1">
      <c r="A191" s="1160"/>
      <c r="B191" s="1163"/>
      <c r="C191" s="1166"/>
      <c r="D191" s="17"/>
      <c r="E191" s="26" t="str">
        <f t="shared" si="50"/>
        <v/>
      </c>
      <c r="F191" s="313"/>
      <c r="G191" s="27"/>
      <c r="H191" s="26" t="str">
        <f t="shared" si="51"/>
        <v/>
      </c>
      <c r="I191" s="313"/>
      <c r="J191" s="142"/>
      <c r="N191" s="84" t="str">
        <f>母公司汇总抵销!N191</f>
        <v>G38</v>
      </c>
      <c r="O191" s="28" t="str">
        <f>母公司汇总抵销!O191</f>
        <v>基本每股收益</v>
      </c>
    </row>
    <row r="192" spans="1:15" s="23" customFormat="1">
      <c r="A192" s="1161"/>
      <c r="B192" s="1164"/>
      <c r="C192" s="1167"/>
      <c r="D192" s="17"/>
      <c r="E192" s="26" t="str">
        <f t="shared" si="50"/>
        <v/>
      </c>
      <c r="F192" s="313"/>
      <c r="G192" s="27"/>
      <c r="H192" s="26" t="str">
        <f t="shared" si="51"/>
        <v/>
      </c>
      <c r="I192" s="313"/>
      <c r="J192" s="142"/>
      <c r="N192" s="84" t="str">
        <f>母公司汇总抵销!N192</f>
        <v>G39</v>
      </c>
      <c r="O192" s="28" t="str">
        <f>母公司汇总抵销!O192</f>
        <v>稀释每股收益</v>
      </c>
    </row>
    <row r="193" spans="1:15" s="23" customFormat="1">
      <c r="A193" s="453"/>
      <c r="B193" s="453"/>
      <c r="C193" s="454"/>
      <c r="D193" s="455"/>
      <c r="E193" s="456"/>
      <c r="F193" s="456"/>
      <c r="G193" s="455"/>
      <c r="H193" s="456"/>
      <c r="I193" s="456"/>
      <c r="J193" s="457" t="str">
        <f>IF(ABS((SUMIF(E187:E192,"?*",J187:J192)-SUMIF(H187:H192,"?*",J187:J192)))&lt;0.005,"","借贷不等")</f>
        <v/>
      </c>
      <c r="N193" s="84">
        <f>母公司汇总抵销!N193</f>
        <v>0</v>
      </c>
      <c r="O193" s="782" t="str">
        <f>母公司汇总抵销!O193</f>
        <v>利润分配</v>
      </c>
    </row>
    <row r="194" spans="1:15" s="23" customFormat="1">
      <c r="A194" s="1159">
        <v>28</v>
      </c>
      <c r="B194" s="1162"/>
      <c r="C194" s="1165"/>
      <c r="D194" s="17"/>
      <c r="E194" s="26" t="str">
        <f t="shared" ref="E194:E199" si="52">IF(D194=0,"",VLOOKUP(D194,$N:$O,2,0))</f>
        <v/>
      </c>
      <c r="F194" s="313"/>
      <c r="G194" s="27"/>
      <c r="H194" s="26" t="str">
        <f t="shared" ref="H194:H199" si="53">IF(G194=0,"",VLOOKUP(G194,$N:$O,2,0))</f>
        <v/>
      </c>
      <c r="I194" s="313"/>
      <c r="J194" s="142"/>
      <c r="N194" s="84" t="str">
        <f>母公司汇总抵销!N194</f>
        <v>G40</v>
      </c>
      <c r="O194" s="28" t="str">
        <f>母公司汇总抵销!O194</f>
        <v>年初未分配利润</v>
      </c>
    </row>
    <row r="195" spans="1:15" s="23" customFormat="1">
      <c r="A195" s="1160"/>
      <c r="B195" s="1163"/>
      <c r="C195" s="1166"/>
      <c r="D195" s="17"/>
      <c r="E195" s="26" t="str">
        <f t="shared" si="52"/>
        <v/>
      </c>
      <c r="F195" s="313"/>
      <c r="G195" s="27"/>
      <c r="H195" s="26" t="str">
        <f t="shared" si="53"/>
        <v/>
      </c>
      <c r="I195" s="313"/>
      <c r="J195" s="142"/>
      <c r="N195" s="84">
        <f>母公司汇总抵销!N195</f>
        <v>0</v>
      </c>
      <c r="O195" s="28" t="str">
        <f>母公司汇总抵销!O195</f>
        <v>可供分配的利润</v>
      </c>
    </row>
    <row r="196" spans="1:15" s="23" customFormat="1">
      <c r="A196" s="1160"/>
      <c r="B196" s="1163"/>
      <c r="C196" s="1166"/>
      <c r="D196" s="17"/>
      <c r="E196" s="26" t="str">
        <f t="shared" si="52"/>
        <v/>
      </c>
      <c r="F196" s="313"/>
      <c r="G196" s="27"/>
      <c r="H196" s="26" t="str">
        <f t="shared" si="53"/>
        <v/>
      </c>
      <c r="I196" s="313"/>
      <c r="J196" s="142"/>
      <c r="N196" s="84" t="str">
        <f>母公司汇总抵销!N196</f>
        <v>G41</v>
      </c>
      <c r="O196" s="28" t="str">
        <f>母公司汇总抵销!O196</f>
        <v>1、提取法定盈余公积</v>
      </c>
    </row>
    <row r="197" spans="1:15" s="23" customFormat="1">
      <c r="A197" s="1160"/>
      <c r="B197" s="1163"/>
      <c r="C197" s="1166"/>
      <c r="D197" s="17"/>
      <c r="E197" s="26" t="str">
        <f t="shared" si="52"/>
        <v/>
      </c>
      <c r="F197" s="313"/>
      <c r="G197" s="27"/>
      <c r="H197" s="26" t="str">
        <f t="shared" si="53"/>
        <v/>
      </c>
      <c r="I197" s="313"/>
      <c r="J197" s="142"/>
      <c r="N197" s="84" t="str">
        <f>母公司汇总抵销!N197</f>
        <v>G42</v>
      </c>
      <c r="O197" s="28" t="str">
        <f>母公司汇总抵销!O197</f>
        <v>2、其他</v>
      </c>
    </row>
    <row r="198" spans="1:15" s="23" customFormat="1">
      <c r="A198" s="1160"/>
      <c r="B198" s="1163"/>
      <c r="C198" s="1166"/>
      <c r="D198" s="17"/>
      <c r="E198" s="26" t="str">
        <f t="shared" si="52"/>
        <v/>
      </c>
      <c r="F198" s="313"/>
      <c r="G198" s="27"/>
      <c r="H198" s="26" t="str">
        <f t="shared" si="53"/>
        <v/>
      </c>
      <c r="I198" s="313"/>
      <c r="J198" s="142"/>
      <c r="N198" s="84">
        <f>母公司汇总抵销!N198</f>
        <v>0</v>
      </c>
      <c r="O198" s="28" t="str">
        <f>母公司汇总抵销!O198</f>
        <v>可供投资者分配的利润</v>
      </c>
    </row>
    <row r="199" spans="1:15" s="23" customFormat="1">
      <c r="A199" s="1161"/>
      <c r="B199" s="1164"/>
      <c r="C199" s="1167"/>
      <c r="D199" s="17"/>
      <c r="E199" s="26" t="str">
        <f t="shared" si="52"/>
        <v/>
      </c>
      <c r="F199" s="313"/>
      <c r="G199" s="27"/>
      <c r="H199" s="26" t="str">
        <f t="shared" si="53"/>
        <v/>
      </c>
      <c r="I199" s="313"/>
      <c r="J199" s="142"/>
      <c r="N199" s="84" t="str">
        <f>母公司汇总抵销!N199</f>
        <v>G43</v>
      </c>
      <c r="O199" s="28" t="str">
        <f>母公司汇总抵销!O199</f>
        <v>1、应付优先股股利</v>
      </c>
    </row>
    <row r="200" spans="1:15" s="23" customFormat="1">
      <c r="A200" s="453"/>
      <c r="B200" s="453"/>
      <c r="C200" s="454"/>
      <c r="D200" s="455"/>
      <c r="E200" s="456"/>
      <c r="F200" s="456"/>
      <c r="G200" s="455"/>
      <c r="H200" s="456"/>
      <c r="I200" s="456"/>
      <c r="J200" s="457" t="str">
        <f>IF(ABS((SUMIF(E194:E199,"?*",J194:J199)-SUMIF(H194:H199,"?*",J194:J199)))&lt;0.005,"","借贷不等")</f>
        <v/>
      </c>
      <c r="N200" s="84" t="str">
        <f>母公司汇总抵销!N200</f>
        <v>G44</v>
      </c>
      <c r="O200" s="28" t="str">
        <f>母公司汇总抵销!O200</f>
        <v>2、提取任意盈余公积</v>
      </c>
    </row>
    <row r="201" spans="1:15" s="23" customFormat="1">
      <c r="A201" s="1159">
        <v>29</v>
      </c>
      <c r="B201" s="1162"/>
      <c r="C201" s="1165"/>
      <c r="D201" s="17"/>
      <c r="E201" s="26" t="str">
        <f t="shared" ref="E201:E206" si="54">IF(D201=0,"",VLOOKUP(D201,$N:$O,2,0))</f>
        <v/>
      </c>
      <c r="F201" s="313"/>
      <c r="G201" s="27"/>
      <c r="H201" s="26" t="str">
        <f t="shared" ref="H201:H206" si="55">IF(G201=0,"",VLOOKUP(G201,$N:$O,2,0))</f>
        <v/>
      </c>
      <c r="I201" s="313"/>
      <c r="J201" s="142"/>
      <c r="N201" s="84" t="str">
        <f>母公司汇总抵销!N201</f>
        <v>G45</v>
      </c>
      <c r="O201" s="28" t="str">
        <f>母公司汇总抵销!O201</f>
        <v>3、应付普通股股利（应付利润）</v>
      </c>
    </row>
    <row r="202" spans="1:15" s="23" customFormat="1">
      <c r="A202" s="1160"/>
      <c r="B202" s="1163"/>
      <c r="C202" s="1166"/>
      <c r="D202" s="17"/>
      <c r="E202" s="26" t="str">
        <f t="shared" si="54"/>
        <v/>
      </c>
      <c r="F202" s="313"/>
      <c r="G202" s="27"/>
      <c r="H202" s="26" t="str">
        <f t="shared" si="55"/>
        <v/>
      </c>
      <c r="I202" s="313"/>
      <c r="J202" s="142"/>
      <c r="N202" s="84" t="str">
        <f>母公司汇总抵销!N202</f>
        <v>G46</v>
      </c>
      <c r="O202" s="28" t="str">
        <f>母公司汇总抵销!O202</f>
        <v>4、转作资本（或股本）的普通股股利</v>
      </c>
    </row>
    <row r="203" spans="1:15" s="23" customFormat="1">
      <c r="A203" s="1160"/>
      <c r="B203" s="1163"/>
      <c r="C203" s="1166"/>
      <c r="D203" s="17"/>
      <c r="E203" s="26" t="str">
        <f t="shared" si="54"/>
        <v/>
      </c>
      <c r="F203" s="313"/>
      <c r="G203" s="27"/>
      <c r="H203" s="26" t="str">
        <f t="shared" si="55"/>
        <v/>
      </c>
      <c r="I203" s="313"/>
      <c r="J203" s="142"/>
      <c r="N203" s="84" t="str">
        <f>母公司汇总抵销!N203</f>
        <v>G47</v>
      </c>
      <c r="O203" s="28" t="str">
        <f>母公司汇总抵销!O203</f>
        <v>5、其他</v>
      </c>
    </row>
    <row r="204" spans="1:15" s="23" customFormat="1">
      <c r="A204" s="1160"/>
      <c r="B204" s="1163"/>
      <c r="C204" s="1166"/>
      <c r="D204" s="17"/>
      <c r="E204" s="26" t="str">
        <f t="shared" si="54"/>
        <v/>
      </c>
      <c r="F204" s="313"/>
      <c r="G204" s="27"/>
      <c r="H204" s="26" t="str">
        <f t="shared" si="55"/>
        <v/>
      </c>
      <c r="I204" s="313"/>
      <c r="J204" s="142"/>
      <c r="N204" s="84">
        <f>母公司汇总抵销!N204</f>
        <v>0</v>
      </c>
      <c r="O204" s="782" t="str">
        <f>母公司汇总抵销!O204</f>
        <v>未分配利润</v>
      </c>
    </row>
    <row r="205" spans="1:15" s="23" customFormat="1">
      <c r="A205" s="1160"/>
      <c r="B205" s="1163"/>
      <c r="C205" s="1166"/>
      <c r="D205" s="17"/>
      <c r="E205" s="26" t="str">
        <f t="shared" si="54"/>
        <v/>
      </c>
      <c r="F205" s="313"/>
      <c r="G205" s="27"/>
      <c r="H205" s="26" t="str">
        <f t="shared" si="55"/>
        <v/>
      </c>
      <c r="I205" s="313"/>
      <c r="J205" s="142"/>
      <c r="N205" s="84">
        <f>母公司汇总抵销!N205</f>
        <v>0</v>
      </c>
      <c r="O205" s="28" t="str">
        <f>母公司汇总抵销!O205</f>
        <v/>
      </c>
    </row>
    <row r="206" spans="1:15" s="23" customFormat="1">
      <c r="A206" s="1161"/>
      <c r="B206" s="1164"/>
      <c r="C206" s="1167"/>
      <c r="D206" s="17"/>
      <c r="E206" s="26" t="str">
        <f t="shared" si="54"/>
        <v/>
      </c>
      <c r="F206" s="313"/>
      <c r="G206" s="27"/>
      <c r="H206" s="26" t="str">
        <f t="shared" si="55"/>
        <v/>
      </c>
      <c r="I206" s="313"/>
      <c r="J206" s="142"/>
      <c r="N206" s="84">
        <f>母公司汇总抵销!N206</f>
        <v>0</v>
      </c>
      <c r="O206" s="28" t="str">
        <f>母公司汇总抵销!O206</f>
        <v/>
      </c>
    </row>
    <row r="207" spans="1:15" s="23" customFormat="1">
      <c r="A207" s="453"/>
      <c r="B207" s="453"/>
      <c r="C207" s="454"/>
      <c r="D207" s="455"/>
      <c r="E207" s="456"/>
      <c r="F207" s="456"/>
      <c r="G207" s="455"/>
      <c r="H207" s="456"/>
      <c r="I207" s="456"/>
      <c r="J207" s="457" t="str">
        <f>IF(ABS((SUMIF(E201:E206,"?*",J201:J206)-SUMIF(H201:H206,"?*",J201:J206)))&lt;0.005,"","借贷不等")</f>
        <v/>
      </c>
      <c r="N207" s="84">
        <f>母公司汇总抵销!N207</f>
        <v>0</v>
      </c>
      <c r="O207" s="28" t="str">
        <f>母公司汇总抵销!O207</f>
        <v/>
      </c>
    </row>
    <row r="208" spans="1:15">
      <c r="N208" s="84">
        <f>母公司汇总抵销!N208</f>
        <v>0</v>
      </c>
      <c r="O208" s="28" t="str">
        <f>母公司汇总抵销!O208</f>
        <v/>
      </c>
    </row>
    <row r="209" spans="14:15">
      <c r="N209" s="84"/>
      <c r="O209" s="85"/>
    </row>
    <row r="210" spans="14:15">
      <c r="N210" s="84"/>
      <c r="O210" s="85"/>
    </row>
    <row r="211" spans="14:15">
      <c r="N211" s="84"/>
      <c r="O211" s="87"/>
    </row>
    <row r="212" spans="14:15">
      <c r="N212" s="84"/>
      <c r="O212" s="85"/>
    </row>
    <row r="213" spans="14:15">
      <c r="N213" s="84"/>
      <c r="O213" s="85"/>
    </row>
    <row r="214" spans="14:15">
      <c r="N214" s="84"/>
      <c r="O214" s="85"/>
    </row>
    <row r="215" spans="14:15">
      <c r="N215" s="84"/>
      <c r="O215" s="87"/>
    </row>
    <row r="216" spans="14:15">
      <c r="N216" s="84"/>
      <c r="O216" s="85"/>
    </row>
    <row r="217" spans="14:15">
      <c r="N217" s="84"/>
      <c r="O217" s="85"/>
    </row>
    <row r="218" spans="14:15">
      <c r="N218" s="84"/>
      <c r="O218" s="85"/>
    </row>
    <row r="219" spans="14:15">
      <c r="N219" s="84"/>
      <c r="O219" s="85"/>
    </row>
    <row r="220" spans="14:15">
      <c r="N220" s="84"/>
      <c r="O220" s="85"/>
    </row>
    <row r="221" spans="14:15">
      <c r="N221" s="84"/>
      <c r="O221" s="85"/>
    </row>
    <row r="222" spans="14:15">
      <c r="N222" s="84"/>
      <c r="O222" s="85"/>
    </row>
    <row r="223" spans="14:15">
      <c r="N223" s="84"/>
      <c r="O223" s="85"/>
    </row>
    <row r="224" spans="14:15">
      <c r="N224" s="84"/>
      <c r="O224" s="85"/>
    </row>
    <row r="225" spans="14:15">
      <c r="N225" s="84"/>
      <c r="O225" s="87"/>
    </row>
    <row r="226" spans="14:15">
      <c r="N226" s="84"/>
      <c r="O226" s="85"/>
    </row>
    <row r="227" spans="14:15">
      <c r="N227" s="84"/>
      <c r="O227" s="85"/>
    </row>
    <row r="228" spans="14:15">
      <c r="N228" s="84"/>
      <c r="O228" s="85"/>
    </row>
    <row r="229" spans="14:15">
      <c r="N229" s="84"/>
      <c r="O229" s="85"/>
    </row>
    <row r="230" spans="14:15">
      <c r="N230" s="84"/>
      <c r="O230" s="85"/>
    </row>
    <row r="231" spans="14:15">
      <c r="N231" s="84"/>
      <c r="O231" s="86"/>
    </row>
    <row r="232" spans="14:15">
      <c r="N232" s="84"/>
      <c r="O232" s="85"/>
    </row>
    <row r="233" spans="14:15">
      <c r="N233" s="84"/>
      <c r="O233" s="83"/>
    </row>
    <row r="234" spans="14:15">
      <c r="N234" s="23"/>
      <c r="O234" s="23"/>
    </row>
  </sheetData>
  <sheetProtection formatCells="0" formatColumns="0" formatRows="0" insertRows="0" autoFilter="0" pivotTables="0"/>
  <mergeCells count="87">
    <mergeCell ref="B124:B129"/>
    <mergeCell ref="C124:C129"/>
    <mergeCell ref="B131:B136"/>
    <mergeCell ref="C131:C136"/>
    <mergeCell ref="B138:B143"/>
    <mergeCell ref="C138:C143"/>
    <mergeCell ref="B103:B108"/>
    <mergeCell ref="C103:C108"/>
    <mergeCell ref="B110:B115"/>
    <mergeCell ref="C110:C115"/>
    <mergeCell ref="B117:B122"/>
    <mergeCell ref="C117:C122"/>
    <mergeCell ref="A5:A10"/>
    <mergeCell ref="A12:A17"/>
    <mergeCell ref="A19:A24"/>
    <mergeCell ref="B96:B101"/>
    <mergeCell ref="C96:C101"/>
    <mergeCell ref="B40:B45"/>
    <mergeCell ref="C40:C45"/>
    <mergeCell ref="B47:B52"/>
    <mergeCell ref="C47:C52"/>
    <mergeCell ref="B54:B59"/>
    <mergeCell ref="C54:C59"/>
    <mergeCell ref="B5:B10"/>
    <mergeCell ref="C5:C10"/>
    <mergeCell ref="B12:B17"/>
    <mergeCell ref="C12:C17"/>
    <mergeCell ref="B19:B24"/>
    <mergeCell ref="C19:C24"/>
    <mergeCell ref="A26:A31"/>
    <mergeCell ref="A33:A38"/>
    <mergeCell ref="A61:A66"/>
    <mergeCell ref="B61:B66"/>
    <mergeCell ref="C61:C66"/>
    <mergeCell ref="A40:A45"/>
    <mergeCell ref="A47:A52"/>
    <mergeCell ref="A54:A59"/>
    <mergeCell ref="B26:B31"/>
    <mergeCell ref="C26:C31"/>
    <mergeCell ref="B33:B38"/>
    <mergeCell ref="C33:C38"/>
    <mergeCell ref="A68:A73"/>
    <mergeCell ref="B68:B73"/>
    <mergeCell ref="C68:C73"/>
    <mergeCell ref="A75:A80"/>
    <mergeCell ref="B75:B80"/>
    <mergeCell ref="C75:C80"/>
    <mergeCell ref="A82:A87"/>
    <mergeCell ref="B82:B87"/>
    <mergeCell ref="C82:C87"/>
    <mergeCell ref="A89:A94"/>
    <mergeCell ref="B89:B94"/>
    <mergeCell ref="C89:C94"/>
    <mergeCell ref="A166:A171"/>
    <mergeCell ref="B166:B171"/>
    <mergeCell ref="C166:C171"/>
    <mergeCell ref="A145:A150"/>
    <mergeCell ref="A152:A157"/>
    <mergeCell ref="A159:A164"/>
    <mergeCell ref="B159:B164"/>
    <mergeCell ref="C159:C164"/>
    <mergeCell ref="B145:B150"/>
    <mergeCell ref="C145:C150"/>
    <mergeCell ref="B152:B157"/>
    <mergeCell ref="C152:C157"/>
    <mergeCell ref="A117:A122"/>
    <mergeCell ref="A138:A143"/>
    <mergeCell ref="A96:A101"/>
    <mergeCell ref="A103:A108"/>
    <mergeCell ref="A110:A115"/>
    <mergeCell ref="A124:A129"/>
    <mergeCell ref="A131:A136"/>
    <mergeCell ref="A173:A178"/>
    <mergeCell ref="B173:B178"/>
    <mergeCell ref="C173:C178"/>
    <mergeCell ref="A180:A185"/>
    <mergeCell ref="B180:B185"/>
    <mergeCell ref="C180:C185"/>
    <mergeCell ref="A201:A206"/>
    <mergeCell ref="B201:B206"/>
    <mergeCell ref="C201:C206"/>
    <mergeCell ref="A187:A192"/>
    <mergeCell ref="B187:B192"/>
    <mergeCell ref="C187:C192"/>
    <mergeCell ref="A194:A199"/>
    <mergeCell ref="B194:B199"/>
    <mergeCell ref="C194:C199"/>
  </mergeCells>
  <phoneticPr fontId="50" type="noConversion"/>
  <conditionalFormatting sqref="A1">
    <cfRule type="cellIs" dxfId="43"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报表项目”核对科目名称" sqref="E12:E17 H7:H10 H5 H6:I6 E194:E199 E187:E192 E180:E185 E173:E178 E166:E171 E159:E164 E152:E157 E145:E150 E138:E143 E131:E136 E124:E129 E117:E122 E110:E115 E103:E108 E96:E101 E89:E94 E82:E87 E75:E80 E68:E73 E61:E66 E54:E59 E47:E52 E40:E45 E33:E38 E26:E31 E19:E24 E201:E206 E5:E10">
      <formula1>$O:$O</formula1>
    </dataValidation>
    <dataValidation type="list" allowBlank="1" showDropDown="1" showInputMessage="1" showErrorMessage="1" errorTitle="警告" error="   您输入的科目不是报表标准科目_x000a__x000a_请对应“调整事项转换表”核对科目名称" sqref="H12:H17 H201:H206 H194:H199 H187:H192 H180:H185 H173:H178 H166:H171 H159:H164 H152:H157 H145:H150 H138:H143 H131:H136 H124:H129 H117:H122 H110:H115 H103:H108 H96:H101 H89:H94 H82:H87 H75:H80 H68:H73 H61:H66 H54:H59 H47:H52 H40:H45 H33:H38 H26:H31 H19:H24">
      <formula1>$O:$O</formula1>
    </dataValidation>
    <dataValidation type="list" allowBlank="1" showDropDown="1" showInputMessage="1" showErrorMessage="1" errorTitle="警告" error="   您输入的科目不是报表标准科目_x000a__x000a_请对应“调整事项转换表”核对科目名称" sqref="E18 H207 E207 H200 E200 H193 E193 H186 E186 H179 E179 H172 E172 H165 E165 H158 E158 H151 E151 H144 E144 H137 E137 H130 E130 H123 E123 H116 E116 H109 E109 H102 E102 H95 E95 H88 E88 H81 E81 H74 E74 H67 E67 H60 E60 H53 E53 H46 E46 H39 E39 H32 E32 H25 E25 E11 H11 H18">
      <formula1>$O$6:$O$115</formula1>
    </dataValidation>
  </dataValidations>
  <printOptions horizontalCentered="1" verticalCentered="1"/>
  <pageMargins left="0.61" right="0.23622047244094491" top="0.6" bottom="0.65" header="0.38" footer="0.34"/>
  <pageSetup paperSize="9" orientation="portrait" horizontalDpi="360" verticalDpi="360" r:id="rId1"/>
  <headerFooter alignWithMargins="0">
    <oddFooter>&amp;C&amp;9&amp;P/&amp;N</oddFooter>
  </headerFooter>
  <colBreaks count="1" manualBreakCount="1">
    <brk id="1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O61"/>
  <sheetViews>
    <sheetView showZeros="0" workbookViewId="0">
      <pane xSplit="2" ySplit="5" topLeftCell="C6" activePane="bottomRight" state="frozen"/>
      <selection activeCell="H6" sqref="H6"/>
      <selection pane="topRight" activeCell="H6" sqref="H6"/>
      <selection pane="bottomLeft" activeCell="H6" sqref="H6"/>
      <selection pane="bottomRight" activeCell="E61" sqref="E61"/>
    </sheetView>
  </sheetViews>
  <sheetFormatPr defaultColWidth="7" defaultRowHeight="13.5" outlineLevelCol="1"/>
  <cols>
    <col min="1" max="1" width="20.5" style="1066" customWidth="1"/>
    <col min="2" max="4" width="11.625" style="33" customWidth="1"/>
    <col min="5" max="6" width="11" style="33" customWidth="1"/>
    <col min="7" max="7" width="10.375" style="33" customWidth="1"/>
    <col min="8" max="8" width="10" style="33" customWidth="1"/>
    <col min="9" max="10" width="11.625" style="33" customWidth="1" outlineLevel="1"/>
    <col min="11" max="11" width="11.625" style="33" customWidth="1"/>
    <col min="12" max="12" width="9.125" style="33" bestFit="1" customWidth="1"/>
    <col min="13" max="13" width="17.25" style="33" bestFit="1" customWidth="1"/>
    <col min="14" max="14" width="6.75" style="33" bestFit="1" customWidth="1"/>
    <col min="15" max="16384" width="7" style="33"/>
  </cols>
  <sheetData>
    <row r="1" spans="1:15" s="32" customFormat="1" ht="19.5" customHeight="1">
      <c r="A1" s="1055" t="s">
        <v>554</v>
      </c>
      <c r="B1" s="30"/>
      <c r="C1" s="30"/>
      <c r="D1" s="30"/>
      <c r="E1" s="30"/>
      <c r="F1" s="30"/>
      <c r="G1" s="30"/>
      <c r="H1" s="30"/>
      <c r="I1" s="30"/>
      <c r="J1" s="30"/>
      <c r="K1" s="30"/>
      <c r="L1" s="33"/>
      <c r="M1" s="101"/>
      <c r="N1" s="21"/>
      <c r="O1" s="33"/>
    </row>
    <row r="2" spans="1:15" s="32" customFormat="1" ht="15" customHeight="1">
      <c r="A2" s="1056" t="str">
        <f>CONCATENATE("客户名称：",说明!E23)</f>
        <v>客户名称：</v>
      </c>
      <c r="D2" s="89" t="str">
        <f>CONCATENATE("编制：",说明!E36)</f>
        <v>编制：</v>
      </c>
      <c r="F2" s="88" t="str">
        <f>CONCATENATE("复核：",说明!E37)</f>
        <v>复核：</v>
      </c>
      <c r="I2" s="91"/>
      <c r="J2" s="92"/>
      <c r="K2" s="89" t="s">
        <v>294</v>
      </c>
      <c r="L2" s="33"/>
      <c r="M2" s="101"/>
      <c r="N2" s="21"/>
      <c r="O2" s="33"/>
    </row>
    <row r="3" spans="1:15" s="32" customFormat="1" ht="17.25" customHeight="1">
      <c r="A3" s="1057" t="str">
        <f>CONCATENATE("会计时点：",TEXT(说明!E32,"yyyy.mm.dd"))</f>
        <v>会计时点：2019.12.31</v>
      </c>
      <c r="D3" s="93" t="str">
        <f ca="1">CONCATENATE("日期：",TEXT(NOW(),"yyyy.mm.dd"))</f>
        <v>日期：2019.12.31</v>
      </c>
      <c r="F3" s="89" t="s">
        <v>295</v>
      </c>
      <c r="I3" s="91"/>
      <c r="J3" s="91"/>
      <c r="K3" s="89" t="s">
        <v>296</v>
      </c>
      <c r="L3" s="33"/>
      <c r="M3" s="101"/>
      <c r="N3" s="21"/>
      <c r="O3" s="33"/>
    </row>
    <row r="4" spans="1:15" s="32" customFormat="1">
      <c r="A4" s="1172" t="str">
        <f>IF((ROUND(K59,2))=(ROUND(母公司TB负债!K62,2)),"资       产","报表未调平!")</f>
        <v>资       产</v>
      </c>
      <c r="B4" s="1174" t="s">
        <v>127</v>
      </c>
      <c r="C4" s="1176" t="s">
        <v>555</v>
      </c>
      <c r="D4" s="1176"/>
      <c r="E4" s="1176" t="s">
        <v>297</v>
      </c>
      <c r="F4" s="1176"/>
      <c r="G4" s="1176" t="s">
        <v>298</v>
      </c>
      <c r="H4" s="1176"/>
      <c r="I4" s="248" t="s">
        <v>299</v>
      </c>
      <c r="J4" s="248" t="s">
        <v>300</v>
      </c>
      <c r="K4" s="1170" t="s">
        <v>556</v>
      </c>
      <c r="L4" s="33"/>
      <c r="M4" s="101"/>
      <c r="N4" s="21"/>
      <c r="O4" s="33"/>
    </row>
    <row r="5" spans="1:15" s="32" customFormat="1">
      <c r="A5" s="1173"/>
      <c r="B5" s="1175"/>
      <c r="C5" s="249" t="s">
        <v>360</v>
      </c>
      <c r="D5" s="249" t="s">
        <v>361</v>
      </c>
      <c r="E5" s="249" t="s">
        <v>360</v>
      </c>
      <c r="F5" s="249" t="s">
        <v>361</v>
      </c>
      <c r="G5" s="249" t="s">
        <v>360</v>
      </c>
      <c r="H5" s="249" t="s">
        <v>361</v>
      </c>
      <c r="I5" s="249"/>
      <c r="J5" s="249"/>
      <c r="K5" s="1171"/>
      <c r="L5" s="33"/>
      <c r="M5" s="101"/>
      <c r="N5" s="21"/>
      <c r="O5" s="33"/>
    </row>
    <row r="6" spans="1:15" ht="14.45" customHeight="1">
      <c r="A6" s="1058" t="str">
        <f>报表格式!B5</f>
        <v>流动资产：</v>
      </c>
      <c r="B6" s="95"/>
      <c r="C6" s="95"/>
      <c r="D6" s="95"/>
      <c r="E6" s="95"/>
      <c r="F6" s="95"/>
      <c r="G6" s="95"/>
      <c r="H6" s="95"/>
      <c r="I6" s="95"/>
      <c r="J6" s="95"/>
      <c r="K6" s="96"/>
      <c r="M6" s="101"/>
      <c r="N6" s="21"/>
    </row>
    <row r="7" spans="1:15" ht="14.45" customHeight="1">
      <c r="A7" s="1059" t="str">
        <f>报表格式!B6</f>
        <v>货币资金</v>
      </c>
      <c r="B7" s="236">
        <f>母公司BS汇总!B7</f>
        <v>0</v>
      </c>
      <c r="C7" s="236">
        <f>SUMIF(母公司汇总抵销!$E$5:$E$65538,IF(OR(MID(TRIM($A7),2,1)="：",MID(TRIM($A7),2,1)="、"),REPLACEB(TRIM($A7),1,4,""),TRIM($A7)),母公司汇总抵销!$J$5:$J$65538)</f>
        <v>0</v>
      </c>
      <c r="D7" s="236">
        <f>SUMIF(母公司汇总抵销!$H$5:$H$65538,IF(OR(MID(TRIM($A7),2,1)="：",MID(TRIM($A7),2,1)="、"),REPLACEB(TRIM($A7),1,4,""),TRIM($A7)),母公司汇总抵销!$J$5:$J$65538)</f>
        <v>0</v>
      </c>
      <c r="E7" s="236">
        <f>SUMIF(母公司账项调整!$E$5:$E$65536,IF(OR(MID(TRIM($A7),2,1)="：",MID(TRIM($A7),2,1)="、"),REPLACEB(TRIM($A7),1,4,""),TRIM($A7)),母公司账项调整!$J$5:$J$65536)</f>
        <v>0</v>
      </c>
      <c r="F7" s="236">
        <f>SUMIF(母公司账项调整!$H$5:$H$65536,IF(OR(MID(TRIM($A7),2,1)="：",MID(TRIM($A7),2,1)="、"),REPLACEB(TRIM($A7),1,4,""),TRIM($A7)),母公司账项调整!$J$5:$J$65536)</f>
        <v>0</v>
      </c>
      <c r="G7" s="236">
        <f>SUMIF(母公司报表调整!$E$5:$E$65536,IF(OR(MID(TRIM($A7),2,1)="：",MID(TRIM($A7),2,1)="、"),REPLACEB(TRIM($A7),1,4,""),TRIM($A7)),母公司报表调整!$J$5:$J$65536)</f>
        <v>0</v>
      </c>
      <c r="H7" s="236">
        <f>SUMIF(母公司报表调整!$H$5:$H$65536,IF(OR(MID(TRIM($A7),2,1)="：",MID(TRIM($A7),2,1)="、"),REPLACEB(TRIM($A7),1,4,""),TRIM($A7)),母公司报表调整!$J$5:$J$65536)</f>
        <v>0</v>
      </c>
      <c r="I7" s="236">
        <f>B7+E7+G7-F7-H7+C7-D7</f>
        <v>0</v>
      </c>
      <c r="J7" s="236"/>
      <c r="K7" s="237">
        <f>SUM(I7:J7)</f>
        <v>0</v>
      </c>
      <c r="M7" s="101"/>
      <c r="N7" s="21"/>
    </row>
    <row r="8" spans="1:15" ht="14.45" customHeight="1">
      <c r="A8" s="1059" t="str">
        <f>报表格式!B7</f>
        <v>结算备付金</v>
      </c>
      <c r="B8" s="236">
        <f>母公司BS汇总!B8</f>
        <v>0</v>
      </c>
      <c r="C8" s="236">
        <f>SUMIF(母公司汇总抵销!$E$5:$E$65538,IF(OR(MID(TRIM($A8),2,1)="：",MID(TRIM($A8),2,1)="、"),REPLACEB(TRIM($A8),1,4,""),TRIM($A8)),母公司汇总抵销!$J$5:$J$65538)</f>
        <v>0</v>
      </c>
      <c r="D8" s="236">
        <f>SUMIF(母公司汇总抵销!$H$5:$H$65538,IF(OR(MID(TRIM($A8),2,1)="：",MID(TRIM($A8),2,1)="、"),REPLACEB(TRIM($A8),1,4,""),TRIM($A8)),母公司汇总抵销!$J$5:$J$65538)</f>
        <v>0</v>
      </c>
      <c r="E8" s="236">
        <f>SUMIF(母公司账项调整!$E$5:$E$65536,IF(OR(MID(TRIM($A8),2,1)="：",MID(TRIM($A8),2,1)="、"),REPLACEB(TRIM($A8),1,4,""),TRIM($A8)),母公司账项调整!$J$5:$J$65536)</f>
        <v>0</v>
      </c>
      <c r="F8" s="236">
        <f>SUMIF(母公司账项调整!$H$5:$H$65536,IF(OR(MID(TRIM($A8),2,1)="：",MID(TRIM($A8),2,1)="、"),REPLACEB(TRIM($A8),1,4,""),TRIM($A8)),母公司账项调整!$J$5:$J$65536)</f>
        <v>0</v>
      </c>
      <c r="G8" s="236">
        <f>SUMIF(母公司报表调整!$E$5:$E$65536,IF(OR(MID(TRIM($A8),2,1)="：",MID(TRIM($A8),2,1)="、"),REPLACEB(TRIM($A8),1,4,""),TRIM($A8)),母公司报表调整!$J$5:$J$65536)</f>
        <v>0</v>
      </c>
      <c r="H8" s="236">
        <f>SUMIF(母公司报表调整!$H$5:$H$65536,IF(OR(MID(TRIM($A8),2,1)="：",MID(TRIM($A8),2,1)="、"),REPLACEB(TRIM($A8),1,4,""),TRIM($A8)),母公司报表调整!$J$5:$J$65536)</f>
        <v>0</v>
      </c>
      <c r="I8" s="236">
        <f t="shared" ref="I8:I9" si="0">B8+E8+G8-F8-H8+C8-D8</f>
        <v>0</v>
      </c>
      <c r="J8" s="236"/>
      <c r="K8" s="237">
        <f t="shared" ref="K8:K9" si="1">SUM(I8:J8)</f>
        <v>0</v>
      </c>
      <c r="M8" s="101"/>
      <c r="N8" s="21"/>
    </row>
    <row r="9" spans="1:15" ht="14.45" customHeight="1">
      <c r="A9" s="1059" t="str">
        <f>报表格式!B8</f>
        <v>拆出资金</v>
      </c>
      <c r="B9" s="236">
        <f>母公司BS汇总!B9</f>
        <v>0</v>
      </c>
      <c r="C9" s="236">
        <f>SUMIF(母公司汇总抵销!$E$5:$E$65538,IF(OR(MID(TRIM($A9),2,1)="：",MID(TRIM($A9),2,1)="、"),REPLACEB(TRIM($A9),1,4,""),TRIM($A9)),母公司汇总抵销!$J$5:$J$65538)</f>
        <v>0</v>
      </c>
      <c r="D9" s="236">
        <f>SUMIF(母公司汇总抵销!$H$5:$H$65538,IF(OR(MID(TRIM($A9),2,1)="：",MID(TRIM($A9),2,1)="、"),REPLACEB(TRIM($A9),1,4,""),TRIM($A9)),母公司汇总抵销!$J$5:$J$65538)</f>
        <v>0</v>
      </c>
      <c r="E9" s="236">
        <f>SUMIF(母公司账项调整!$E$5:$E$65536,IF(OR(MID(TRIM($A9),2,1)="：",MID(TRIM($A9),2,1)="、"),REPLACEB(TRIM($A9),1,4,""),TRIM($A9)),母公司账项调整!$J$5:$J$65536)</f>
        <v>0</v>
      </c>
      <c r="F9" s="236">
        <f>SUMIF(母公司账项调整!$H$5:$H$65536,IF(OR(MID(TRIM($A9),2,1)="：",MID(TRIM($A9),2,1)="、"),REPLACEB(TRIM($A9),1,4,""),TRIM($A9)),母公司账项调整!$J$5:$J$65536)</f>
        <v>0</v>
      </c>
      <c r="G9" s="236">
        <f>SUMIF(母公司报表调整!$E$5:$E$65536,IF(OR(MID(TRIM($A9),2,1)="：",MID(TRIM($A9),2,1)="、"),REPLACEB(TRIM($A9),1,4,""),TRIM($A9)),母公司报表调整!$J$5:$J$65536)</f>
        <v>0</v>
      </c>
      <c r="H9" s="236">
        <f>SUMIF(母公司报表调整!$H$5:$H$65536,IF(OR(MID(TRIM($A9),2,1)="：",MID(TRIM($A9),2,1)="、"),REPLACEB(TRIM($A9),1,4,""),TRIM($A9)),母公司报表调整!$J$5:$J$65536)</f>
        <v>0</v>
      </c>
      <c r="I9" s="236">
        <f t="shared" si="0"/>
        <v>0</v>
      </c>
      <c r="J9" s="236"/>
      <c r="K9" s="237">
        <f t="shared" si="1"/>
        <v>0</v>
      </c>
      <c r="M9" s="101"/>
      <c r="N9" s="21"/>
    </row>
    <row r="10" spans="1:15" ht="14.45" customHeight="1">
      <c r="A10" s="1059" t="str">
        <f>报表格式!B9</f>
        <v>交易性金融资产</v>
      </c>
      <c r="B10" s="236">
        <f>母公司BS汇总!B10</f>
        <v>0</v>
      </c>
      <c r="C10" s="236">
        <f>SUMIF(母公司汇总抵销!$E$5:$E$65538,IF(OR(MID(TRIM($A10),2,1)="：",MID(TRIM($A10),2,1)="、"),REPLACEB(TRIM($A10),1,4,""),TRIM($A10)),母公司汇总抵销!$J$5:$J$65538)</f>
        <v>0</v>
      </c>
      <c r="D10" s="236">
        <f>SUMIF(母公司汇总抵销!$H$5:$H$65538,IF(OR(MID(TRIM($A10),2,1)="：",MID(TRIM($A10),2,1)="、"),REPLACEB(TRIM($A10),1,4,""),TRIM($A10)),母公司汇总抵销!$J$5:$J$65538)</f>
        <v>0</v>
      </c>
      <c r="E10" s="236">
        <f>SUMIF(母公司账项调整!$E$5:$E$65536,IF(OR(MID(TRIM($A10),2,1)="：",MID(TRIM($A10),2,1)="、"),REPLACEB(TRIM($A10),1,4,""),TRIM($A10)),母公司账项调整!$J$5:$J$65536)</f>
        <v>0</v>
      </c>
      <c r="F10" s="236">
        <f>SUMIF(母公司账项调整!$H$5:$H$65536,IF(OR(MID(TRIM($A10),2,1)="：",MID(TRIM($A10),2,1)="、"),REPLACEB(TRIM($A10),1,4,""),TRIM($A10)),母公司账项调整!$J$5:$J$65536)</f>
        <v>0</v>
      </c>
      <c r="G10" s="236">
        <f>SUMIF(母公司报表调整!$E$5:$E$65536,IF(OR(MID(TRIM($A10),2,1)="：",MID(TRIM($A10),2,1)="、"),REPLACEB(TRIM($A10),1,4,""),TRIM($A10)),母公司报表调整!$J$5:$J$65536)</f>
        <v>0</v>
      </c>
      <c r="H10" s="236">
        <f>SUMIF(母公司报表调整!$H$5:$H$65536,IF(OR(MID(TRIM($A10),2,1)="：",MID(TRIM($A10),2,1)="、"),REPLACEB(TRIM($A10),1,4,""),TRIM($A10)),母公司报表调整!$J$5:$J$65536)</f>
        <v>0</v>
      </c>
      <c r="I10" s="236">
        <f t="shared" ref="I10:I26" si="2">B10+E10+G10-F10-H10+C10-D10</f>
        <v>0</v>
      </c>
      <c r="J10" s="236"/>
      <c r="K10" s="237">
        <f t="shared" ref="K10:K15" si="3">SUM(I10:J10)</f>
        <v>0</v>
      </c>
      <c r="M10" s="101"/>
      <c r="N10" s="21"/>
    </row>
    <row r="11" spans="1:15" ht="14.45" customHeight="1">
      <c r="A11" s="1059" t="str">
        <f>报表格式!B10</f>
        <v>以公允价值计量且其变动计入当期损益的金融资产</v>
      </c>
      <c r="B11" s="236">
        <f>母公司BS汇总!B11</f>
        <v>0</v>
      </c>
      <c r="C11" s="236">
        <f>SUMIF(母公司汇总抵销!$E$5:$E$65538,IF(OR(MID(TRIM($A11),2,1)="：",MID(TRIM($A11),2,1)="、"),REPLACEB(TRIM($A11),1,4,""),TRIM($A11)),母公司汇总抵销!$J$5:$J$65538)</f>
        <v>0</v>
      </c>
      <c r="D11" s="236">
        <f>SUMIF(母公司汇总抵销!$H$5:$H$65538,IF(OR(MID(TRIM($A11),2,1)="：",MID(TRIM($A11),2,1)="、"),REPLACEB(TRIM($A11),1,4,""),TRIM($A11)),母公司汇总抵销!$J$5:$J$65538)</f>
        <v>0</v>
      </c>
      <c r="E11" s="236">
        <f>SUMIF(母公司账项调整!$E$5:$E$65536,IF(OR(MID(TRIM($A11),2,1)="：",MID(TRIM($A11),2,1)="、"),REPLACEB(TRIM($A11),1,4,""),TRIM($A11)),母公司账项调整!$J$5:$J$65536)</f>
        <v>0</v>
      </c>
      <c r="F11" s="236">
        <f>SUMIF(母公司账项调整!$H$5:$H$65536,IF(OR(MID(TRIM($A11),2,1)="：",MID(TRIM($A11),2,1)="、"),REPLACEB(TRIM($A11),1,4,""),TRIM($A11)),母公司账项调整!$J$5:$J$65536)</f>
        <v>0</v>
      </c>
      <c r="G11" s="236">
        <f>SUMIF(母公司报表调整!$E$5:$E$65536,IF(OR(MID(TRIM($A11),2,1)="：",MID(TRIM($A11),2,1)="、"),REPLACEB(TRIM($A11),1,4,""),TRIM($A11)),母公司报表调整!$J$5:$J$65536)</f>
        <v>0</v>
      </c>
      <c r="H11" s="236">
        <f>SUMIF(母公司报表调整!$H$5:$H$65536,IF(OR(MID(TRIM($A11),2,1)="：",MID(TRIM($A11),2,1)="、"),REPLACEB(TRIM($A11),1,4,""),TRIM($A11)),母公司报表调整!$J$5:$J$65536)</f>
        <v>0</v>
      </c>
      <c r="I11" s="236">
        <f t="shared" ref="I11" si="4">B11+E11+G11-F11-H11+C11-D11</f>
        <v>0</v>
      </c>
      <c r="J11" s="236"/>
      <c r="K11" s="237">
        <f t="shared" si="3"/>
        <v>0</v>
      </c>
      <c r="M11" s="101"/>
      <c r="N11" s="21"/>
    </row>
    <row r="12" spans="1:15" ht="14.45" customHeight="1">
      <c r="A12" s="1059" t="str">
        <f>报表格式!B11</f>
        <v>衍生金融资产</v>
      </c>
      <c r="B12" s="236">
        <f>母公司BS汇总!B12</f>
        <v>0</v>
      </c>
      <c r="C12" s="236">
        <f>SUMIF(母公司汇总抵销!$E$5:$E$65538,IF(OR(MID(TRIM($A12),2,1)="：",MID(TRIM($A12),2,1)="、"),REPLACEB(TRIM($A12),1,4,""),TRIM($A12)),母公司汇总抵销!$J$5:$J$65538)</f>
        <v>0</v>
      </c>
      <c r="D12" s="236">
        <f>SUMIF(母公司汇总抵销!$H$5:$H$65538,IF(OR(MID(TRIM($A12),2,1)="：",MID(TRIM($A12),2,1)="、"),REPLACEB(TRIM($A12),1,4,""),TRIM($A12)),母公司汇总抵销!$J$5:$J$65538)</f>
        <v>0</v>
      </c>
      <c r="E12" s="236">
        <f>SUMIF(母公司账项调整!$E$5:$E$65536,IF(OR(MID(TRIM($A12),2,1)="：",MID(TRIM($A12),2,1)="、"),REPLACEB(TRIM($A12),1,4,""),TRIM($A12)),母公司账项调整!$J$5:$J$65536)</f>
        <v>0</v>
      </c>
      <c r="F12" s="236">
        <f>SUMIF(母公司账项调整!$H$5:$H$65536,IF(OR(MID(TRIM($A12),2,1)="：",MID(TRIM($A12),2,1)="、"),REPLACEB(TRIM($A12),1,4,""),TRIM($A12)),母公司账项调整!$J$5:$J$65536)</f>
        <v>0</v>
      </c>
      <c r="G12" s="236">
        <f>SUMIF(母公司报表调整!$E$5:$E$65536,IF(OR(MID(TRIM($A12),2,1)="：",MID(TRIM($A12),2,1)="、"),REPLACEB(TRIM($A12),1,4,""),TRIM($A12)),母公司报表调整!$J$5:$J$65536)</f>
        <v>0</v>
      </c>
      <c r="H12" s="236">
        <f>SUMIF(母公司报表调整!$H$5:$H$65536,IF(OR(MID(TRIM($A12),2,1)="：",MID(TRIM($A12),2,1)="、"),REPLACEB(TRIM($A12),1,4,""),TRIM($A12)),母公司报表调整!$J$5:$J$65536)</f>
        <v>0</v>
      </c>
      <c r="I12" s="236">
        <f>B12+E12+G12-F12-H12+C12-D12</f>
        <v>0</v>
      </c>
      <c r="J12" s="236"/>
      <c r="K12" s="237">
        <f t="shared" si="3"/>
        <v>0</v>
      </c>
      <c r="M12" s="101"/>
      <c r="N12" s="21"/>
    </row>
    <row r="13" spans="1:15" ht="14.45" customHeight="1">
      <c r="A13" s="1059" t="str">
        <f>报表格式!B12</f>
        <v>应收票据</v>
      </c>
      <c r="B13" s="236">
        <f>母公司BS汇总!B13</f>
        <v>0</v>
      </c>
      <c r="C13" s="236">
        <f>SUMIF(母公司汇总抵销!$E$5:$E$65538,IF(OR(MID(TRIM($A13),2,1)="：",MID(TRIM($A13),2,1)="、"),REPLACEB(TRIM($A13),1,4,""),TRIM($A13)),母公司汇总抵销!$J$5:$J$65538)</f>
        <v>0</v>
      </c>
      <c r="D13" s="236">
        <f>SUMIF(母公司汇总抵销!$H$5:$H$65538,IF(OR(MID(TRIM($A13),2,1)="：",MID(TRIM($A13),2,1)="、"),REPLACEB(TRIM($A13),1,4,""),TRIM($A13)),母公司汇总抵销!$J$5:$J$65538)</f>
        <v>0</v>
      </c>
      <c r="E13" s="236">
        <f>SUMIF(母公司账项调整!$E$5:$E$65536,IF(OR(MID(TRIM($A13),2,1)="：",MID(TRIM($A13),2,1)="、"),REPLACEB(TRIM($A13),1,4,""),TRIM($A13)),母公司账项调整!$J$5:$J$65536)</f>
        <v>0</v>
      </c>
      <c r="F13" s="236">
        <f>SUMIF(母公司账项调整!$H$5:$H$65536,IF(OR(MID(TRIM($A13),2,1)="：",MID(TRIM($A13),2,1)="、"),REPLACEB(TRIM($A13),1,4,""),TRIM($A13)),母公司账项调整!$J$5:$J$65536)</f>
        <v>0</v>
      </c>
      <c r="G13" s="236">
        <f>SUMIF(母公司报表调整!$E$5:$E$65536,IF(OR(MID(TRIM($A13),2,1)="：",MID(TRIM($A13),2,1)="、"),REPLACEB(TRIM($A13),1,4,""),TRIM($A13)),母公司报表调整!$J$5:$J$65536)</f>
        <v>0</v>
      </c>
      <c r="H13" s="236">
        <f>SUMIF(母公司报表调整!$H$5:$H$65536,IF(OR(MID(TRIM($A13),2,1)="：",MID(TRIM($A13),2,1)="、"),REPLACEB(TRIM($A13),1,4,""),TRIM($A13)),母公司报表调整!$J$5:$J$65536)</f>
        <v>0</v>
      </c>
      <c r="I13" s="236">
        <f t="shared" si="2"/>
        <v>0</v>
      </c>
      <c r="J13" s="236"/>
      <c r="K13" s="237">
        <f t="shared" si="3"/>
        <v>0</v>
      </c>
    </row>
    <row r="14" spans="1:15" ht="14.45" customHeight="1">
      <c r="A14" s="1059" t="str">
        <f>报表格式!B13</f>
        <v>应收账款</v>
      </c>
      <c r="B14" s="236">
        <f>母公司BS汇总!B14</f>
        <v>0</v>
      </c>
      <c r="C14" s="236">
        <f>SUMIF(母公司汇总抵销!$E$5:$E$65538,IF(OR(MID(TRIM($A14),2,1)="：",MID(TRIM($A14),2,1)="、"),REPLACEB(TRIM($A14),1,4,""),TRIM($A14)),母公司汇总抵销!$J$5:$J$65538)</f>
        <v>0</v>
      </c>
      <c r="D14" s="236">
        <f>SUMIF(母公司汇总抵销!$H$5:$H$65538,IF(OR(MID(TRIM($A14),2,1)="：",MID(TRIM($A14),2,1)="、"),REPLACEB(TRIM($A14),1,4,""),TRIM($A14)),母公司汇总抵销!$J$5:$J$65538)</f>
        <v>0</v>
      </c>
      <c r="E14" s="236">
        <f>SUMIF(母公司账项调整!$E$5:$E$65536,IF(OR(MID(TRIM($A14),2,1)="：",MID(TRIM($A14),2,1)="、"),REPLACEB(TRIM($A14),1,4,""),TRIM($A14)),母公司账项调整!$J$5:$J$65536)</f>
        <v>0</v>
      </c>
      <c r="F14" s="236">
        <f>SUMIF(母公司账项调整!$H$5:$H$65536,IF(OR(MID(TRIM($A14),2,1)="：",MID(TRIM($A14),2,1)="、"),REPLACEB(TRIM($A14),1,4,""),TRIM($A14)),母公司账项调整!$J$5:$J$65536)</f>
        <v>0</v>
      </c>
      <c r="G14" s="236">
        <f>SUMIF(母公司报表调整!$E$5:$E$65536,IF(OR(MID(TRIM($A14),2,1)="：",MID(TRIM($A14),2,1)="、"),REPLACEB(TRIM($A14),1,4,""),TRIM($A14)),母公司报表调整!$J$5:$J$65536)</f>
        <v>0</v>
      </c>
      <c r="H14" s="236">
        <f>SUMIF(母公司报表调整!$H$5:$H$65536,IF(OR(MID(TRIM($A14),2,1)="：",MID(TRIM($A14),2,1)="、"),REPLACEB(TRIM($A14),1,4,""),TRIM($A14)),母公司报表调整!$J$5:$J$65536)</f>
        <v>0</v>
      </c>
      <c r="I14" s="236">
        <f t="shared" ref="I14:I15" si="5">B14+E14+G14-F14-H14+C14-D14</f>
        <v>0</v>
      </c>
      <c r="J14" s="236"/>
      <c r="K14" s="237">
        <f t="shared" si="3"/>
        <v>0</v>
      </c>
    </row>
    <row r="15" spans="1:15" ht="14.45" customHeight="1">
      <c r="A15" s="1059" t="str">
        <f>报表格式!B14</f>
        <v>应收款项融资</v>
      </c>
      <c r="B15" s="236">
        <f>母公司BS汇总!B15</f>
        <v>0</v>
      </c>
      <c r="C15" s="236">
        <f>SUMIF(母公司汇总抵销!$E$5:$E$65538,IF(OR(MID(TRIM($A15),2,1)="：",MID(TRIM($A15),2,1)="、"),REPLACEB(TRIM($A15),1,4,""),TRIM($A15)),母公司汇总抵销!$J$5:$J$65538)</f>
        <v>0</v>
      </c>
      <c r="D15" s="236">
        <f>SUMIF(母公司汇总抵销!$H$5:$H$65538,IF(OR(MID(TRIM($A15),2,1)="：",MID(TRIM($A15),2,1)="、"),REPLACEB(TRIM($A15),1,4,""),TRIM($A15)),母公司汇总抵销!$J$5:$J$65538)</f>
        <v>0</v>
      </c>
      <c r="E15" s="236">
        <f>SUMIF(母公司账项调整!$E$5:$E$65536,IF(OR(MID(TRIM($A15),2,1)="：",MID(TRIM($A15),2,1)="、"),REPLACEB(TRIM($A15),1,4,""),TRIM($A15)),母公司账项调整!$J$5:$J$65536)</f>
        <v>0</v>
      </c>
      <c r="F15" s="236">
        <f>SUMIF(母公司账项调整!$H$5:$H$65536,IF(OR(MID(TRIM($A15),2,1)="：",MID(TRIM($A15),2,1)="、"),REPLACEB(TRIM($A15),1,4,""),TRIM($A15)),母公司账项调整!$J$5:$J$65536)</f>
        <v>0</v>
      </c>
      <c r="G15" s="236">
        <f>SUMIF(母公司报表调整!$E$5:$E$65536,IF(OR(MID(TRIM($A15),2,1)="：",MID(TRIM($A15),2,1)="、"),REPLACEB(TRIM($A15),1,4,""),TRIM($A15)),母公司报表调整!$J$5:$J$65536)</f>
        <v>0</v>
      </c>
      <c r="H15" s="236">
        <f>SUMIF(母公司报表调整!$H$5:$H$65536,IF(OR(MID(TRIM($A15),2,1)="：",MID(TRIM($A15),2,1)="、"),REPLACEB(TRIM($A15),1,4,""),TRIM($A15)),母公司报表调整!$J$5:$J$65536)</f>
        <v>0</v>
      </c>
      <c r="I15" s="236">
        <f t="shared" si="5"/>
        <v>0</v>
      </c>
      <c r="J15" s="236"/>
      <c r="K15" s="237">
        <f t="shared" si="3"/>
        <v>0</v>
      </c>
    </row>
    <row r="16" spans="1:15" ht="14.45" customHeight="1">
      <c r="A16" s="1059" t="str">
        <f>报表格式!B15</f>
        <v>预付款项</v>
      </c>
      <c r="B16" s="236">
        <f>母公司BS汇总!B16</f>
        <v>0</v>
      </c>
      <c r="C16" s="236">
        <f>SUMIF(母公司汇总抵销!$E$5:$E$65538,IF(OR(MID(TRIM($A16),2,1)="：",MID(TRIM($A16),2,1)="、"),REPLACEB(TRIM($A16),1,4,""),TRIM($A16)),母公司汇总抵销!$J$5:$J$65538)</f>
        <v>0</v>
      </c>
      <c r="D16" s="236">
        <f>SUMIF(母公司汇总抵销!$H$5:$H$65538,IF(OR(MID(TRIM($A16),2,1)="：",MID(TRIM($A16),2,1)="、"),REPLACEB(TRIM($A16),1,4,""),TRIM($A16)),母公司汇总抵销!$J$5:$J$65538)</f>
        <v>0</v>
      </c>
      <c r="E16" s="236">
        <f>SUMIF(母公司账项调整!$E$5:$E$65536,IF(OR(MID(TRIM($A16),2,1)="：",MID(TRIM($A16),2,1)="、"),REPLACEB(TRIM($A16),1,4,""),TRIM($A16)),母公司账项调整!$J$5:$J$65536)</f>
        <v>0</v>
      </c>
      <c r="F16" s="236">
        <f>SUMIF(母公司账项调整!$H$5:$H$65536,IF(OR(MID(TRIM($A16),2,1)="：",MID(TRIM($A16),2,1)="、"),REPLACEB(TRIM($A16),1,4,""),TRIM($A16)),母公司账项调整!$J$5:$J$65536)</f>
        <v>0</v>
      </c>
      <c r="G16" s="236">
        <f>SUMIF(母公司报表调整!$E$5:$E$65536,IF(OR(MID(TRIM($A16),2,1)="：",MID(TRIM($A16),2,1)="、"),REPLACEB(TRIM($A16),1,4,""),TRIM($A16)),母公司报表调整!$J$5:$J$65536)</f>
        <v>0</v>
      </c>
      <c r="H16" s="236">
        <f>SUMIF(母公司报表调整!$H$5:$H$65536,IF(OR(MID(TRIM($A16),2,1)="：",MID(TRIM($A16),2,1)="、"),REPLACEB(TRIM($A16),1,4,""),TRIM($A16)),母公司报表调整!$J$5:$J$65536)</f>
        <v>0</v>
      </c>
      <c r="I16" s="236">
        <f t="shared" si="2"/>
        <v>0</v>
      </c>
      <c r="J16" s="236"/>
      <c r="K16" s="237">
        <f t="shared" ref="K16:K26" si="6">SUM(I16:J16)</f>
        <v>0</v>
      </c>
    </row>
    <row r="17" spans="1:11" ht="14.45" customHeight="1">
      <c r="A17" s="1059" t="str">
        <f>报表格式!B16</f>
        <v>应收保费</v>
      </c>
      <c r="B17" s="236">
        <f>母公司BS汇总!B17</f>
        <v>0</v>
      </c>
      <c r="C17" s="236">
        <f>SUMIF(母公司汇总抵销!$E$5:$E$65538,IF(OR(MID(TRIM($A17),2,1)="：",MID(TRIM($A17),2,1)="、"),REPLACEB(TRIM($A17),1,4,""),TRIM($A17)),母公司汇总抵销!$J$5:$J$65538)</f>
        <v>0</v>
      </c>
      <c r="D17" s="236">
        <f>SUMIF(母公司汇总抵销!$H$5:$H$65538,IF(OR(MID(TRIM($A17),2,1)="：",MID(TRIM($A17),2,1)="、"),REPLACEB(TRIM($A17),1,4,""),TRIM($A17)),母公司汇总抵销!$J$5:$J$65538)</f>
        <v>0</v>
      </c>
      <c r="E17" s="236">
        <f>SUMIF(母公司账项调整!$E$5:$E$65536,IF(OR(MID(TRIM($A17),2,1)="：",MID(TRIM($A17),2,1)="、"),REPLACEB(TRIM($A17),1,4,""),TRIM($A17)),母公司账项调整!$J$5:$J$65536)</f>
        <v>0</v>
      </c>
      <c r="F17" s="236">
        <f>SUMIF(母公司账项调整!$H$5:$H$65536,IF(OR(MID(TRIM($A17),2,1)="：",MID(TRIM($A17),2,1)="、"),REPLACEB(TRIM($A17),1,4,""),TRIM($A17)),母公司账项调整!$J$5:$J$65536)</f>
        <v>0</v>
      </c>
      <c r="G17" s="236">
        <f>SUMIF(母公司报表调整!$E$5:$E$65536,IF(OR(MID(TRIM($A17),2,1)="：",MID(TRIM($A17),2,1)="、"),REPLACEB(TRIM($A17),1,4,""),TRIM($A17)),母公司报表调整!$J$5:$J$65536)</f>
        <v>0</v>
      </c>
      <c r="H17" s="236">
        <f>SUMIF(母公司报表调整!$H$5:$H$65536,IF(OR(MID(TRIM($A17),2,1)="：",MID(TRIM($A17),2,1)="、"),REPLACEB(TRIM($A17),1,4,""),TRIM($A17)),母公司报表调整!$J$5:$J$65536)</f>
        <v>0</v>
      </c>
      <c r="I17" s="236">
        <f t="shared" ref="I17:I19" si="7">B17+E17+G17-F17-H17+C17-D17</f>
        <v>0</v>
      </c>
      <c r="J17" s="236"/>
      <c r="K17" s="237">
        <f t="shared" ref="K17:K19" si="8">SUM(I17:J17)</f>
        <v>0</v>
      </c>
    </row>
    <row r="18" spans="1:11" ht="14.45" customHeight="1">
      <c r="A18" s="1059" t="str">
        <f>报表格式!B17</f>
        <v>应收分保账款</v>
      </c>
      <c r="B18" s="236">
        <f>母公司BS汇总!B18</f>
        <v>0</v>
      </c>
      <c r="C18" s="236">
        <f>SUMIF(母公司汇总抵销!$E$5:$E$65538,IF(OR(MID(TRIM($A18),2,1)="：",MID(TRIM($A18),2,1)="、"),REPLACEB(TRIM($A18),1,4,""),TRIM($A18)),母公司汇总抵销!$J$5:$J$65538)</f>
        <v>0</v>
      </c>
      <c r="D18" s="236">
        <f>SUMIF(母公司汇总抵销!$H$5:$H$65538,IF(OR(MID(TRIM($A18),2,1)="：",MID(TRIM($A18),2,1)="、"),REPLACEB(TRIM($A18),1,4,""),TRIM($A18)),母公司汇总抵销!$J$5:$J$65538)</f>
        <v>0</v>
      </c>
      <c r="E18" s="236">
        <f>SUMIF(母公司账项调整!$E$5:$E$65536,IF(OR(MID(TRIM($A18),2,1)="：",MID(TRIM($A18),2,1)="、"),REPLACEB(TRIM($A18),1,4,""),TRIM($A18)),母公司账项调整!$J$5:$J$65536)</f>
        <v>0</v>
      </c>
      <c r="F18" s="236">
        <f>SUMIF(母公司账项调整!$H$5:$H$65536,IF(OR(MID(TRIM($A18),2,1)="：",MID(TRIM($A18),2,1)="、"),REPLACEB(TRIM($A18),1,4,""),TRIM($A18)),母公司账项调整!$J$5:$J$65536)</f>
        <v>0</v>
      </c>
      <c r="G18" s="236">
        <f>SUMIF(母公司报表调整!$E$5:$E$65536,IF(OR(MID(TRIM($A18),2,1)="：",MID(TRIM($A18),2,1)="、"),REPLACEB(TRIM($A18),1,4,""),TRIM($A18)),母公司报表调整!$J$5:$J$65536)</f>
        <v>0</v>
      </c>
      <c r="H18" s="236">
        <f>SUMIF(母公司报表调整!$H$5:$H$65536,IF(OR(MID(TRIM($A18),2,1)="：",MID(TRIM($A18),2,1)="、"),REPLACEB(TRIM($A18),1,4,""),TRIM($A18)),母公司报表调整!$J$5:$J$65536)</f>
        <v>0</v>
      </c>
      <c r="I18" s="236">
        <f t="shared" si="7"/>
        <v>0</v>
      </c>
      <c r="J18" s="236"/>
      <c r="K18" s="237">
        <f t="shared" si="8"/>
        <v>0</v>
      </c>
    </row>
    <row r="19" spans="1:11" ht="14.45" customHeight="1">
      <c r="A19" s="1059" t="str">
        <f>报表格式!B18</f>
        <v>应收分保准备金</v>
      </c>
      <c r="B19" s="236">
        <f>母公司BS汇总!B19</f>
        <v>0</v>
      </c>
      <c r="C19" s="236">
        <f>SUMIF(母公司汇总抵销!$E$5:$E$65538,IF(OR(MID(TRIM($A19),2,1)="：",MID(TRIM($A19),2,1)="、"),REPLACEB(TRIM($A19),1,4,""),TRIM($A19)),母公司汇总抵销!$J$5:$J$65538)</f>
        <v>0</v>
      </c>
      <c r="D19" s="236">
        <f>SUMIF(母公司汇总抵销!$H$5:$H$65538,IF(OR(MID(TRIM($A19),2,1)="：",MID(TRIM($A19),2,1)="、"),REPLACEB(TRIM($A19),1,4,""),TRIM($A19)),母公司汇总抵销!$J$5:$J$65538)</f>
        <v>0</v>
      </c>
      <c r="E19" s="236">
        <f>SUMIF(母公司账项调整!$E$5:$E$65536,IF(OR(MID(TRIM($A19),2,1)="：",MID(TRIM($A19),2,1)="、"),REPLACEB(TRIM($A19),1,4,""),TRIM($A19)),母公司账项调整!$J$5:$J$65536)</f>
        <v>0</v>
      </c>
      <c r="F19" s="236">
        <f>SUMIF(母公司账项调整!$H$5:$H$65536,IF(OR(MID(TRIM($A19),2,1)="：",MID(TRIM($A19),2,1)="、"),REPLACEB(TRIM($A19),1,4,""),TRIM($A19)),母公司账项调整!$J$5:$J$65536)</f>
        <v>0</v>
      </c>
      <c r="G19" s="236">
        <f>SUMIF(母公司报表调整!$E$5:$E$65536,IF(OR(MID(TRIM($A19),2,1)="：",MID(TRIM($A19),2,1)="、"),REPLACEB(TRIM($A19),1,4,""),TRIM($A19)),母公司报表调整!$J$5:$J$65536)</f>
        <v>0</v>
      </c>
      <c r="H19" s="236">
        <f>SUMIF(母公司报表调整!$H$5:$H$65536,IF(OR(MID(TRIM($A19),2,1)="：",MID(TRIM($A19),2,1)="、"),REPLACEB(TRIM($A19),1,4,""),TRIM($A19)),母公司报表调整!$J$5:$J$65536)</f>
        <v>0</v>
      </c>
      <c r="I19" s="236">
        <f t="shared" si="7"/>
        <v>0</v>
      </c>
      <c r="J19" s="236"/>
      <c r="K19" s="237">
        <f t="shared" si="8"/>
        <v>0</v>
      </c>
    </row>
    <row r="20" spans="1:11" ht="14.45" customHeight="1">
      <c r="A20" s="1059" t="str">
        <f>报表格式!B19</f>
        <v>其他应收款</v>
      </c>
      <c r="B20" s="236">
        <f>母公司BS汇总!B20</f>
        <v>0</v>
      </c>
      <c r="C20" s="236">
        <f>SUMIF(母公司汇总抵销!$E$5:$E$65538,IF(OR(MID(TRIM($A20),2,1)="：",MID(TRIM($A20),2,1)="、"),REPLACEB(TRIM($A20),1,4,""),TRIM($A20)),母公司汇总抵销!$J$5:$J$65538)</f>
        <v>0</v>
      </c>
      <c r="D20" s="236">
        <f>SUMIF(母公司汇总抵销!$H$5:$H$65538,IF(OR(MID(TRIM($A20),2,1)="：",MID(TRIM($A20),2,1)="、"),REPLACEB(TRIM($A20),1,4,""),TRIM($A20)),母公司汇总抵销!$J$5:$J$65538)</f>
        <v>0</v>
      </c>
      <c r="E20" s="236">
        <f>SUMIF(母公司账项调整!$E$5:$E$65536,IF(OR(MID(TRIM($A20),2,1)="：",MID(TRIM($A20),2,1)="、"),REPLACEB(TRIM($A20),1,4,""),TRIM($A20)),母公司账项调整!$J$5:$J$65536)</f>
        <v>0</v>
      </c>
      <c r="F20" s="236">
        <f>SUMIF(母公司账项调整!$H$5:$H$65536,IF(OR(MID(TRIM($A20),2,1)="：",MID(TRIM($A20),2,1)="、"),REPLACEB(TRIM($A20),1,4,""),TRIM($A20)),母公司账项调整!$J$5:$J$65536)</f>
        <v>0</v>
      </c>
      <c r="G20" s="236">
        <f>SUMIF(母公司报表调整!$E$5:$E$65536,IF(OR(MID(TRIM($A20),2,1)="：",MID(TRIM($A20),2,1)="、"),REPLACEB(TRIM($A20),1,4,""),TRIM($A20)),母公司报表调整!$J$5:$J$65536)</f>
        <v>0</v>
      </c>
      <c r="H20" s="236">
        <f>SUMIF(母公司报表调整!$H$5:$H$65536,IF(OR(MID(TRIM($A20),2,1)="：",MID(TRIM($A20),2,1)="、"),REPLACEB(TRIM($A20),1,4,""),TRIM($A20)),母公司报表调整!$J$5:$J$65536)</f>
        <v>0</v>
      </c>
      <c r="I20" s="236">
        <f t="shared" si="2"/>
        <v>0</v>
      </c>
      <c r="J20" s="236"/>
      <c r="K20" s="237">
        <f t="shared" si="6"/>
        <v>0</v>
      </c>
    </row>
    <row r="21" spans="1:11" ht="14.45" customHeight="1">
      <c r="A21" s="1059" t="str">
        <f>报表格式!B20</f>
        <v xml:space="preserve">  其中：应收利息</v>
      </c>
      <c r="B21" s="236">
        <f>母公司BS汇总!B21</f>
        <v>0</v>
      </c>
      <c r="C21" s="814">
        <f>SUMIF(母公司汇总抵销!$F$5:$F$65538,IF(OR(MID(TRIM($A21),3,1)="：",MID(TRIM($A21),2,1)="、"),REPLACEB(TRIM($A21),1,6,""),TRIM($A21)),母公司汇总抵销!$J$5:$J$65538)</f>
        <v>0</v>
      </c>
      <c r="D21" s="814">
        <f>SUMIF(母公司汇总抵销!$I$5:$I$65538,IF(OR(MID(TRIM($A21),3,1)="：",MID(TRIM($A21),2,1)="、"),REPLACEB(TRIM($A21),1,6,""),TRIM($A21)),母公司汇总抵销!$J$5:$J$65538)</f>
        <v>0</v>
      </c>
      <c r="E21" s="814">
        <f>SUMIF(母公司账项调整!$F$5:$F$65536,IF(OR(MID(TRIM($A21),3,1)="：",MID(TRIM($A21),2,1)="、"),REPLACEB(TRIM($A21),1,6,""),TRIM($A21)),母公司账项调整!$J$5:$J$65536)</f>
        <v>0</v>
      </c>
      <c r="F21" s="814">
        <f>SUMIF(母公司账项调整!$I$5:$I$65536,IF(OR(MID(TRIM($A21),3,1)="：",MID(TRIM($A21),2,1)="、"),REPLACEB(TRIM($A21),1,6,""),TRIM($A21)),母公司账项调整!$J$5:$J$65536)</f>
        <v>0</v>
      </c>
      <c r="G21" s="814">
        <f>SUMIF(母公司报表调整!$F$5:$F$65536,IF(OR(MID(TRIM($A21),3,1)="：",MID(TRIM($A21),2,1)="、"),REPLACEB(TRIM($A21),1,6,""),TRIM($A21)),母公司报表调整!$J$5:$J$65536)</f>
        <v>0</v>
      </c>
      <c r="H21" s="814">
        <f>SUMIF(母公司报表调整!$I$5:$I$65536,IF(OR(MID(TRIM($A21),3,1)="：",MID(TRIM($A21),2,1)="、"),REPLACEB(TRIM($A21),1,6,""),TRIM($A21)),母公司报表调整!$J$5:$J$65536)</f>
        <v>0</v>
      </c>
      <c r="I21" s="236">
        <f t="shared" ref="I21:I23" si="9">B21+E21+G21-F21-H21+C21-D21</f>
        <v>0</v>
      </c>
      <c r="J21" s="236"/>
      <c r="K21" s="237">
        <f t="shared" ref="K21:K22" si="10">SUM(I21:J21)</f>
        <v>0</v>
      </c>
    </row>
    <row r="22" spans="1:11" ht="14.45" customHeight="1">
      <c r="A22" s="1059" t="str">
        <f>报表格式!B21</f>
        <v xml:space="preserve">        应收股利</v>
      </c>
      <c r="B22" s="236">
        <f>母公司BS汇总!B22</f>
        <v>0</v>
      </c>
      <c r="C22" s="236">
        <f>SUMIF(母公司汇总抵销!$F$5:$F$65538,IF(OR(MID(TRIM($A22),2,1)="：",MID(TRIM($A22),2,1)="、"),REPLACEB(TRIM($A22),1,4,""),TRIM($A22)),母公司汇总抵销!$J$5:$J$65538)</f>
        <v>0</v>
      </c>
      <c r="D22" s="236">
        <f>SUMIF(母公司汇总抵销!$I$5:$I$65538,IF(OR(MID(TRIM($A22),2,1)="：",MID(TRIM($A22),2,1)="、"),REPLACEB(TRIM($A22),1,4,""),TRIM($A22)),母公司汇总抵销!$J$5:$J$65538)</f>
        <v>0</v>
      </c>
      <c r="E22" s="236">
        <f>SUMIF(母公司账项调整!$F$5:$F$65536,IF(OR(MID(TRIM($A22),2,1)="：",MID(TRIM($A22),2,1)="、"),REPLACEB(TRIM($A22),1,4,""),TRIM($A22)),母公司账项调整!$J$5:$J$65536)</f>
        <v>0</v>
      </c>
      <c r="F22" s="236">
        <f>SUMIF(母公司账项调整!$I$5:$I$65536,IF(OR(MID(TRIM($A22),2,1)="：",MID(TRIM($A22),2,1)="、"),REPLACEB(TRIM($A22),1,4,""),TRIM($A22)),母公司账项调整!$J$5:$J$65536)</f>
        <v>0</v>
      </c>
      <c r="G22" s="236">
        <f>SUMIF(母公司报表调整!$F$5:$F$65536,IF(OR(MID(TRIM($A22),2,1)="：",MID(TRIM($A22),2,1)="、"),REPLACEB(TRIM($A22),1,4,""),TRIM($A22)),母公司报表调整!$J$5:$J$65536)</f>
        <v>0</v>
      </c>
      <c r="H22" s="236">
        <f>SUMIF(母公司报表调整!$I$5:$I$65536,IF(OR(MID(TRIM($A22),2,1)="：",MID(TRIM($A22),2,1)="、"),REPLACEB(TRIM($A22),1,4,""),TRIM($A22)),母公司报表调整!$J$5:$J$65536)</f>
        <v>0</v>
      </c>
      <c r="I22" s="236">
        <f t="shared" si="9"/>
        <v>0</v>
      </c>
      <c r="J22" s="236"/>
      <c r="K22" s="237">
        <f t="shared" si="10"/>
        <v>0</v>
      </c>
    </row>
    <row r="23" spans="1:11" ht="14.45" customHeight="1">
      <c r="A23" s="1059" t="str">
        <f>报表格式!B22</f>
        <v>买入返售金融资产</v>
      </c>
      <c r="B23" s="236">
        <f>母公司BS汇总!B23</f>
        <v>0</v>
      </c>
      <c r="C23" s="236">
        <f>SUMIF(母公司汇总抵销!$E$5:$E$65538,IF(OR(MID(TRIM($A23),2,1)="：",MID(TRIM($A23),2,1)="、"),REPLACEB(TRIM($A23),1,4,""),TRIM($A23)),母公司汇总抵销!$J$5:$J$65538)</f>
        <v>0</v>
      </c>
      <c r="D23" s="236">
        <f>SUMIF(母公司汇总抵销!$H$5:$H$65538,IF(OR(MID(TRIM($A23),2,1)="：",MID(TRIM($A23),2,1)="、"),REPLACEB(TRIM($A23),1,4,""),TRIM($A23)),母公司汇总抵销!$J$5:$J$65538)</f>
        <v>0</v>
      </c>
      <c r="E23" s="236">
        <f>SUMIF(母公司账项调整!$E$5:$E$65536,IF(OR(MID(TRIM($A23),2,1)="：",MID(TRIM($A23),2,1)="、"),REPLACEB(TRIM($A23),1,4,""),TRIM($A23)),母公司账项调整!$J$5:$J$65536)</f>
        <v>0</v>
      </c>
      <c r="F23" s="236">
        <f>SUMIF(母公司账项调整!$H$5:$H$65536,IF(OR(MID(TRIM($A23),2,1)="：",MID(TRIM($A23),2,1)="、"),REPLACEB(TRIM($A23),1,4,""),TRIM($A23)),母公司账项调整!$J$5:$J$65536)</f>
        <v>0</v>
      </c>
      <c r="G23" s="236">
        <f>SUMIF(母公司报表调整!$E$5:$E$65536,IF(OR(MID(TRIM($A23),2,1)="：",MID(TRIM($A23),2,1)="、"),REPLACEB(TRIM($A23),1,4,""),TRIM($A23)),母公司报表调整!$J$5:$J$65536)</f>
        <v>0</v>
      </c>
      <c r="H23" s="236">
        <f>SUMIF(母公司报表调整!$H$5:$H$65536,IF(OR(MID(TRIM($A23),2,1)="：",MID(TRIM($A23),2,1)="、"),REPLACEB(TRIM($A23),1,4,""),TRIM($A23)),母公司报表调整!$J$5:$J$65536)</f>
        <v>0</v>
      </c>
      <c r="I23" s="236">
        <f t="shared" si="9"/>
        <v>0</v>
      </c>
      <c r="J23" s="236"/>
      <c r="K23" s="237">
        <f t="shared" ref="K23" si="11">SUM(I23:J23)</f>
        <v>0</v>
      </c>
    </row>
    <row r="24" spans="1:11" ht="14.45" customHeight="1">
      <c r="A24" s="1059" t="str">
        <f>报表格式!B23</f>
        <v>存货</v>
      </c>
      <c r="B24" s="236">
        <f>母公司BS汇总!B24</f>
        <v>0</v>
      </c>
      <c r="C24" s="236">
        <f>SUMIF(母公司汇总抵销!$E$5:$E$65538,IF(OR(MID(TRIM($A24),2,1)="：",MID(TRIM($A24),2,1)="、"),REPLACEB(TRIM($A24),1,4,""),TRIM($A24)),母公司汇总抵销!$J$5:$J$65538)</f>
        <v>0</v>
      </c>
      <c r="D24" s="236">
        <f>SUMIF(母公司汇总抵销!$H$5:$H$65538,IF(OR(MID(TRIM($A24),2,1)="：",MID(TRIM($A24),2,1)="、"),REPLACEB(TRIM($A24),1,4,""),TRIM($A24)),母公司汇总抵销!$J$5:$J$65538)</f>
        <v>0</v>
      </c>
      <c r="E24" s="236">
        <f>SUMIF(母公司账项调整!$E$5:$E$65536,IF(OR(MID(TRIM($A24),2,1)="：",MID(TRIM($A24),2,1)="、"),REPLACEB(TRIM($A24),1,4,""),TRIM($A24)),母公司账项调整!$J$5:$J$65536)</f>
        <v>0</v>
      </c>
      <c r="F24" s="236">
        <f>SUMIF(母公司账项调整!$H$5:$H$65536,IF(OR(MID(TRIM($A24),2,1)="：",MID(TRIM($A24),2,1)="、"),REPLACEB(TRIM($A24),1,4,""),TRIM($A24)),母公司账项调整!$J$5:$J$65536)</f>
        <v>0</v>
      </c>
      <c r="G24" s="236">
        <f>SUMIF(母公司报表调整!$E$5:$E$65536,IF(OR(MID(TRIM($A24),2,1)="：",MID(TRIM($A24),2,1)="、"),REPLACEB(TRIM($A24),1,4,""),TRIM($A24)),母公司报表调整!$J$5:$J$65536)</f>
        <v>0</v>
      </c>
      <c r="H24" s="236">
        <f>SUMIF(母公司报表调整!$H$5:$H$65536,IF(OR(MID(TRIM($A24),2,1)="：",MID(TRIM($A24),2,1)="、"),REPLACEB(TRIM($A24),1,4,""),TRIM($A24)),母公司报表调整!$J$5:$J$65536)</f>
        <v>0</v>
      </c>
      <c r="I24" s="236">
        <f t="shared" si="2"/>
        <v>0</v>
      </c>
      <c r="J24" s="236"/>
      <c r="K24" s="237">
        <f t="shared" si="6"/>
        <v>0</v>
      </c>
    </row>
    <row r="25" spans="1:11" ht="14.45" customHeight="1">
      <c r="A25" s="1059" t="str">
        <f>报表格式!B24</f>
        <v>合同资产</v>
      </c>
      <c r="B25" s="236">
        <f>母公司BS汇总!B25</f>
        <v>0</v>
      </c>
      <c r="C25" s="236">
        <f>SUMIF(母公司汇总抵销!$E$5:$E$65538,IF(OR(MID(TRIM($A25),2,1)="：",MID(TRIM($A25),2,1)="、"),REPLACEB(TRIM($A25),1,4,""),TRIM($A25)),母公司汇总抵销!$J$5:$J$65538)</f>
        <v>0</v>
      </c>
      <c r="D25" s="236">
        <f>SUMIF(母公司汇总抵销!$H$5:$H$65538,IF(OR(MID(TRIM($A25),2,1)="：",MID(TRIM($A25),2,1)="、"),REPLACEB(TRIM($A25),1,4,""),TRIM($A25)),母公司汇总抵销!$J$5:$J$65538)</f>
        <v>0</v>
      </c>
      <c r="E25" s="236">
        <f>SUMIF(母公司账项调整!$E$5:$E$65536,IF(OR(MID(TRIM($A25),2,1)="：",MID(TRIM($A25),2,1)="、"),REPLACEB(TRIM($A25),1,4,""),TRIM($A25)),母公司账项调整!$J$5:$J$65536)</f>
        <v>0</v>
      </c>
      <c r="F25" s="236">
        <f>SUMIF(母公司账项调整!$H$5:$H$65536,IF(OR(MID(TRIM($A25),2,1)="：",MID(TRIM($A25),2,1)="、"),REPLACEB(TRIM($A25),1,4,""),TRIM($A25)),母公司账项调整!$J$5:$J$65536)</f>
        <v>0</v>
      </c>
      <c r="G25" s="236">
        <f>SUMIF(母公司报表调整!$E$5:$E$65536,IF(OR(MID(TRIM($A25),2,1)="：",MID(TRIM($A25),2,1)="、"),REPLACEB(TRIM($A25),1,4,""),TRIM($A25)),母公司报表调整!$J$5:$J$65536)</f>
        <v>0</v>
      </c>
      <c r="H25" s="236">
        <f>SUMIF(母公司报表调整!$H$5:$H$65536,IF(OR(MID(TRIM($A25),2,1)="：",MID(TRIM($A25),2,1)="、"),REPLACEB(TRIM($A25),1,4,""),TRIM($A25)),母公司报表调整!$J$5:$J$65536)</f>
        <v>0</v>
      </c>
      <c r="I25" s="236">
        <f t="shared" si="2"/>
        <v>0</v>
      </c>
      <c r="J25" s="236"/>
      <c r="K25" s="237">
        <f t="shared" si="6"/>
        <v>0</v>
      </c>
    </row>
    <row r="26" spans="1:11" ht="14.45" customHeight="1">
      <c r="A26" s="1059" t="str">
        <f>报表格式!B25</f>
        <v>持有待售资产</v>
      </c>
      <c r="B26" s="236">
        <f>母公司BS汇总!B26</f>
        <v>0</v>
      </c>
      <c r="C26" s="236">
        <f>SUMIF(母公司汇总抵销!$E$5:$E$65538,IF(OR(MID(TRIM($A26),2,1)="：",MID(TRIM($A26),2,1)="、"),REPLACEB(TRIM($A26),1,4,""),TRIM($A26)),母公司汇总抵销!$J$5:$J$65538)</f>
        <v>0</v>
      </c>
      <c r="D26" s="236">
        <f>SUMIF(母公司汇总抵销!$H$5:$H$65538,IF(OR(MID(TRIM($A26),2,1)="：",MID(TRIM($A26),2,1)="、"),REPLACEB(TRIM($A26),1,4,""),TRIM($A26)),母公司汇总抵销!$J$5:$J$65538)</f>
        <v>0</v>
      </c>
      <c r="E26" s="236">
        <f>SUMIF(母公司账项调整!$E$5:$E$65536,IF(OR(MID(TRIM($A26),2,1)="：",MID(TRIM($A26),2,1)="、"),REPLACEB(TRIM($A26),1,4,""),TRIM($A26)),母公司账项调整!$J$5:$J$65536)</f>
        <v>0</v>
      </c>
      <c r="F26" s="236">
        <f>SUMIF(母公司账项调整!$H$5:$H$65536,IF(OR(MID(TRIM($A26),2,1)="：",MID(TRIM($A26),2,1)="、"),REPLACEB(TRIM($A26),1,4,""),TRIM($A26)),母公司账项调整!$J$5:$J$65536)</f>
        <v>0</v>
      </c>
      <c r="G26" s="236">
        <f>SUMIF(母公司报表调整!$E$5:$E$65536,IF(OR(MID(TRIM($A26),2,1)="：",MID(TRIM($A26),2,1)="、"),REPLACEB(TRIM($A26),1,4,""),TRIM($A26)),母公司报表调整!$J$5:$J$65536)</f>
        <v>0</v>
      </c>
      <c r="H26" s="236">
        <f>SUMIF(母公司报表调整!$H$5:$H$65536,IF(OR(MID(TRIM($A26),2,1)="：",MID(TRIM($A26),2,1)="、"),REPLACEB(TRIM($A26),1,4,""),TRIM($A26)),母公司报表调整!$J$5:$J$65536)</f>
        <v>0</v>
      </c>
      <c r="I26" s="236">
        <f t="shared" si="2"/>
        <v>0</v>
      </c>
      <c r="J26" s="236"/>
      <c r="K26" s="237">
        <f t="shared" si="6"/>
        <v>0</v>
      </c>
    </row>
    <row r="27" spans="1:11" ht="14.45" customHeight="1">
      <c r="A27" s="1059" t="str">
        <f>报表格式!B26</f>
        <v>一年内到期的非流动资产</v>
      </c>
      <c r="B27" s="236">
        <f>母公司BS汇总!B27</f>
        <v>0</v>
      </c>
      <c r="C27" s="236">
        <f>SUMIF(母公司汇总抵销!$E$5:$E$65538,IF(OR(MID(TRIM($A27),2,1)="：",MID(TRIM($A27),2,1)="、"),REPLACEB(TRIM($A27),1,4,""),TRIM($A27)),母公司汇总抵销!$J$5:$J$65538)</f>
        <v>0</v>
      </c>
      <c r="D27" s="236">
        <f>SUMIF(母公司汇总抵销!$H$5:$H$65538,IF(OR(MID(TRIM($A27),2,1)="：",MID(TRIM($A27),2,1)="、"),REPLACEB(TRIM($A27),1,4,""),TRIM($A27)),母公司汇总抵销!$J$5:$J$65538)</f>
        <v>0</v>
      </c>
      <c r="E27" s="236">
        <f>SUMIF(母公司账项调整!$E$5:$E$65536,IF(OR(MID(TRIM($A27),2,1)="：",MID(TRIM($A27),2,1)="、"),REPLACEB(TRIM($A27),1,4,""),TRIM($A27)),母公司账项调整!$J$5:$J$65536)</f>
        <v>0</v>
      </c>
      <c r="F27" s="236">
        <f>SUMIF(母公司账项调整!$H$5:$H$65536,IF(OR(MID(TRIM($A27),2,1)="：",MID(TRIM($A27),2,1)="、"),REPLACEB(TRIM($A27),1,4,""),TRIM($A27)),母公司账项调整!$J$5:$J$65536)</f>
        <v>0</v>
      </c>
      <c r="G27" s="236">
        <f>SUMIF(母公司报表调整!$E$5:$E$65536,IF(OR(MID(TRIM($A27),2,1)="：",MID(TRIM($A27),2,1)="、"),REPLACEB(TRIM($A27),1,4,""),TRIM($A27)),母公司报表调整!$J$5:$J$65536)</f>
        <v>0</v>
      </c>
      <c r="H27" s="236">
        <f>SUMIF(母公司报表调整!$H$5:$H$65536,IF(OR(MID(TRIM($A27),2,1)="：",MID(TRIM($A27),2,1)="、"),REPLACEB(TRIM($A27),1,4,""),TRIM($A27)),母公司报表调整!$J$5:$J$65536)</f>
        <v>0</v>
      </c>
      <c r="I27" s="236">
        <f>B27+E27+G27-F27-H27+C27-D27</f>
        <v>0</v>
      </c>
      <c r="J27" s="236"/>
      <c r="K27" s="237">
        <f>SUM(I27:J27)</f>
        <v>0</v>
      </c>
    </row>
    <row r="28" spans="1:11" ht="14.45" customHeight="1">
      <c r="A28" s="1059" t="str">
        <f>报表格式!B27</f>
        <v>其他流动资产</v>
      </c>
      <c r="B28" s="236">
        <f>母公司BS汇总!B28</f>
        <v>0</v>
      </c>
      <c r="C28" s="236">
        <f>SUMIF(母公司汇总抵销!$E$5:$E$65538,IF(OR(MID(TRIM($A28),2,1)="：",MID(TRIM($A28),2,1)="、"),REPLACEB(TRIM($A28),1,4,""),TRIM($A28)),母公司汇总抵销!$J$5:$J$65538)</f>
        <v>0</v>
      </c>
      <c r="D28" s="236">
        <f>SUMIF(母公司汇总抵销!$H$5:$H$65538,IF(OR(MID(TRIM($A28),2,1)="：",MID(TRIM($A28),2,1)="、"),REPLACEB(TRIM($A28),1,4,""),TRIM($A28)),母公司汇总抵销!$J$5:$J$65538)</f>
        <v>0</v>
      </c>
      <c r="E28" s="236">
        <f>SUMIF(母公司账项调整!$E$5:$E$65536,IF(OR(MID(TRIM($A28),2,1)="：",MID(TRIM($A28),2,1)="、"),REPLACEB(TRIM($A28),1,4,""),TRIM($A28)),母公司账项调整!$J$5:$J$65536)</f>
        <v>0</v>
      </c>
      <c r="F28" s="236">
        <f>SUMIF(母公司账项调整!$H$5:$H$65536,IF(OR(MID(TRIM($A28),2,1)="：",MID(TRIM($A28),2,1)="、"),REPLACEB(TRIM($A28),1,4,""),TRIM($A28)),母公司账项调整!$J$5:$J$65536)</f>
        <v>0</v>
      </c>
      <c r="G28" s="236">
        <f>SUMIF(母公司报表调整!$E$5:$E$65536,IF(OR(MID(TRIM($A28),2,1)="：",MID(TRIM($A28),2,1)="、"),REPLACEB(TRIM($A28),1,4,""),TRIM($A28)),母公司报表调整!$J$5:$J$65536)</f>
        <v>0</v>
      </c>
      <c r="H28" s="236">
        <f>SUMIF(母公司报表调整!$H$5:$H$65536,IF(OR(MID(TRIM($A28),2,1)="：",MID(TRIM($A28),2,1)="、"),REPLACEB(TRIM($A28),1,4,""),TRIM($A28)),母公司报表调整!$J$5:$J$65536)</f>
        <v>0</v>
      </c>
      <c r="I28" s="236">
        <f>B28+E28+G28-F28-H28+C28-D28</f>
        <v>0</v>
      </c>
      <c r="J28" s="236"/>
      <c r="K28" s="237">
        <f>SUM(I28:J28)</f>
        <v>0</v>
      </c>
    </row>
    <row r="29" spans="1:11" ht="14.45" customHeight="1">
      <c r="A29" s="1059">
        <f>报表格式!B28</f>
        <v>0</v>
      </c>
      <c r="B29" s="236">
        <f>母公司BS汇总!B29</f>
        <v>0</v>
      </c>
      <c r="C29" s="236">
        <f>SUMIF(母公司汇总抵销!$E$5:$E$65538,IF(OR(MID(TRIM($A29),2,1)="：",MID(TRIM($A29),2,1)="、"),REPLACEB(TRIM($A29),1,4,""),TRIM($A29)),母公司汇总抵销!$J$5:$J$65538)</f>
        <v>0</v>
      </c>
      <c r="D29" s="236">
        <f>SUMIF(母公司汇总抵销!$H$5:$H$65538,IF(OR(MID(TRIM($A29),2,1)="：",MID(TRIM($A29),2,1)="、"),REPLACEB(TRIM($A29),1,4,""),TRIM($A29)),母公司汇总抵销!$J$5:$J$65538)</f>
        <v>0</v>
      </c>
      <c r="E29" s="236">
        <f>SUMIF(母公司账项调整!$E$5:$E$65536,IF(OR(MID(TRIM($A29),2,1)="：",MID(TRIM($A29),2,1)="、"),REPLACEB(TRIM($A29),1,4,""),TRIM($A29)),母公司账项调整!$J$5:$J$65536)</f>
        <v>0</v>
      </c>
      <c r="F29" s="236">
        <f>SUMIF(母公司账项调整!$H$5:$H$65536,IF(OR(MID(TRIM($A29),2,1)="：",MID(TRIM($A29),2,1)="、"),REPLACEB(TRIM($A29),1,4,""),TRIM($A29)),母公司账项调整!$J$5:$J$65536)</f>
        <v>0</v>
      </c>
      <c r="G29" s="236">
        <f>SUMIF(母公司报表调整!$E$5:$E$65536,IF(OR(MID(TRIM($A29),2,1)="：",MID(TRIM($A29),2,1)="、"),REPLACEB(TRIM($A29),1,4,""),TRIM($A29)),母公司报表调整!$J$5:$J$65536)</f>
        <v>0</v>
      </c>
      <c r="H29" s="236">
        <f>SUMIF(母公司报表调整!$H$5:$H$65536,IF(OR(MID(TRIM($A29),2,1)="：",MID(TRIM($A29),2,1)="、"),REPLACEB(TRIM($A29),1,4,""),TRIM($A29)),母公司报表调整!$J$5:$J$65536)</f>
        <v>0</v>
      </c>
      <c r="I29" s="236">
        <f>B29+E29+G29-F29-H29+C29-D29</f>
        <v>0</v>
      </c>
      <c r="J29" s="236"/>
      <c r="K29" s="237">
        <f>SUM(I29:J29)</f>
        <v>0</v>
      </c>
    </row>
    <row r="30" spans="1:11" ht="14.45" customHeight="1">
      <c r="A30" s="1059">
        <f>报表格式!B29</f>
        <v>0</v>
      </c>
      <c r="B30" s="236">
        <f>母公司BS汇总!B30</f>
        <v>0</v>
      </c>
      <c r="C30" s="236">
        <f>SUMIF(母公司汇总抵销!$E$5:$E$65538,IF(OR(MID(TRIM($A30),2,1)="：",MID(TRIM($A30),2,1)="、"),REPLACEB(TRIM($A30),1,4,""),TRIM($A30)),母公司汇总抵销!$J$5:$J$65538)</f>
        <v>0</v>
      </c>
      <c r="D30" s="236">
        <f>SUMIF(母公司汇总抵销!$H$5:$H$65538,IF(OR(MID(TRIM($A30),2,1)="：",MID(TRIM($A30),2,1)="、"),REPLACEB(TRIM($A30),1,4,""),TRIM($A30)),母公司汇总抵销!$J$5:$J$65538)</f>
        <v>0</v>
      </c>
      <c r="E30" s="236">
        <f>SUMIF(母公司账项调整!$E$5:$E$65536,IF(OR(MID(TRIM($A30),2,1)="：",MID(TRIM($A30),2,1)="、"),REPLACEB(TRIM($A30),1,4,""),TRIM($A30)),母公司账项调整!$J$5:$J$65536)</f>
        <v>0</v>
      </c>
      <c r="F30" s="236">
        <f>SUMIF(母公司账项调整!$H$5:$H$65536,IF(OR(MID(TRIM($A30),2,1)="：",MID(TRIM($A30),2,1)="、"),REPLACEB(TRIM($A30),1,4,""),TRIM($A30)),母公司账项调整!$J$5:$J$65536)</f>
        <v>0</v>
      </c>
      <c r="G30" s="236">
        <f>SUMIF(母公司报表调整!$E$5:$E$65536,IF(OR(MID(TRIM($A30),2,1)="：",MID(TRIM($A30),2,1)="、"),REPLACEB(TRIM($A30),1,4,""),TRIM($A30)),母公司报表调整!$J$5:$J$65536)</f>
        <v>0</v>
      </c>
      <c r="H30" s="236">
        <f>SUMIF(母公司报表调整!$H$5:$H$65536,IF(OR(MID(TRIM($A30),2,1)="：",MID(TRIM($A30),2,1)="、"),REPLACEB(TRIM($A30),1,4,""),TRIM($A30)),母公司报表调整!$J$5:$J$65536)</f>
        <v>0</v>
      </c>
      <c r="I30" s="236">
        <f>B30+E30+G30-F30-H30+C30-D30</f>
        <v>0</v>
      </c>
      <c r="J30" s="236"/>
      <c r="K30" s="237">
        <f>SUM(I30:J30)</f>
        <v>0</v>
      </c>
    </row>
    <row r="31" spans="1:11" s="647" customFormat="1" ht="14.45" customHeight="1">
      <c r="A31" s="1060" t="str">
        <f>报表格式!B30</f>
        <v>流动资产合计</v>
      </c>
      <c r="B31" s="242">
        <f t="shared" ref="B31:H31" si="12">SUM(B7:B30)-B21-B22</f>
        <v>0</v>
      </c>
      <c r="C31" s="242">
        <f t="shared" si="12"/>
        <v>0</v>
      </c>
      <c r="D31" s="242">
        <f t="shared" si="12"/>
        <v>0</v>
      </c>
      <c r="E31" s="242">
        <f t="shared" si="12"/>
        <v>0</v>
      </c>
      <c r="F31" s="242">
        <f t="shared" si="12"/>
        <v>0</v>
      </c>
      <c r="G31" s="242">
        <f t="shared" si="12"/>
        <v>0</v>
      </c>
      <c r="H31" s="242">
        <f t="shared" si="12"/>
        <v>0</v>
      </c>
      <c r="I31" s="242">
        <f>B31+E31+G31-F31-H31+C31-D31</f>
        <v>0</v>
      </c>
      <c r="J31" s="242">
        <f>SUM(J7:J30)-J21-J22</f>
        <v>0</v>
      </c>
      <c r="K31" s="243">
        <f>SUM(I31:J31)</f>
        <v>0</v>
      </c>
    </row>
    <row r="32" spans="1:11" ht="14.45" customHeight="1">
      <c r="A32" s="1061" t="str">
        <f>报表格式!B31</f>
        <v>非流动资产:</v>
      </c>
      <c r="B32" s="236"/>
      <c r="C32" s="236"/>
      <c r="D32" s="236"/>
      <c r="E32" s="236"/>
      <c r="F32" s="236"/>
      <c r="G32" s="236"/>
      <c r="H32" s="236"/>
      <c r="I32" s="236"/>
      <c r="J32" s="236"/>
      <c r="K32" s="237"/>
    </row>
    <row r="33" spans="1:11" ht="14.45" customHeight="1">
      <c r="A33" s="1059" t="str">
        <f>报表格式!B32</f>
        <v>发放贷款及垫款</v>
      </c>
      <c r="B33" s="236">
        <f>母公司BS汇总!B33</f>
        <v>0</v>
      </c>
      <c r="C33" s="236">
        <f>SUMIF(母公司汇总抵销!$E$5:$E$65538,IF(OR(MID(TRIM($A33),2,1)="：",MID(TRIM($A33),2,1)="、"),REPLACEB(TRIM($A33),1,4,""),TRIM($A33)),母公司汇总抵销!$J$5:$J$65538)</f>
        <v>0</v>
      </c>
      <c r="D33" s="236">
        <f>SUMIF(母公司汇总抵销!$H$5:$H$65538,IF(OR(MID(TRIM($A33),2,1)="：",MID(TRIM($A33),2,1)="、"),REPLACEB(TRIM($A33),1,4,""),TRIM($A33)),母公司汇总抵销!$J$5:$J$65538)</f>
        <v>0</v>
      </c>
      <c r="E33" s="236">
        <f>SUMIF(母公司账项调整!$E$5:$E$65536,IF(OR(MID(TRIM($A33),2,1)="：",MID(TRIM($A33),2,1)="、"),REPLACEB(TRIM($A33),1,4,""),TRIM($A33)),母公司账项调整!$J$5:$J$65536)</f>
        <v>0</v>
      </c>
      <c r="F33" s="236">
        <f>SUMIF(母公司账项调整!$H$5:$H$65536,IF(OR(MID(TRIM($A33),2,1)="：",MID(TRIM($A33),2,1)="、"),REPLACEB(TRIM($A33),1,4,""),TRIM($A33)),母公司账项调整!$J$5:$J$65536)</f>
        <v>0</v>
      </c>
      <c r="G33" s="236">
        <f>SUMIF(母公司报表调整!$E$5:$E$65536,IF(OR(MID(TRIM($A33),2,1)="：",MID(TRIM($A33),2,1)="、"),REPLACEB(TRIM($A33),1,4,""),TRIM($A33)),母公司报表调整!$J$5:$J$65536)</f>
        <v>0</v>
      </c>
      <c r="H33" s="236">
        <f>SUMIF(母公司报表调整!$H$5:$H$65536,IF(OR(MID(TRIM($A33),2,1)="：",MID(TRIM($A33),2,1)="、"),REPLACEB(TRIM($A33),1,4,""),TRIM($A33)),母公司报表调整!$J$5:$J$65536)</f>
        <v>0</v>
      </c>
      <c r="I33" s="236">
        <f>B33+E33+G33-F33-H33+C33-D33</f>
        <v>0</v>
      </c>
      <c r="J33" s="236"/>
      <c r="K33" s="237">
        <f>SUM(I33:J33)</f>
        <v>0</v>
      </c>
    </row>
    <row r="34" spans="1:11" ht="14.45" customHeight="1">
      <c r="A34" s="1059" t="str">
        <f>报表格式!B33</f>
        <v>债权投资</v>
      </c>
      <c r="B34" s="236">
        <f>母公司BS汇总!B34</f>
        <v>0</v>
      </c>
      <c r="C34" s="236">
        <f>SUMIF(母公司汇总抵销!$E$5:$E$65538,IF(OR(MID(TRIM($A34),2,1)="：",MID(TRIM($A34),2,1)="、"),REPLACEB(TRIM($A34),1,4,""),TRIM($A34)),母公司汇总抵销!$J$5:$J$65538)</f>
        <v>0</v>
      </c>
      <c r="D34" s="236">
        <f>SUMIF(母公司汇总抵销!$H$5:$H$65538,IF(OR(MID(TRIM($A34),2,1)="：",MID(TRIM($A34),2,1)="、"),REPLACEB(TRIM($A34),1,4,""),TRIM($A34)),母公司汇总抵销!$J$5:$J$65538)</f>
        <v>0</v>
      </c>
      <c r="E34" s="236">
        <f>SUMIF(母公司账项调整!$E$5:$E$65536,IF(OR(MID(TRIM($A34),2,1)="：",MID(TRIM($A34),2,1)="、"),REPLACEB(TRIM($A34),1,4,""),TRIM($A34)),母公司账项调整!$J$5:$J$65536)</f>
        <v>0</v>
      </c>
      <c r="F34" s="236">
        <f>SUMIF(母公司账项调整!$H$5:$H$65536,IF(OR(MID(TRIM($A34),2,1)="：",MID(TRIM($A34),2,1)="、"),REPLACEB(TRIM($A34),1,4,""),TRIM($A34)),母公司账项调整!$J$5:$J$65536)</f>
        <v>0</v>
      </c>
      <c r="G34" s="236">
        <f>SUMIF(母公司报表调整!$E$5:$E$65536,IF(OR(MID(TRIM($A34),2,1)="：",MID(TRIM($A34),2,1)="、"),REPLACEB(TRIM($A34),1,4,""),TRIM($A34)),母公司报表调整!$J$5:$J$65536)</f>
        <v>0</v>
      </c>
      <c r="H34" s="236">
        <f>SUMIF(母公司报表调整!$H$5:$H$65536,IF(OR(MID(TRIM($A34),2,1)="：",MID(TRIM($A34),2,1)="、"),REPLACEB(TRIM($A34),1,4,""),TRIM($A34)),母公司报表调整!$J$5:$J$65536)</f>
        <v>0</v>
      </c>
      <c r="I34" s="236">
        <f>B34+E34+G34-F34-H34+C34-D34</f>
        <v>0</v>
      </c>
      <c r="J34" s="236"/>
      <c r="K34" s="237">
        <f>SUM(I34:J34)</f>
        <v>0</v>
      </c>
    </row>
    <row r="35" spans="1:11" ht="14.45" customHeight="1">
      <c r="A35" s="1059" t="str">
        <f>报表格式!B34</f>
        <v>可供出售金融资产</v>
      </c>
      <c r="B35" s="236">
        <f>母公司BS汇总!B35</f>
        <v>0</v>
      </c>
      <c r="C35" s="236">
        <f>SUMIF(母公司汇总抵销!$E$5:$E$65538,IF(OR(MID(TRIM($A35),2,1)="：",MID(TRIM($A35),2,1)="、"),REPLACEB(TRIM($A35),1,4,""),TRIM($A35)),母公司汇总抵销!$J$5:$J$65538)</f>
        <v>0</v>
      </c>
      <c r="D35" s="236">
        <f>SUMIF(母公司汇总抵销!$H$5:$H$65538,IF(OR(MID(TRIM($A35),2,1)="：",MID(TRIM($A35),2,1)="、"),REPLACEB(TRIM($A35),1,4,""),TRIM($A35)),母公司汇总抵销!$J$5:$J$65538)</f>
        <v>0</v>
      </c>
      <c r="E35" s="236">
        <f>SUMIF(母公司账项调整!$E$5:$E$65536,IF(OR(MID(TRIM($A35),2,1)="：",MID(TRIM($A35),2,1)="、"),REPLACEB(TRIM($A35),1,4,""),TRIM($A35)),母公司账项调整!$J$5:$J$65536)</f>
        <v>0</v>
      </c>
      <c r="F35" s="236">
        <f>SUMIF(母公司账项调整!$H$5:$H$65536,IF(OR(MID(TRIM($A35),2,1)="：",MID(TRIM($A35),2,1)="、"),REPLACEB(TRIM($A35),1,4,""),TRIM($A35)),母公司账项调整!$J$5:$J$65536)</f>
        <v>0</v>
      </c>
      <c r="G35" s="236">
        <f>SUMIF(母公司报表调整!$E$5:$E$65536,IF(OR(MID(TRIM($A35),2,1)="：",MID(TRIM($A35),2,1)="、"),REPLACEB(TRIM($A35),1,4,""),TRIM($A35)),母公司报表调整!$J$5:$J$65536)</f>
        <v>0</v>
      </c>
      <c r="H35" s="236">
        <f>SUMIF(母公司报表调整!$H$5:$H$65536,IF(OR(MID(TRIM($A35),2,1)="：",MID(TRIM($A35),2,1)="、"),REPLACEB(TRIM($A35),1,4,""),TRIM($A35)),母公司报表调整!$J$5:$J$65536)</f>
        <v>0</v>
      </c>
      <c r="I35" s="236">
        <f>B35+E35+G35-F35-H35+C35-D35</f>
        <v>0</v>
      </c>
      <c r="J35" s="236"/>
      <c r="K35" s="237"/>
    </row>
    <row r="36" spans="1:11" ht="14.45" customHeight="1">
      <c r="A36" s="1059" t="str">
        <f>报表格式!B35</f>
        <v>其他债权投资</v>
      </c>
      <c r="B36" s="236">
        <f>母公司BS汇总!B36</f>
        <v>0</v>
      </c>
      <c r="C36" s="236">
        <f>SUMIF(母公司汇总抵销!$E$5:$E$65538,IF(OR(MID(TRIM($A36),2,1)="：",MID(TRIM($A36),2,1)="、"),REPLACEB(TRIM($A36),1,4,""),TRIM($A36)),母公司汇总抵销!$J$5:$J$65538)</f>
        <v>0</v>
      </c>
      <c r="D36" s="236">
        <f>SUMIF(母公司汇总抵销!$H$5:$H$65538,IF(OR(MID(TRIM($A36),2,1)="：",MID(TRIM($A36),2,1)="、"),REPLACEB(TRIM($A36),1,4,""),TRIM($A36)),母公司汇总抵销!$J$5:$J$65538)</f>
        <v>0</v>
      </c>
      <c r="E36" s="236">
        <f>SUMIF(母公司账项调整!$E$5:$E$65536,IF(OR(MID(TRIM($A36),2,1)="：",MID(TRIM($A36),2,1)="、"),REPLACEB(TRIM($A36),1,4,""),TRIM($A36)),母公司账项调整!$J$5:$J$65536)</f>
        <v>0</v>
      </c>
      <c r="F36" s="236">
        <f>SUMIF(母公司账项调整!$H$5:$H$65536,IF(OR(MID(TRIM($A36),2,1)="：",MID(TRIM($A36),2,1)="、"),REPLACEB(TRIM($A36),1,4,""),TRIM($A36)),母公司账项调整!$J$5:$J$65536)</f>
        <v>0</v>
      </c>
      <c r="G36" s="236">
        <f>SUMIF(母公司报表调整!$E$5:$E$65536,IF(OR(MID(TRIM($A36),2,1)="：",MID(TRIM($A36),2,1)="、"),REPLACEB(TRIM($A36),1,4,""),TRIM($A36)),母公司报表调整!$J$5:$J$65536)</f>
        <v>0</v>
      </c>
      <c r="H36" s="236">
        <f>SUMIF(母公司报表调整!$H$5:$H$65536,IF(OR(MID(TRIM($A36),2,1)="：",MID(TRIM($A36),2,1)="、"),REPLACEB(TRIM($A36),1,4,""),TRIM($A36)),母公司报表调整!$J$5:$J$65536)</f>
        <v>0</v>
      </c>
      <c r="I36" s="236">
        <f t="shared" ref="I36:I51" si="13">B36+E36+G36-F36-H36+C36-D36</f>
        <v>0</v>
      </c>
      <c r="J36" s="236"/>
      <c r="K36" s="237">
        <f t="shared" ref="K36:K51" si="14">SUM(I36:J36)</f>
        <v>0</v>
      </c>
    </row>
    <row r="37" spans="1:11" ht="14.45" customHeight="1">
      <c r="A37" s="1059" t="str">
        <f>报表格式!B36</f>
        <v>持有至到期投资</v>
      </c>
      <c r="B37" s="236">
        <f>母公司BS汇总!B37</f>
        <v>0</v>
      </c>
      <c r="C37" s="236">
        <f>SUMIF(母公司汇总抵销!$E$5:$E$65538,IF(OR(MID(TRIM($A37),2,1)="：",MID(TRIM($A37),2,1)="、"),REPLACEB(TRIM($A37),1,4,""),TRIM($A37)),母公司汇总抵销!$J$5:$J$65538)</f>
        <v>0</v>
      </c>
      <c r="D37" s="236">
        <f>SUMIF(母公司汇总抵销!$H$5:$H$65538,IF(OR(MID(TRIM($A37),2,1)="：",MID(TRIM($A37),2,1)="、"),REPLACEB(TRIM($A37),1,4,""),TRIM($A37)),母公司汇总抵销!$J$5:$J$65538)</f>
        <v>0</v>
      </c>
      <c r="E37" s="236">
        <f>SUMIF(母公司账项调整!$E$5:$E$65536,IF(OR(MID(TRIM($A37),2,1)="：",MID(TRIM($A37),2,1)="、"),REPLACEB(TRIM($A37),1,4,""),TRIM($A37)),母公司账项调整!$J$5:$J$65536)</f>
        <v>0</v>
      </c>
      <c r="F37" s="236">
        <f>SUMIF(母公司账项调整!$H$5:$H$65536,IF(OR(MID(TRIM($A37),2,1)="：",MID(TRIM($A37),2,1)="、"),REPLACEB(TRIM($A37),1,4,""),TRIM($A37)),母公司账项调整!$J$5:$J$65536)</f>
        <v>0</v>
      </c>
      <c r="G37" s="236">
        <f>SUMIF(母公司报表调整!$E$5:$E$65536,IF(OR(MID(TRIM($A37),2,1)="：",MID(TRIM($A37),2,1)="、"),REPLACEB(TRIM($A37),1,4,""),TRIM($A37)),母公司报表调整!$J$5:$J$65536)</f>
        <v>0</v>
      </c>
      <c r="H37" s="236">
        <f>SUMIF(母公司报表调整!$H$5:$H$65536,IF(OR(MID(TRIM($A37),2,1)="：",MID(TRIM($A37),2,1)="、"),REPLACEB(TRIM($A37),1,4,""),TRIM($A37)),母公司报表调整!$J$5:$J$65536)</f>
        <v>0</v>
      </c>
      <c r="I37" s="236">
        <f t="shared" ref="I37" si="15">B37+E37+G37-F37-H37+C37-D37</f>
        <v>0</v>
      </c>
      <c r="J37" s="236"/>
      <c r="K37" s="237"/>
    </row>
    <row r="38" spans="1:11" ht="14.45" customHeight="1">
      <c r="A38" s="1059" t="str">
        <f>报表格式!B37</f>
        <v>长期应收款</v>
      </c>
      <c r="B38" s="236">
        <f>母公司BS汇总!B38</f>
        <v>0</v>
      </c>
      <c r="C38" s="236">
        <f>SUMIF(母公司汇总抵销!$E$5:$E$65538,IF(OR(MID(TRIM($A38),2,1)="：",MID(TRIM($A38),2,1)="、"),REPLACEB(TRIM($A38),1,4,""),TRIM($A38)),母公司汇总抵销!$J$5:$J$65538)</f>
        <v>0</v>
      </c>
      <c r="D38" s="236">
        <f>SUMIF(母公司汇总抵销!$H$5:$H$65538,IF(OR(MID(TRIM($A38),2,1)="：",MID(TRIM($A38),2,1)="、"),REPLACEB(TRIM($A38),1,4,""),TRIM($A38)),母公司汇总抵销!$J$5:$J$65538)</f>
        <v>0</v>
      </c>
      <c r="E38" s="236">
        <f>SUMIF(母公司账项调整!$E$5:$E$65536,IF(OR(MID(TRIM($A38),2,1)="：",MID(TRIM($A38),2,1)="、"),REPLACEB(TRIM($A38),1,4,""),TRIM($A38)),母公司账项调整!$J$5:$J$65536)</f>
        <v>0</v>
      </c>
      <c r="F38" s="236">
        <f>SUMIF(母公司账项调整!$H$5:$H$65536,IF(OR(MID(TRIM($A38),2,1)="：",MID(TRIM($A38),2,1)="、"),REPLACEB(TRIM($A38),1,4,""),TRIM($A38)),母公司账项调整!$J$5:$J$65536)</f>
        <v>0</v>
      </c>
      <c r="G38" s="236">
        <f>SUMIF(母公司报表调整!$E$5:$E$65536,IF(OR(MID(TRIM($A38),2,1)="：",MID(TRIM($A38),2,1)="、"),REPLACEB(TRIM($A38),1,4,""),TRIM($A38)),母公司报表调整!$J$5:$J$65536)</f>
        <v>0</v>
      </c>
      <c r="H38" s="236">
        <f>SUMIF(母公司报表调整!$H$5:$H$65536,IF(OR(MID(TRIM($A38),2,1)="：",MID(TRIM($A38),2,1)="、"),REPLACEB(TRIM($A38),1,4,""),TRIM($A38)),母公司报表调整!$J$5:$J$65536)</f>
        <v>0</v>
      </c>
      <c r="I38" s="236">
        <f t="shared" si="13"/>
        <v>0</v>
      </c>
      <c r="J38" s="236"/>
      <c r="K38" s="237">
        <f t="shared" si="14"/>
        <v>0</v>
      </c>
    </row>
    <row r="39" spans="1:11" ht="14.45" customHeight="1">
      <c r="A39" s="1059" t="str">
        <f>报表格式!B38</f>
        <v>设定受益计划净资产</v>
      </c>
      <c r="B39" s="236">
        <f>母公司BS汇总!B39</f>
        <v>0</v>
      </c>
      <c r="C39" s="236">
        <f>SUMIF(母公司汇总抵销!$E$5:$E$65538,IF(OR(MID(TRIM($A39),2,1)="：",MID(TRIM($A39),2,1)="、"),REPLACEB(TRIM($A39),1,4,""),TRIM($A39)),母公司汇总抵销!$J$5:$J$65538)</f>
        <v>0</v>
      </c>
      <c r="D39" s="236">
        <f>SUMIF(母公司汇总抵销!$H$5:$H$65538,IF(OR(MID(TRIM($A39),2,1)="：",MID(TRIM($A39),2,1)="、"),REPLACEB(TRIM($A39),1,4,""),TRIM($A39)),母公司汇总抵销!$J$5:$J$65538)</f>
        <v>0</v>
      </c>
      <c r="E39" s="236">
        <f>SUMIF(母公司账项调整!$E$5:$E$65536,IF(OR(MID(TRIM($A39),2,1)="：",MID(TRIM($A39),2,1)="、"),REPLACEB(TRIM($A39),1,4,""),TRIM($A39)),母公司账项调整!$J$5:$J$65536)</f>
        <v>0</v>
      </c>
      <c r="F39" s="236">
        <f>SUMIF(母公司账项调整!$H$5:$H$65536,IF(OR(MID(TRIM($A39),2,1)="：",MID(TRIM($A39),2,1)="、"),REPLACEB(TRIM($A39),1,4,""),TRIM($A39)),母公司账项调整!$J$5:$J$65536)</f>
        <v>0</v>
      </c>
      <c r="G39" s="236">
        <f>SUMIF(母公司报表调整!$E$5:$E$65536,IF(OR(MID(TRIM($A39),2,1)="：",MID(TRIM($A39),2,1)="、"),REPLACEB(TRIM($A39),1,4,""),TRIM($A39)),母公司报表调整!$J$5:$J$65536)</f>
        <v>0</v>
      </c>
      <c r="H39" s="236">
        <f>SUMIF(母公司报表调整!$H$5:$H$65536,IF(OR(MID(TRIM($A39),2,1)="：",MID(TRIM($A39),2,1)="、"),REPLACEB(TRIM($A39),1,4,""),TRIM($A39)),母公司报表调整!$J$5:$J$65536)</f>
        <v>0</v>
      </c>
      <c r="I39" s="236">
        <f>B39+E39+G39-F39-H39+C39-D39</f>
        <v>0</v>
      </c>
      <c r="J39" s="236"/>
      <c r="K39" s="237">
        <f>SUM(I39:J39)</f>
        <v>0</v>
      </c>
    </row>
    <row r="40" spans="1:11" ht="14.45" customHeight="1">
      <c r="A40" s="1059" t="str">
        <f>报表格式!B39</f>
        <v>长期股权投资</v>
      </c>
      <c r="B40" s="236">
        <f>母公司BS汇总!B40</f>
        <v>0</v>
      </c>
      <c r="C40" s="236">
        <f>SUMIF(母公司汇总抵销!$E$5:$E$65538,IF(OR(MID(TRIM($A40),2,1)="：",MID(TRIM($A40),2,1)="、"),REPLACEB(TRIM($A40),1,4,""),TRIM($A40)),母公司汇总抵销!$J$5:$J$65538)</f>
        <v>0</v>
      </c>
      <c r="D40" s="236">
        <f>SUMIF(母公司汇总抵销!$H$5:$H$65538,IF(OR(MID(TRIM($A40),2,1)="：",MID(TRIM($A40),2,1)="、"),REPLACEB(TRIM($A40),1,4,""),TRIM($A40)),母公司汇总抵销!$J$5:$J$65538)</f>
        <v>0</v>
      </c>
      <c r="E40" s="236">
        <f>SUMIF(母公司账项调整!$E$5:$E$65536,IF(OR(MID(TRIM($A40),2,1)="：",MID(TRIM($A40),2,1)="、"),REPLACEB(TRIM($A40),1,4,""),TRIM($A40)),母公司账项调整!$J$5:$J$65536)</f>
        <v>0</v>
      </c>
      <c r="F40" s="236">
        <f>SUMIF(母公司账项调整!$H$5:$H$65536,IF(OR(MID(TRIM($A40),2,1)="：",MID(TRIM($A40),2,1)="、"),REPLACEB(TRIM($A40),1,4,""),TRIM($A40)),母公司账项调整!$J$5:$J$65536)</f>
        <v>0</v>
      </c>
      <c r="G40" s="236">
        <f>SUMIF(母公司报表调整!$E$5:$E$65536,IF(OR(MID(TRIM($A40),2,1)="：",MID(TRIM($A40),2,1)="、"),REPLACEB(TRIM($A40),1,4,""),TRIM($A40)),母公司报表调整!$J$5:$J$65536)</f>
        <v>0</v>
      </c>
      <c r="H40" s="236">
        <f>SUMIF(母公司报表调整!$H$5:$H$65536,IF(OR(MID(TRIM($A40),2,1)="：",MID(TRIM($A40),2,1)="、"),REPLACEB(TRIM($A40),1,4,""),TRIM($A40)),母公司报表调整!$J$5:$J$65536)</f>
        <v>0</v>
      </c>
      <c r="I40" s="236">
        <f t="shared" si="13"/>
        <v>0</v>
      </c>
      <c r="J40" s="236"/>
      <c r="K40" s="237">
        <f t="shared" si="14"/>
        <v>0</v>
      </c>
    </row>
    <row r="41" spans="1:11" ht="14.45" customHeight="1">
      <c r="A41" s="1059" t="str">
        <f>报表格式!B40</f>
        <v>其他权益工具投资</v>
      </c>
      <c r="B41" s="236">
        <f>母公司BS汇总!B41</f>
        <v>0</v>
      </c>
      <c r="C41" s="236">
        <f>SUMIF(母公司汇总抵销!$E$5:$E$65538,IF(OR(MID(TRIM($A41),2,1)="：",MID(TRIM($A41),2,1)="、"),REPLACEB(TRIM($A41),1,4,""),TRIM($A41)),母公司汇总抵销!$J$5:$J$65538)</f>
        <v>0</v>
      </c>
      <c r="D41" s="236">
        <f>SUMIF(母公司汇总抵销!$H$5:$H$65538,IF(OR(MID(TRIM($A41),2,1)="：",MID(TRIM($A41),2,1)="、"),REPLACEB(TRIM($A41),1,4,""),TRIM($A41)),母公司汇总抵销!$J$5:$J$65538)</f>
        <v>0</v>
      </c>
      <c r="E41" s="236">
        <f>SUMIF(母公司账项调整!$E$5:$E$65536,IF(OR(MID(TRIM($A41),2,1)="：",MID(TRIM($A41),2,1)="、"),REPLACEB(TRIM($A41),1,4,""),TRIM($A41)),母公司账项调整!$J$5:$J$65536)</f>
        <v>0</v>
      </c>
      <c r="F41" s="236">
        <f>SUMIF(母公司账项调整!$H$5:$H$65536,IF(OR(MID(TRIM($A41),2,1)="：",MID(TRIM($A41),2,1)="、"),REPLACEB(TRIM($A41),1,4,""),TRIM($A41)),母公司账项调整!$J$5:$J$65536)</f>
        <v>0</v>
      </c>
      <c r="G41" s="236">
        <f>SUMIF(母公司报表调整!$E$5:$E$65536,IF(OR(MID(TRIM($A41),2,1)="：",MID(TRIM($A41),2,1)="、"),REPLACEB(TRIM($A41),1,4,""),TRIM($A41)),母公司报表调整!$J$5:$J$65536)</f>
        <v>0</v>
      </c>
      <c r="H41" s="236">
        <f>SUMIF(母公司报表调整!$H$5:$H$65536,IF(OR(MID(TRIM($A41),2,1)="：",MID(TRIM($A41),2,1)="、"),REPLACEB(TRIM($A41),1,4,""),TRIM($A41)),母公司报表调整!$J$5:$J$65536)</f>
        <v>0</v>
      </c>
      <c r="I41" s="236">
        <f t="shared" si="13"/>
        <v>0</v>
      </c>
      <c r="J41" s="236"/>
      <c r="K41" s="237">
        <f t="shared" si="14"/>
        <v>0</v>
      </c>
    </row>
    <row r="42" spans="1:11" ht="14.45" customHeight="1">
      <c r="A42" s="1059" t="str">
        <f>报表格式!B41</f>
        <v>其他非流动金融资产</v>
      </c>
      <c r="B42" s="236">
        <f>母公司BS汇总!B42</f>
        <v>0</v>
      </c>
      <c r="C42" s="236">
        <f>SUMIF(母公司汇总抵销!$E$5:$E$65538,IF(OR(MID(TRIM($A42),2,1)="：",MID(TRIM($A42),2,1)="、"),REPLACEB(TRIM($A42),1,4,""),TRIM($A42)),母公司汇总抵销!$J$5:$J$65538)</f>
        <v>0</v>
      </c>
      <c r="D42" s="236">
        <f>SUMIF(母公司汇总抵销!$H$5:$H$65538,IF(OR(MID(TRIM($A42),2,1)="：",MID(TRIM($A42),2,1)="、"),REPLACEB(TRIM($A42),1,4,""),TRIM($A42)),母公司汇总抵销!$J$5:$J$65538)</f>
        <v>0</v>
      </c>
      <c r="E42" s="236">
        <f>SUMIF(母公司账项调整!$E$5:$E$65536,IF(OR(MID(TRIM($A42),2,1)="：",MID(TRIM($A42),2,1)="、"),REPLACEB(TRIM($A42),1,4,""),TRIM($A42)),母公司账项调整!$J$5:$J$65536)</f>
        <v>0</v>
      </c>
      <c r="F42" s="236">
        <f>SUMIF(母公司账项调整!$H$5:$H$65536,IF(OR(MID(TRIM($A42),2,1)="：",MID(TRIM($A42),2,1)="、"),REPLACEB(TRIM($A42),1,4,""),TRIM($A42)),母公司账项调整!$J$5:$J$65536)</f>
        <v>0</v>
      </c>
      <c r="G42" s="236">
        <f>SUMIF(母公司报表调整!$E$5:$E$65536,IF(OR(MID(TRIM($A42),2,1)="：",MID(TRIM($A42),2,1)="、"),REPLACEB(TRIM($A42),1,4,""),TRIM($A42)),母公司报表调整!$J$5:$J$65536)</f>
        <v>0</v>
      </c>
      <c r="H42" s="236">
        <f>SUMIF(母公司报表调整!$H$5:$H$65536,IF(OR(MID(TRIM($A42),2,1)="：",MID(TRIM($A42),2,1)="、"),REPLACEB(TRIM($A42),1,4,""),TRIM($A42)),母公司报表调整!$J$5:$J$65536)</f>
        <v>0</v>
      </c>
      <c r="I42" s="236">
        <f t="shared" si="13"/>
        <v>0</v>
      </c>
      <c r="J42" s="236"/>
      <c r="K42" s="237">
        <f t="shared" si="14"/>
        <v>0</v>
      </c>
    </row>
    <row r="43" spans="1:11" ht="14.45" customHeight="1">
      <c r="A43" s="1059" t="str">
        <f>报表格式!B42</f>
        <v>投资性房地产</v>
      </c>
      <c r="B43" s="236">
        <f>母公司BS汇总!B43</f>
        <v>0</v>
      </c>
      <c r="C43" s="236">
        <f>SUMIF(母公司汇总抵销!$E$5:$E$65538,IF(OR(MID(TRIM($A43),2,1)="：",MID(TRIM($A43),2,1)="、"),REPLACEB(TRIM($A43),1,4,""),TRIM($A43)),母公司汇总抵销!$J$5:$J$65538)</f>
        <v>0</v>
      </c>
      <c r="D43" s="236">
        <f>SUMIF(母公司汇总抵销!$H$5:$H$65538,IF(OR(MID(TRIM($A43),2,1)="：",MID(TRIM($A43),2,1)="、"),REPLACEB(TRIM($A43),1,4,""),TRIM($A43)),母公司汇总抵销!$J$5:$J$65538)</f>
        <v>0</v>
      </c>
      <c r="E43" s="236">
        <f>SUMIF(母公司账项调整!$E$5:$E$65536,IF(OR(MID(TRIM($A43),2,1)="：",MID(TRIM($A43),2,1)="、"),REPLACEB(TRIM($A43),1,4,""),TRIM($A43)),母公司账项调整!$J$5:$J$65536)</f>
        <v>0</v>
      </c>
      <c r="F43" s="236">
        <f>SUMIF(母公司账项调整!$H$5:$H$65536,IF(OR(MID(TRIM($A43),2,1)="：",MID(TRIM($A43),2,1)="、"),REPLACEB(TRIM($A43),1,4,""),TRIM($A43)),母公司账项调整!$J$5:$J$65536)</f>
        <v>0</v>
      </c>
      <c r="G43" s="236">
        <f>SUMIF(母公司报表调整!$E$5:$E$65536,IF(OR(MID(TRIM($A43),2,1)="：",MID(TRIM($A43),2,1)="、"),REPLACEB(TRIM($A43),1,4,""),TRIM($A43)),母公司报表调整!$J$5:$J$65536)</f>
        <v>0</v>
      </c>
      <c r="H43" s="236">
        <f>SUMIF(母公司报表调整!$H$5:$H$65536,IF(OR(MID(TRIM($A43),2,1)="：",MID(TRIM($A43),2,1)="、"),REPLACEB(TRIM($A43),1,4,""),TRIM($A43)),母公司报表调整!$J$5:$J$65536)</f>
        <v>0</v>
      </c>
      <c r="I43" s="236">
        <f t="shared" si="13"/>
        <v>0</v>
      </c>
      <c r="J43" s="236"/>
      <c r="K43" s="237">
        <f t="shared" si="14"/>
        <v>0</v>
      </c>
    </row>
    <row r="44" spans="1:11" ht="14.45" customHeight="1">
      <c r="A44" s="1059" t="str">
        <f>报表格式!B43</f>
        <v>固定资产</v>
      </c>
      <c r="B44" s="236">
        <f>母公司BS汇总!B44</f>
        <v>0</v>
      </c>
      <c r="C44" s="236">
        <f>SUMIF(母公司汇总抵销!$E$5:$E$65538,IF(OR(MID(TRIM($A44),2,1)="：",MID(TRIM($A44),2,1)="、"),REPLACEB(TRIM($A44),1,4,""),TRIM($A44)),母公司汇总抵销!$J$5:$J$65538)</f>
        <v>0</v>
      </c>
      <c r="D44" s="236">
        <f>SUMIF(母公司汇总抵销!$H$5:$H$65538,IF(OR(MID(TRIM($A44),2,1)="：",MID(TRIM($A44),2,1)="、"),REPLACEB(TRIM($A44),1,4,""),TRIM($A44)),母公司汇总抵销!$J$5:$J$65538)</f>
        <v>0</v>
      </c>
      <c r="E44" s="236">
        <f>SUMIF(母公司账项调整!$E$5:$E$65536,IF(OR(MID(TRIM($A44),2,1)="：",MID(TRIM($A44),2,1)="、"),REPLACEB(TRIM($A44),1,4,""),TRIM($A44)),母公司账项调整!$J$5:$J$65536)</f>
        <v>0</v>
      </c>
      <c r="F44" s="236">
        <f>SUMIF(母公司账项调整!$H$5:$H$65536,IF(OR(MID(TRIM($A44),2,1)="：",MID(TRIM($A44),2,1)="、"),REPLACEB(TRIM($A44),1,4,""),TRIM($A44)),母公司账项调整!$J$5:$J$65536)</f>
        <v>0</v>
      </c>
      <c r="G44" s="236">
        <f>SUMIF(母公司报表调整!$E$5:$E$65536,IF(OR(MID(TRIM($A44),2,1)="：",MID(TRIM($A44),2,1)="、"),REPLACEB(TRIM($A44),1,4,""),TRIM($A44)),母公司报表调整!$J$5:$J$65536)</f>
        <v>0</v>
      </c>
      <c r="H44" s="236">
        <f>SUMIF(母公司报表调整!$H$5:$H$65536,IF(OR(MID(TRIM($A44),2,1)="：",MID(TRIM($A44),2,1)="、"),REPLACEB(TRIM($A44),1,4,""),TRIM($A44)),母公司报表调整!$J$5:$J$65536)</f>
        <v>0</v>
      </c>
      <c r="I44" s="236">
        <f t="shared" si="13"/>
        <v>0</v>
      </c>
      <c r="J44" s="236"/>
      <c r="K44" s="237">
        <f t="shared" si="14"/>
        <v>0</v>
      </c>
    </row>
    <row r="45" spans="1:11" ht="14.45" customHeight="1">
      <c r="A45" s="1059" t="str">
        <f>报表格式!B44</f>
        <v>在建工程</v>
      </c>
      <c r="B45" s="236">
        <f>母公司BS汇总!B45</f>
        <v>0</v>
      </c>
      <c r="C45" s="236">
        <f>SUMIF(母公司汇总抵销!$E$5:$E$65538,IF(OR(MID(TRIM($A45),2,1)="：",MID(TRIM($A45),2,1)="、"),REPLACEB(TRIM($A45),1,4,""),TRIM($A45)),母公司汇总抵销!$J$5:$J$65538)</f>
        <v>0</v>
      </c>
      <c r="D45" s="236">
        <f>SUMIF(母公司汇总抵销!$H$5:$H$65538,IF(OR(MID(TRIM($A45),2,1)="：",MID(TRIM($A45),2,1)="、"),REPLACEB(TRIM($A45),1,4,""),TRIM($A45)),母公司汇总抵销!$J$5:$J$65538)</f>
        <v>0</v>
      </c>
      <c r="E45" s="236">
        <f>SUMIF(母公司账项调整!$E$5:$E$65536,IF(OR(MID(TRIM($A45),2,1)="：",MID(TRIM($A45),2,1)="、"),REPLACEB(TRIM($A45),1,4,""),TRIM($A45)),母公司账项调整!$J$5:$J$65536)</f>
        <v>0</v>
      </c>
      <c r="F45" s="236">
        <f>SUMIF(母公司账项调整!$H$5:$H$65536,IF(OR(MID(TRIM($A45),2,1)="：",MID(TRIM($A45),2,1)="、"),REPLACEB(TRIM($A45),1,4,""),TRIM($A45)),母公司账项调整!$J$5:$J$65536)</f>
        <v>0</v>
      </c>
      <c r="G45" s="236">
        <f>SUMIF(母公司报表调整!$E$5:$E$65536,IF(OR(MID(TRIM($A45),2,1)="：",MID(TRIM($A45),2,1)="、"),REPLACEB(TRIM($A45),1,4,""),TRIM($A45)),母公司报表调整!$J$5:$J$65536)</f>
        <v>0</v>
      </c>
      <c r="H45" s="236">
        <f>SUMIF(母公司报表调整!$H$5:$H$65536,IF(OR(MID(TRIM($A45),2,1)="：",MID(TRIM($A45),2,1)="、"),REPLACEB(TRIM($A45),1,4,""),TRIM($A45)),母公司报表调整!$J$5:$J$65536)</f>
        <v>0</v>
      </c>
      <c r="I45" s="236">
        <f t="shared" si="13"/>
        <v>0</v>
      </c>
      <c r="J45" s="236"/>
      <c r="K45" s="237">
        <f t="shared" si="14"/>
        <v>0</v>
      </c>
    </row>
    <row r="46" spans="1:11" ht="14.45" customHeight="1">
      <c r="A46" s="1059" t="str">
        <f>报表格式!B45</f>
        <v xml:space="preserve">生产性生物资产 </v>
      </c>
      <c r="B46" s="236">
        <f>母公司BS汇总!B46</f>
        <v>0</v>
      </c>
      <c r="C46" s="236">
        <f>SUMIF(母公司汇总抵销!$E$5:$E$65538,IF(OR(MID(TRIM($A46),2,1)="：",MID(TRIM($A46),2,1)="、"),REPLACEB(TRIM($A46),1,4,""),TRIM($A46)),母公司汇总抵销!$J$5:$J$65538)</f>
        <v>0</v>
      </c>
      <c r="D46" s="236">
        <f>SUMIF(母公司汇总抵销!$H$5:$H$65538,IF(OR(MID(TRIM($A46),2,1)="：",MID(TRIM($A46),2,1)="、"),REPLACEB(TRIM($A46),1,4,""),TRIM($A46)),母公司汇总抵销!$J$5:$J$65538)</f>
        <v>0</v>
      </c>
      <c r="E46" s="236">
        <f>SUMIF(母公司账项调整!$E$5:$E$65536,IF(OR(MID(TRIM($A46),2,1)="：",MID(TRIM($A46),2,1)="、"),REPLACEB(TRIM($A46),1,4,""),TRIM($A46)),母公司账项调整!$J$5:$J$65536)</f>
        <v>0</v>
      </c>
      <c r="F46" s="236">
        <f>SUMIF(母公司账项调整!$H$5:$H$65536,IF(OR(MID(TRIM($A46),2,1)="：",MID(TRIM($A46),2,1)="、"),REPLACEB(TRIM($A46),1,4,""),TRIM($A46)),母公司账项调整!$J$5:$J$65536)</f>
        <v>0</v>
      </c>
      <c r="G46" s="236">
        <f>SUMIF(母公司报表调整!$E$5:$E$65536,IF(OR(MID(TRIM($A46),2,1)="：",MID(TRIM($A46),2,1)="、"),REPLACEB(TRIM($A46),1,4,""),TRIM($A46)),母公司报表调整!$J$5:$J$65536)</f>
        <v>0</v>
      </c>
      <c r="H46" s="236">
        <f>SUMIF(母公司报表调整!$H$5:$H$65536,IF(OR(MID(TRIM($A46),2,1)="：",MID(TRIM($A46),2,1)="、"),REPLACEB(TRIM($A46),1,4,""),TRIM($A46)),母公司报表调整!$J$5:$J$65536)</f>
        <v>0</v>
      </c>
      <c r="I46" s="236">
        <f t="shared" si="13"/>
        <v>0</v>
      </c>
      <c r="J46" s="236"/>
      <c r="K46" s="237">
        <f t="shared" si="14"/>
        <v>0</v>
      </c>
    </row>
    <row r="47" spans="1:11" ht="14.45" customHeight="1">
      <c r="A47" s="1059" t="str">
        <f>报表格式!B46</f>
        <v>油气资产</v>
      </c>
      <c r="B47" s="236">
        <f>母公司BS汇总!B47</f>
        <v>0</v>
      </c>
      <c r="C47" s="236">
        <f>SUMIF(母公司汇总抵销!$E$5:$E$65538,IF(OR(MID(TRIM($A47),2,1)="：",MID(TRIM($A47),2,1)="、"),REPLACEB(TRIM($A47),1,4,""),TRIM($A47)),母公司汇总抵销!$J$5:$J$65538)</f>
        <v>0</v>
      </c>
      <c r="D47" s="236">
        <f>SUMIF(母公司汇总抵销!$H$5:$H$65538,IF(OR(MID(TRIM($A47),2,1)="：",MID(TRIM($A47),2,1)="、"),REPLACEB(TRIM($A47),1,4,""),TRIM($A47)),母公司汇总抵销!$J$5:$J$65538)</f>
        <v>0</v>
      </c>
      <c r="E47" s="236">
        <f>SUMIF(母公司账项调整!$E$5:$E$65536,IF(OR(MID(TRIM($A47),2,1)="：",MID(TRIM($A47),2,1)="、"),REPLACEB(TRIM($A47),1,4,""),TRIM($A47)),母公司账项调整!$J$5:$J$65536)</f>
        <v>0</v>
      </c>
      <c r="F47" s="236">
        <f>SUMIF(母公司账项调整!$H$5:$H$65536,IF(OR(MID(TRIM($A47),2,1)="：",MID(TRIM($A47),2,1)="、"),REPLACEB(TRIM($A47),1,4,""),TRIM($A47)),母公司账项调整!$J$5:$J$65536)</f>
        <v>0</v>
      </c>
      <c r="G47" s="236">
        <f>SUMIF(母公司报表调整!$E$5:$E$65536,IF(OR(MID(TRIM($A47),2,1)="：",MID(TRIM($A47),2,1)="、"),REPLACEB(TRIM($A47),1,4,""),TRIM($A47)),母公司报表调整!$J$5:$J$65536)</f>
        <v>0</v>
      </c>
      <c r="H47" s="236">
        <f>SUMIF(母公司报表调整!$H$5:$H$65536,IF(OR(MID(TRIM($A47),2,1)="：",MID(TRIM($A47),2,1)="、"),REPLACEB(TRIM($A47),1,4,""),TRIM($A47)),母公司报表调整!$J$5:$J$65536)</f>
        <v>0</v>
      </c>
      <c r="I47" s="236">
        <f t="shared" si="13"/>
        <v>0</v>
      </c>
      <c r="J47" s="236"/>
      <c r="K47" s="237">
        <f t="shared" si="14"/>
        <v>0</v>
      </c>
    </row>
    <row r="48" spans="1:11" ht="14.45" customHeight="1">
      <c r="A48" s="1059" t="str">
        <f>报表格式!B47</f>
        <v>使用权资产</v>
      </c>
      <c r="B48" s="236">
        <f>母公司BS汇总!B48</f>
        <v>0</v>
      </c>
      <c r="C48" s="236">
        <f>SUMIF(母公司汇总抵销!$E$5:$E$65538,IF(OR(MID(TRIM($A48),2,1)="：",MID(TRIM($A48),2,1)="、"),REPLACEB(TRIM($A48),1,4,""),TRIM($A48)),母公司汇总抵销!$J$5:$J$65538)</f>
        <v>0</v>
      </c>
      <c r="D48" s="236">
        <f>SUMIF(母公司汇总抵销!$H$5:$H$65538,IF(OR(MID(TRIM($A48),2,1)="：",MID(TRIM($A48),2,1)="、"),REPLACEB(TRIM($A48),1,4,""),TRIM($A48)),母公司汇总抵销!$J$5:$J$65538)</f>
        <v>0</v>
      </c>
      <c r="E48" s="236">
        <f>SUMIF(母公司账项调整!$E$5:$E$65536,IF(OR(MID(TRIM($A48),2,1)="：",MID(TRIM($A48),2,1)="、"),REPLACEB(TRIM($A48),1,4,""),TRIM($A48)),母公司账项调整!$J$5:$J$65536)</f>
        <v>0</v>
      </c>
      <c r="F48" s="236">
        <f>SUMIF(母公司账项调整!$H$5:$H$65536,IF(OR(MID(TRIM($A48),2,1)="：",MID(TRIM($A48),2,1)="、"),REPLACEB(TRIM($A48),1,4,""),TRIM($A48)),母公司账项调整!$J$5:$J$65536)</f>
        <v>0</v>
      </c>
      <c r="G48" s="236">
        <f>SUMIF(母公司报表调整!$E$5:$E$65536,IF(OR(MID(TRIM($A48),2,1)="：",MID(TRIM($A48),2,1)="、"),REPLACEB(TRIM($A48),1,4,""),TRIM($A48)),母公司报表调整!$J$5:$J$65536)</f>
        <v>0</v>
      </c>
      <c r="H48" s="236">
        <f>SUMIF(母公司报表调整!$H$5:$H$65536,IF(OR(MID(TRIM($A48),2,1)="：",MID(TRIM($A48),2,1)="、"),REPLACEB(TRIM($A48),1,4,""),TRIM($A48)),母公司报表调整!$J$5:$J$65536)</f>
        <v>0</v>
      </c>
      <c r="I48" s="236">
        <f t="shared" si="13"/>
        <v>0</v>
      </c>
      <c r="J48" s="236"/>
      <c r="K48" s="237">
        <f t="shared" si="14"/>
        <v>0</v>
      </c>
    </row>
    <row r="49" spans="1:11" ht="14.45" customHeight="1">
      <c r="A49" s="1059" t="str">
        <f>报表格式!B48</f>
        <v>无形资产</v>
      </c>
      <c r="B49" s="236">
        <f>母公司BS汇总!B49</f>
        <v>0</v>
      </c>
      <c r="C49" s="236">
        <f>SUMIF(母公司汇总抵销!$E$5:$E$65538,IF(OR(MID(TRIM($A49),2,1)="：",MID(TRIM($A49),2,1)="、"),REPLACEB(TRIM($A49),1,4,""),TRIM($A49)),母公司汇总抵销!$J$5:$J$65538)</f>
        <v>0</v>
      </c>
      <c r="D49" s="236">
        <f>SUMIF(母公司汇总抵销!$H$5:$H$65538,IF(OR(MID(TRIM($A49),2,1)="：",MID(TRIM($A49),2,1)="、"),REPLACEB(TRIM($A49),1,4,""),TRIM($A49)),母公司汇总抵销!$J$5:$J$65538)</f>
        <v>0</v>
      </c>
      <c r="E49" s="236">
        <f>SUMIF(母公司账项调整!$E$5:$E$65536,IF(OR(MID(TRIM($A49),2,1)="：",MID(TRIM($A49),2,1)="、"),REPLACEB(TRIM($A49),1,4,""),TRIM($A49)),母公司账项调整!$J$5:$J$65536)</f>
        <v>0</v>
      </c>
      <c r="F49" s="236">
        <f>SUMIF(母公司账项调整!$H$5:$H$65536,IF(OR(MID(TRIM($A49),2,1)="：",MID(TRIM($A49),2,1)="、"),REPLACEB(TRIM($A49),1,4,""),TRIM($A49)),母公司账项调整!$J$5:$J$65536)</f>
        <v>0</v>
      </c>
      <c r="G49" s="236">
        <f>SUMIF(母公司报表调整!$E$5:$E$65536,IF(OR(MID(TRIM($A49),2,1)="：",MID(TRIM($A49),2,1)="、"),REPLACEB(TRIM($A49),1,4,""),TRIM($A49)),母公司报表调整!$J$5:$J$65536)</f>
        <v>0</v>
      </c>
      <c r="H49" s="236">
        <f>SUMIF(母公司报表调整!$H$5:$H$65536,IF(OR(MID(TRIM($A49),2,1)="：",MID(TRIM($A49),2,1)="、"),REPLACEB(TRIM($A49),1,4,""),TRIM($A49)),母公司报表调整!$J$5:$J$65536)</f>
        <v>0</v>
      </c>
      <c r="I49" s="236">
        <f t="shared" si="13"/>
        <v>0</v>
      </c>
      <c r="J49" s="236"/>
      <c r="K49" s="237">
        <f t="shared" si="14"/>
        <v>0</v>
      </c>
    </row>
    <row r="50" spans="1:11" ht="14.45" customHeight="1">
      <c r="A50" s="1059" t="str">
        <f>报表格式!B49</f>
        <v>开发支出</v>
      </c>
      <c r="B50" s="236">
        <f>母公司BS汇总!B50</f>
        <v>0</v>
      </c>
      <c r="C50" s="236">
        <f>SUMIF(母公司汇总抵销!$E$5:$E$65538,IF(OR(MID(TRIM($A50),2,1)="：",MID(TRIM($A50),2,1)="、"),REPLACEB(TRIM($A50),1,4,""),TRIM($A50)),母公司汇总抵销!$J$5:$J$65538)</f>
        <v>0</v>
      </c>
      <c r="D50" s="236">
        <f>SUMIF(母公司汇总抵销!$H$5:$H$65538,IF(OR(MID(TRIM($A50),2,1)="：",MID(TRIM($A50),2,1)="、"),REPLACEB(TRIM($A50),1,4,""),TRIM($A50)),母公司汇总抵销!$J$5:$J$65538)</f>
        <v>0</v>
      </c>
      <c r="E50" s="236">
        <f>SUMIF(母公司账项调整!$E$5:$E$65536,IF(OR(MID(TRIM($A50),2,1)="：",MID(TRIM($A50),2,1)="、"),REPLACEB(TRIM($A50),1,4,""),TRIM($A50)),母公司账项调整!$J$5:$J$65536)</f>
        <v>0</v>
      </c>
      <c r="F50" s="236">
        <f>SUMIF(母公司账项调整!$H$5:$H$65536,IF(OR(MID(TRIM($A50),2,1)="：",MID(TRIM($A50),2,1)="、"),REPLACEB(TRIM($A50),1,4,""),TRIM($A50)),母公司账项调整!$J$5:$J$65536)</f>
        <v>0</v>
      </c>
      <c r="G50" s="236">
        <f>SUMIF(母公司报表调整!$E$5:$E$65536,IF(OR(MID(TRIM($A50),2,1)="：",MID(TRIM($A50),2,1)="、"),REPLACEB(TRIM($A50),1,4,""),TRIM($A50)),母公司报表调整!$J$5:$J$65536)</f>
        <v>0</v>
      </c>
      <c r="H50" s="236">
        <f>SUMIF(母公司报表调整!$H$5:$H$65536,IF(OR(MID(TRIM($A50),2,1)="：",MID(TRIM($A50),2,1)="、"),REPLACEB(TRIM($A50),1,4,""),TRIM($A50)),母公司报表调整!$J$5:$J$65536)</f>
        <v>0</v>
      </c>
      <c r="I50" s="236">
        <f t="shared" si="13"/>
        <v>0</v>
      </c>
      <c r="J50" s="236"/>
      <c r="K50" s="237">
        <f t="shared" si="14"/>
        <v>0</v>
      </c>
    </row>
    <row r="51" spans="1:11" ht="14.45" customHeight="1">
      <c r="A51" s="1059" t="str">
        <f>报表格式!B50</f>
        <v>商誉</v>
      </c>
      <c r="B51" s="236">
        <f>母公司BS汇总!B51</f>
        <v>0</v>
      </c>
      <c r="C51" s="236">
        <f>SUMIF(母公司汇总抵销!$E$5:$E$65538,IF(OR(MID(TRIM($A51),2,1)="：",MID(TRIM($A51),2,1)="、"),REPLACEB(TRIM($A51),1,4,""),TRIM($A51)),母公司汇总抵销!$J$5:$J$65538)</f>
        <v>0</v>
      </c>
      <c r="D51" s="236">
        <f>SUMIF(母公司汇总抵销!$H$5:$H$65538,IF(OR(MID(TRIM($A51),2,1)="：",MID(TRIM($A51),2,1)="、"),REPLACEB(TRIM($A51),1,4,""),TRIM($A51)),母公司汇总抵销!$J$5:$J$65538)</f>
        <v>0</v>
      </c>
      <c r="E51" s="236">
        <f>SUMIF(母公司账项调整!$E$5:$E$65536,IF(OR(MID(TRIM($A51),2,1)="：",MID(TRIM($A51),2,1)="、"),REPLACEB(TRIM($A51),1,4,""),TRIM($A51)),母公司账项调整!$J$5:$J$65536)</f>
        <v>0</v>
      </c>
      <c r="F51" s="236">
        <f>SUMIF(母公司账项调整!$H$5:$H$65536,IF(OR(MID(TRIM($A51),2,1)="：",MID(TRIM($A51),2,1)="、"),REPLACEB(TRIM($A51),1,4,""),TRIM($A51)),母公司账项调整!$J$5:$J$65536)</f>
        <v>0</v>
      </c>
      <c r="G51" s="236">
        <f>SUMIF(母公司报表调整!$E$5:$E$65536,IF(OR(MID(TRIM($A51),2,1)="：",MID(TRIM($A51),2,1)="、"),REPLACEB(TRIM($A51),1,4,""),TRIM($A51)),母公司报表调整!$J$5:$J$65536)</f>
        <v>0</v>
      </c>
      <c r="H51" s="236">
        <f>SUMIF(母公司报表调整!$H$5:$H$65536,IF(OR(MID(TRIM($A51),2,1)="：",MID(TRIM($A51),2,1)="、"),REPLACEB(TRIM($A51),1,4,""),TRIM($A51)),母公司报表调整!$J$5:$J$65536)</f>
        <v>0</v>
      </c>
      <c r="I51" s="236">
        <f t="shared" si="13"/>
        <v>0</v>
      </c>
      <c r="J51" s="236"/>
      <c r="K51" s="237">
        <f t="shared" si="14"/>
        <v>0</v>
      </c>
    </row>
    <row r="52" spans="1:11" ht="14.45" customHeight="1">
      <c r="A52" s="1059" t="str">
        <f>报表格式!B51</f>
        <v>长期待摊费用</v>
      </c>
      <c r="B52" s="236">
        <f>母公司BS汇总!B52</f>
        <v>0</v>
      </c>
      <c r="C52" s="236">
        <f>SUMIF(母公司汇总抵销!$E$5:$E$65538,IF(OR(MID(TRIM($A52),2,1)="：",MID(TRIM($A52),2,1)="、"),REPLACEB(TRIM($A52),1,4,""),TRIM($A52)),母公司汇总抵销!$J$5:$J$65538)</f>
        <v>0</v>
      </c>
      <c r="D52" s="236">
        <f>SUMIF(母公司汇总抵销!$H$5:$H$65538,IF(OR(MID(TRIM($A52),2,1)="：",MID(TRIM($A52),2,1)="、"),REPLACEB(TRIM($A52),1,4,""),TRIM($A52)),母公司汇总抵销!$J$5:$J$65538)</f>
        <v>0</v>
      </c>
      <c r="E52" s="236">
        <f>SUMIF(母公司账项调整!$E$5:$E$65536,IF(OR(MID(TRIM($A52),2,1)="：",MID(TRIM($A52),2,1)="、"),REPLACEB(TRIM($A52),1,4,""),TRIM($A52)),母公司账项调整!$J$5:$J$65536)</f>
        <v>0</v>
      </c>
      <c r="F52" s="236">
        <f>SUMIF(母公司账项调整!$H$5:$H$65536,IF(OR(MID(TRIM($A52),2,1)="：",MID(TRIM($A52),2,1)="、"),REPLACEB(TRIM($A52),1,4,""),TRIM($A52)),母公司账项调整!$J$5:$J$65536)</f>
        <v>0</v>
      </c>
      <c r="G52" s="236">
        <f>SUMIF(母公司报表调整!$E$5:$E$65536,IF(OR(MID(TRIM($A52),2,1)="：",MID(TRIM($A52),2,1)="、"),REPLACEB(TRIM($A52),1,4,""),TRIM($A52)),母公司报表调整!$J$5:$J$65536)</f>
        <v>0</v>
      </c>
      <c r="H52" s="236">
        <f>SUMIF(母公司报表调整!$H$5:$H$65536,IF(OR(MID(TRIM($A52),2,1)="：",MID(TRIM($A52),2,1)="、"),REPLACEB(TRIM($A52),1,4,""),TRIM($A52)),母公司报表调整!$J$5:$J$65536)</f>
        <v>0</v>
      </c>
      <c r="I52" s="236">
        <f t="shared" ref="I52:I57" si="16">B52+E52+G52-F52-H52+C52-D52</f>
        <v>0</v>
      </c>
      <c r="J52" s="236"/>
      <c r="K52" s="237">
        <f t="shared" ref="K52:K59" si="17">SUM(I52:J52)</f>
        <v>0</v>
      </c>
    </row>
    <row r="53" spans="1:11" ht="14.45" customHeight="1">
      <c r="A53" s="1059" t="str">
        <f>报表格式!B52</f>
        <v>递延所得税资产</v>
      </c>
      <c r="B53" s="236">
        <f>母公司BS汇总!B53</f>
        <v>0</v>
      </c>
      <c r="C53" s="236">
        <f>SUMIF(母公司汇总抵销!$E$5:$E$65538,IF(OR(MID(TRIM($A53),2,1)="：",MID(TRIM($A53),2,1)="、"),REPLACEB(TRIM($A53),1,4,""),TRIM($A53)),母公司汇总抵销!$J$5:$J$65538)</f>
        <v>0</v>
      </c>
      <c r="D53" s="236">
        <f>SUMIF(母公司汇总抵销!$H$5:$H$65538,IF(OR(MID(TRIM($A53),2,1)="：",MID(TRIM($A53),2,1)="、"),REPLACEB(TRIM($A53),1,4,""),TRIM($A53)),母公司汇总抵销!$J$5:$J$65538)</f>
        <v>0</v>
      </c>
      <c r="E53" s="236">
        <f>SUMIF(母公司账项调整!$E$5:$E$65536,IF(OR(MID(TRIM($A53),2,1)="：",MID(TRIM($A53),2,1)="、"),REPLACEB(TRIM($A53),1,4,""),TRIM($A53)),母公司账项调整!$J$5:$J$65536)</f>
        <v>0</v>
      </c>
      <c r="F53" s="236">
        <f>SUMIF(母公司账项调整!$H$5:$H$65536,IF(OR(MID(TRIM($A53),2,1)="：",MID(TRIM($A53),2,1)="、"),REPLACEB(TRIM($A53),1,4,""),TRIM($A53)),母公司账项调整!$J$5:$J$65536)</f>
        <v>0</v>
      </c>
      <c r="G53" s="236">
        <f>SUMIF(母公司报表调整!$E$5:$E$65536,IF(OR(MID(TRIM($A53),2,1)="：",MID(TRIM($A53),2,1)="、"),REPLACEB(TRIM($A53),1,4,""),TRIM($A53)),母公司报表调整!$J$5:$J$65536)</f>
        <v>0</v>
      </c>
      <c r="H53" s="236">
        <f>SUMIF(母公司报表调整!$H$5:$H$65536,IF(OR(MID(TRIM($A53),2,1)="：",MID(TRIM($A53),2,1)="、"),REPLACEB(TRIM($A53),1,4,""),TRIM($A53)),母公司报表调整!$J$5:$J$65536)</f>
        <v>0</v>
      </c>
      <c r="I53" s="236">
        <f t="shared" si="16"/>
        <v>0</v>
      </c>
      <c r="J53" s="236"/>
      <c r="K53" s="237">
        <f t="shared" si="17"/>
        <v>0</v>
      </c>
    </row>
    <row r="54" spans="1:11" ht="14.45" customHeight="1">
      <c r="A54" s="1059" t="str">
        <f>报表格式!B53</f>
        <v>其他非流动资产</v>
      </c>
      <c r="B54" s="236">
        <f>母公司BS汇总!B54</f>
        <v>0</v>
      </c>
      <c r="C54" s="236">
        <f>SUMIF(母公司汇总抵销!$E$5:$E$65538,IF(OR(MID(TRIM($A54),2,1)="：",MID(TRIM($A54),2,1)="、"),REPLACEB(TRIM($A54),1,4,""),TRIM($A54)),母公司汇总抵销!$J$5:$J$65538)</f>
        <v>0</v>
      </c>
      <c r="D54" s="236">
        <f>SUMIF(母公司汇总抵销!$H$5:$H$65538,IF(OR(MID(TRIM($A54),2,1)="：",MID(TRIM($A54),2,1)="、"),REPLACEB(TRIM($A54),1,4,""),TRIM($A54)),母公司汇总抵销!$J$5:$J$65538)</f>
        <v>0</v>
      </c>
      <c r="E54" s="236">
        <f>SUMIF(母公司账项调整!$E$5:$E$65536,IF(OR(MID(TRIM($A54),2,1)="：",MID(TRIM($A54),2,1)="、"),REPLACEB(TRIM($A54),1,4,""),TRIM($A54)),母公司账项调整!$J$5:$J$65536)</f>
        <v>0</v>
      </c>
      <c r="F54" s="236">
        <f>SUMIF(母公司账项调整!$H$5:$H$65536,IF(OR(MID(TRIM($A54),2,1)="：",MID(TRIM($A54),2,1)="、"),REPLACEB(TRIM($A54),1,4,""),TRIM($A54)),母公司账项调整!$J$5:$J$65536)</f>
        <v>0</v>
      </c>
      <c r="G54" s="236">
        <f>SUMIF(母公司报表调整!$E$5:$E$65536,IF(OR(MID(TRIM($A54),2,1)="：",MID(TRIM($A54),2,1)="、"),REPLACEB(TRIM($A54),1,4,""),TRIM($A54)),母公司报表调整!$J$5:$J$65536)</f>
        <v>0</v>
      </c>
      <c r="H54" s="236">
        <f>SUMIF(母公司报表调整!$H$5:$H$65536,IF(OR(MID(TRIM($A54),2,1)="：",MID(TRIM($A54),2,1)="、"),REPLACEB(TRIM($A54),1,4,""),TRIM($A54)),母公司报表调整!$J$5:$J$65536)</f>
        <v>0</v>
      </c>
      <c r="I54" s="236">
        <f t="shared" si="16"/>
        <v>0</v>
      </c>
      <c r="J54" s="236"/>
      <c r="K54" s="237">
        <f>SUM(I54:J54)</f>
        <v>0</v>
      </c>
    </row>
    <row r="55" spans="1:11" ht="14.45" customHeight="1">
      <c r="A55" s="1059">
        <f>报表格式!B54</f>
        <v>0</v>
      </c>
      <c r="B55" s="236">
        <f>母公司BS汇总!B55</f>
        <v>0</v>
      </c>
      <c r="C55" s="236">
        <f>SUMIF(母公司汇总抵销!$E$5:$E$65538,IF(OR(MID(TRIM($A55),2,1)="：",MID(TRIM($A55),2,1)="、"),REPLACEB(TRIM($A55),1,4,""),TRIM($A55)),母公司汇总抵销!$J$5:$J$65538)</f>
        <v>0</v>
      </c>
      <c r="D55" s="236">
        <f>SUMIF(母公司汇总抵销!$H$5:$H$65538,IF(OR(MID(TRIM($A55),2,1)="：",MID(TRIM($A55),2,1)="、"),REPLACEB(TRIM($A55),1,4,""),TRIM($A55)),母公司汇总抵销!$J$5:$J$65538)</f>
        <v>0</v>
      </c>
      <c r="E55" s="236">
        <f>SUMIF(母公司账项调整!$E$5:$E$65536,IF(OR(MID(TRIM($A55),2,1)="：",MID(TRIM($A55),2,1)="、"),REPLACEB(TRIM($A55),1,4,""),TRIM($A55)),母公司账项调整!$J$5:$J$65536)</f>
        <v>0</v>
      </c>
      <c r="F55" s="236">
        <f>SUMIF(母公司账项调整!$H$5:$H$65536,IF(OR(MID(TRIM($A55),2,1)="：",MID(TRIM($A55),2,1)="、"),REPLACEB(TRIM($A55),1,4,""),TRIM($A55)),母公司账项调整!$J$5:$J$65536)</f>
        <v>0</v>
      </c>
      <c r="G55" s="236">
        <f>SUMIF(母公司报表调整!$E$5:$E$65536,IF(OR(MID(TRIM($A55),2,1)="：",MID(TRIM($A55),2,1)="、"),REPLACEB(TRIM($A55),1,4,""),TRIM($A55)),母公司报表调整!$J$5:$J$65536)</f>
        <v>0</v>
      </c>
      <c r="H55" s="236">
        <f>SUMIF(母公司报表调整!$H$5:$H$65536,IF(OR(MID(TRIM($A55),2,1)="：",MID(TRIM($A55),2,1)="、"),REPLACEB(TRIM($A55),1,4,""),TRIM($A55)),母公司报表调整!$J$5:$J$65536)</f>
        <v>0</v>
      </c>
      <c r="I55" s="236">
        <f t="shared" si="16"/>
        <v>0</v>
      </c>
      <c r="J55" s="236"/>
      <c r="K55" s="237">
        <f>SUM(I55:J55)</f>
        <v>0</v>
      </c>
    </row>
    <row r="56" spans="1:11" ht="14.45" customHeight="1">
      <c r="A56" s="1059">
        <f>报表格式!B55</f>
        <v>0</v>
      </c>
      <c r="B56" s="236">
        <f>母公司BS汇总!B56</f>
        <v>0</v>
      </c>
      <c r="C56" s="236">
        <f>SUMIF(母公司汇总抵销!$E$5:$E$65538,IF(OR(MID(TRIM($A56),2,1)="：",MID(TRIM($A56),2,1)="、"),REPLACEB(TRIM($A56),1,4,""),TRIM($A56)),母公司汇总抵销!$J$5:$J$65538)</f>
        <v>0</v>
      </c>
      <c r="D56" s="236">
        <f>SUMIF(母公司汇总抵销!$H$5:$H$65538,IF(OR(MID(TRIM($A56),2,1)="：",MID(TRIM($A56),2,1)="、"),REPLACEB(TRIM($A56),1,4,""),TRIM($A56)),母公司汇总抵销!$J$5:$J$65538)</f>
        <v>0</v>
      </c>
      <c r="E56" s="236">
        <f>SUMIF(母公司账项调整!$E$5:$E$65536,IF(OR(MID(TRIM($A56),2,1)="：",MID(TRIM($A56),2,1)="、"),REPLACEB(TRIM($A56),1,4,""),TRIM($A56)),母公司账项调整!$J$5:$J$65536)</f>
        <v>0</v>
      </c>
      <c r="F56" s="236">
        <f>SUMIF(母公司账项调整!$H$5:$H$65536,IF(OR(MID(TRIM($A56),2,1)="：",MID(TRIM($A56),2,1)="、"),REPLACEB(TRIM($A56),1,4,""),TRIM($A56)),母公司账项调整!$J$5:$J$65536)</f>
        <v>0</v>
      </c>
      <c r="G56" s="236">
        <f>SUMIF(母公司报表调整!$E$5:$E$65536,IF(OR(MID(TRIM($A56),2,1)="：",MID(TRIM($A56),2,1)="、"),REPLACEB(TRIM($A56),1,4,""),TRIM($A56)),母公司报表调整!$J$5:$J$65536)</f>
        <v>0</v>
      </c>
      <c r="H56" s="236">
        <f>SUMIF(母公司报表调整!$H$5:$H$65536,IF(OR(MID(TRIM($A56),2,1)="：",MID(TRIM($A56),2,1)="、"),REPLACEB(TRIM($A56),1,4,""),TRIM($A56)),母公司报表调整!$J$5:$J$65536)</f>
        <v>0</v>
      </c>
      <c r="I56" s="236">
        <f t="shared" si="16"/>
        <v>0</v>
      </c>
      <c r="J56" s="236"/>
      <c r="K56" s="237">
        <f t="shared" si="17"/>
        <v>0</v>
      </c>
    </row>
    <row r="57" spans="1:11" ht="14.45" customHeight="1">
      <c r="A57" s="1059">
        <f>报表格式!B56</f>
        <v>0</v>
      </c>
      <c r="B57" s="236">
        <f>母公司BS汇总!B57</f>
        <v>0</v>
      </c>
      <c r="C57" s="236">
        <f>SUMIF(母公司汇总抵销!$E$5:$E$65538,IF(OR(MID(TRIM($A57),2,1)="：",MID(TRIM($A57),2,1)="、"),REPLACEB(TRIM($A57),1,4,""),TRIM($A57)),母公司汇总抵销!$J$5:$J$65538)</f>
        <v>0</v>
      </c>
      <c r="D57" s="236">
        <f>SUMIF(母公司汇总抵销!$H$5:$H$65538,IF(OR(MID(TRIM($A57),2,1)="：",MID(TRIM($A57),2,1)="、"),REPLACEB(TRIM($A57),1,4,""),TRIM($A57)),母公司汇总抵销!$J$5:$J$65538)</f>
        <v>0</v>
      </c>
      <c r="E57" s="236">
        <f>SUMIF(母公司账项调整!$E$5:$E$65536,IF(OR(MID(TRIM($A57),2,1)="：",MID(TRIM($A57),2,1)="、"),REPLACEB(TRIM($A57),1,4,""),TRIM($A57)),母公司账项调整!$J$5:$J$65536)</f>
        <v>0</v>
      </c>
      <c r="F57" s="236">
        <f>SUMIF(母公司账项调整!$H$5:$H$65536,IF(OR(MID(TRIM($A57),2,1)="：",MID(TRIM($A57),2,1)="、"),REPLACEB(TRIM($A57),1,4,""),TRIM($A57)),母公司账项调整!$J$5:$J$65536)</f>
        <v>0</v>
      </c>
      <c r="G57" s="236">
        <f>SUMIF(母公司报表调整!$E$5:$E$65536,IF(OR(MID(TRIM($A57),2,1)="：",MID(TRIM($A57),2,1)="、"),REPLACEB(TRIM($A57),1,4,""),TRIM($A57)),母公司报表调整!$J$5:$J$65536)</f>
        <v>0</v>
      </c>
      <c r="H57" s="236">
        <f>SUMIF(母公司报表调整!$H$5:$H$65536,IF(OR(MID(TRIM($A57),2,1)="：",MID(TRIM($A57),2,1)="、"),REPLACEB(TRIM($A57),1,4,""),TRIM($A57)),母公司报表调整!$J$5:$J$65536)</f>
        <v>0</v>
      </c>
      <c r="I57" s="236">
        <f t="shared" si="16"/>
        <v>0</v>
      </c>
      <c r="J57" s="236"/>
      <c r="K57" s="237">
        <f t="shared" si="17"/>
        <v>0</v>
      </c>
    </row>
    <row r="58" spans="1:11" s="647" customFormat="1" ht="14.45" customHeight="1">
      <c r="A58" s="1062" t="str">
        <f>报表格式!B57</f>
        <v>非流动资产合计</v>
      </c>
      <c r="B58" s="238">
        <f>SUM(B33:B57)</f>
        <v>0</v>
      </c>
      <c r="C58" s="238">
        <f t="shared" ref="C58:J58" si="18">SUM(C33:C57)</f>
        <v>0</v>
      </c>
      <c r="D58" s="238">
        <f t="shared" si="18"/>
        <v>0</v>
      </c>
      <c r="E58" s="238">
        <f t="shared" si="18"/>
        <v>0</v>
      </c>
      <c r="F58" s="238">
        <f t="shared" si="18"/>
        <v>0</v>
      </c>
      <c r="G58" s="238">
        <f t="shared" si="18"/>
        <v>0</v>
      </c>
      <c r="H58" s="238">
        <f t="shared" si="18"/>
        <v>0</v>
      </c>
      <c r="I58" s="242">
        <f>B58+E58+G58-F58-H58+C58-D58</f>
        <v>0</v>
      </c>
      <c r="J58" s="238">
        <f t="shared" si="18"/>
        <v>0</v>
      </c>
      <c r="K58" s="239">
        <f t="shared" si="17"/>
        <v>0</v>
      </c>
    </row>
    <row r="59" spans="1:11" ht="14.45" customHeight="1">
      <c r="A59" s="1063" t="str">
        <f>报表格式!B58</f>
        <v>资 产 总 计</v>
      </c>
      <c r="B59" s="240">
        <f t="shared" ref="B59:J59" si="19">SUM(B31,B58)</f>
        <v>0</v>
      </c>
      <c r="C59" s="240">
        <f t="shared" si="19"/>
        <v>0</v>
      </c>
      <c r="D59" s="240">
        <f t="shared" si="19"/>
        <v>0</v>
      </c>
      <c r="E59" s="240">
        <f t="shared" si="19"/>
        <v>0</v>
      </c>
      <c r="F59" s="240">
        <f t="shared" si="19"/>
        <v>0</v>
      </c>
      <c r="G59" s="240">
        <f t="shared" si="19"/>
        <v>0</v>
      </c>
      <c r="H59" s="240">
        <f t="shared" si="19"/>
        <v>0</v>
      </c>
      <c r="I59" s="240">
        <f t="shared" si="19"/>
        <v>0</v>
      </c>
      <c r="J59" s="240">
        <f t="shared" si="19"/>
        <v>0</v>
      </c>
      <c r="K59" s="241">
        <f t="shared" si="17"/>
        <v>0</v>
      </c>
    </row>
    <row r="60" spans="1:11" s="847" customFormat="1">
      <c r="A60" s="1064"/>
      <c r="B60" s="863">
        <f>B59-母公司TB负债!B62</f>
        <v>0</v>
      </c>
      <c r="C60" s="848">
        <f>SUM(C7:C30,C34:C57)-C25-C26</f>
        <v>0</v>
      </c>
      <c r="D60" s="848">
        <f>SUM(D7:D30,D34:D57)-D21-D22</f>
        <v>0</v>
      </c>
      <c r="E60" s="848">
        <f>SUM(E7:E30,E34:E57)-E21-E22</f>
        <v>0</v>
      </c>
      <c r="F60" s="848">
        <f>SUM(F7:F30,F34:F57)-F21-F22</f>
        <v>0</v>
      </c>
      <c r="G60" s="848">
        <f>SUM(G7:G30,G34:G57)-G21-G22</f>
        <v>0</v>
      </c>
      <c r="H60" s="848">
        <f>SUM(H7:H30,H34:H57)-H21-H22</f>
        <v>0</v>
      </c>
      <c r="I60" s="863">
        <f>I59-母公司TB负债!I62</f>
        <v>0</v>
      </c>
      <c r="J60" s="863">
        <f>J59-母公司TB负债!J62</f>
        <v>0</v>
      </c>
      <c r="K60" s="863">
        <f>K59-母公司TB负债!K62</f>
        <v>0</v>
      </c>
    </row>
    <row r="61" spans="1:11">
      <c r="A61" s="1065"/>
      <c r="B61" s="328"/>
      <c r="C61" s="328"/>
      <c r="D61" s="328"/>
      <c r="E61" s="328"/>
      <c r="F61" s="328"/>
      <c r="G61" s="328"/>
      <c r="H61" s="328"/>
      <c r="I61" s="328"/>
      <c r="J61" s="328"/>
      <c r="K61" s="328"/>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2"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6"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O64"/>
  <sheetViews>
    <sheetView showZeros="0" workbookViewId="0">
      <pane xSplit="2" ySplit="5" topLeftCell="C6" activePane="bottomRight" state="frozen"/>
      <selection activeCell="H6" sqref="H6"/>
      <selection pane="topRight" activeCell="H6" sqref="H6"/>
      <selection pane="bottomLeft" activeCell="H6" sqref="H6"/>
      <selection pane="bottomRight" activeCell="G65" sqref="G65"/>
    </sheetView>
  </sheetViews>
  <sheetFormatPr defaultColWidth="7" defaultRowHeight="13.5" outlineLevelCol="1"/>
  <cols>
    <col min="1" max="1" width="25.625" style="933" customWidth="1"/>
    <col min="2" max="2" width="11.875" style="33" bestFit="1" customWidth="1"/>
    <col min="3" max="4" width="10.875" style="33" customWidth="1"/>
    <col min="5" max="8" width="11.625" style="33" customWidth="1"/>
    <col min="9" max="9" width="11.25" style="33" customWidth="1" outlineLevel="1"/>
    <col min="10" max="10" width="8.625" style="33" customWidth="1" outlineLevel="1"/>
    <col min="11" max="11" width="12.375" style="33" customWidth="1"/>
    <col min="12" max="12" width="7" style="33" customWidth="1"/>
    <col min="13" max="13" width="12.25" style="33" bestFit="1" customWidth="1"/>
    <col min="14" max="14" width="13.125" style="33" customWidth="1"/>
    <col min="15" max="16384" width="7" style="33"/>
  </cols>
  <sheetData>
    <row r="1" spans="1:15" s="32" customFormat="1" ht="19.5" customHeight="1">
      <c r="A1" s="934" t="s">
        <v>573</v>
      </c>
      <c r="B1" s="103"/>
      <c r="C1" s="103"/>
      <c r="D1" s="103"/>
      <c r="E1" s="103"/>
      <c r="F1" s="103"/>
      <c r="G1" s="103"/>
      <c r="H1" s="103"/>
      <c r="I1" s="103"/>
      <c r="J1" s="103"/>
      <c r="K1" s="103"/>
      <c r="L1" s="31"/>
      <c r="M1" s="33"/>
      <c r="N1" s="33"/>
      <c r="O1" s="33"/>
    </row>
    <row r="2" spans="1:15" s="32" customFormat="1" ht="17.25" customHeight="1">
      <c r="A2" s="924" t="str">
        <f>CONCATENATE("客户名称：",说明!E23)</f>
        <v>客户名称：</v>
      </c>
      <c r="D2" s="89" t="str">
        <f>CONCATENATE("编制：",说明!E36)</f>
        <v>编制：</v>
      </c>
      <c r="F2" s="90"/>
      <c r="G2" s="91" t="str">
        <f>CONCATENATE("复核：",说明!E37)</f>
        <v>复核：</v>
      </c>
      <c r="I2" s="91"/>
      <c r="J2" s="92"/>
      <c r="K2" s="93" t="str">
        <f>母公司TB资产!K2</f>
        <v xml:space="preserve">索引：            </v>
      </c>
      <c r="M2" s="33"/>
      <c r="N2" s="33"/>
      <c r="O2" s="33"/>
    </row>
    <row r="3" spans="1:15" s="32" customFormat="1" ht="17.25" customHeight="1">
      <c r="A3" s="924" t="str">
        <f>CONCATENATE("会计时点：",TEXT(说明!E32,"yyyy.mm.dd"))</f>
        <v>会计时点：2019.12.31</v>
      </c>
      <c r="D3" s="93" t="str">
        <f ca="1">CONCATENATE("日期：",TEXT(NOW(),"yyyy.mm.dd"))</f>
        <v>日期：2019.12.31</v>
      </c>
      <c r="F3" s="91"/>
      <c r="G3" s="91" t="str">
        <f>母公司TB资产!F3</f>
        <v>日期：</v>
      </c>
      <c r="I3" s="91"/>
      <c r="J3" s="91"/>
      <c r="K3" s="93" t="str">
        <f>母公司TB资产!K3</f>
        <v xml:space="preserve">分页：           </v>
      </c>
      <c r="M3" s="33"/>
      <c r="N3" s="33"/>
      <c r="O3" s="33"/>
    </row>
    <row r="4" spans="1:15" s="32" customFormat="1">
      <c r="A4" s="1177" t="str">
        <f>IF((ROUND(K62,2))=(ROUND(母公司TB资产!K59,2)),IF(说明!E$28="股份有限公司","  负债和股东权益",IF(说明!E$28="非股份有限公司","负债和所有权益","")),"报表未调平!")</f>
        <v xml:space="preserve">  负债和股东权益</v>
      </c>
      <c r="B4" s="1174" t="s">
        <v>127</v>
      </c>
      <c r="C4" s="1176" t="s">
        <v>555</v>
      </c>
      <c r="D4" s="1176"/>
      <c r="E4" s="1176" t="s">
        <v>297</v>
      </c>
      <c r="F4" s="1176"/>
      <c r="G4" s="1176" t="s">
        <v>298</v>
      </c>
      <c r="H4" s="1176"/>
      <c r="I4" s="248" t="s">
        <v>299</v>
      </c>
      <c r="J4" s="248" t="s">
        <v>300</v>
      </c>
      <c r="K4" s="1170" t="s">
        <v>556</v>
      </c>
      <c r="M4" s="33"/>
      <c r="N4" s="33"/>
      <c r="O4" s="33"/>
    </row>
    <row r="5" spans="1:15" s="32" customFormat="1">
      <c r="A5" s="1178"/>
      <c r="B5" s="1175"/>
      <c r="C5" s="249" t="s">
        <v>360</v>
      </c>
      <c r="D5" s="249" t="s">
        <v>361</v>
      </c>
      <c r="E5" s="249" t="s">
        <v>360</v>
      </c>
      <c r="F5" s="249" t="s">
        <v>361</v>
      </c>
      <c r="G5" s="249" t="s">
        <v>360</v>
      </c>
      <c r="H5" s="249" t="s">
        <v>361</v>
      </c>
      <c r="I5" s="249"/>
      <c r="J5" s="249"/>
      <c r="K5" s="1171"/>
      <c r="M5" s="33"/>
      <c r="N5" s="33"/>
      <c r="O5" s="33"/>
    </row>
    <row r="6" spans="1:15" ht="14.45" customHeight="1">
      <c r="A6" s="925" t="str">
        <f>报表格式!G5</f>
        <v>流动负债：</v>
      </c>
      <c r="B6" s="95"/>
      <c r="C6" s="95"/>
      <c r="D6" s="95"/>
      <c r="E6" s="95"/>
      <c r="F6" s="95"/>
      <c r="G6" s="95"/>
      <c r="H6" s="95"/>
      <c r="I6" s="95"/>
      <c r="J6" s="95"/>
      <c r="K6" s="96"/>
    </row>
    <row r="7" spans="1:15" ht="14.45" customHeight="1">
      <c r="A7" s="926" t="str">
        <f>报表格式!G6</f>
        <v>短期借款</v>
      </c>
      <c r="B7" s="236">
        <f>母公司BS汇总!B62</f>
        <v>0</v>
      </c>
      <c r="C7" s="236">
        <f>SUMIF(母公司汇总抵销!$E$5:$E$65538,IF(OR(MID(TRIM($A7),2,1)="：",MID(TRIM($A7),2,1)="、"),REPLACEB(TRIM($A7),1,4,""),TRIM($A7)),母公司汇总抵销!$J$5:$J$65538)</f>
        <v>0</v>
      </c>
      <c r="D7" s="236">
        <f>SUMIF(母公司汇总抵销!$H$5:$H$65538,IF(OR(MID(TRIM($A7),2,1)="：",MID(TRIM($A7),2,1)="、"),REPLACEB(TRIM($A7),1,4,""),TRIM($A7)),母公司汇总抵销!$J$5:$J$65538)</f>
        <v>0</v>
      </c>
      <c r="E7" s="236">
        <f>SUMIF(母公司账项调整!$E$5:$E$65536,IF(OR(MID(TRIM($A7),2,1)="：",MID(TRIM($A7),2,1)="、"),REPLACEB(TRIM($A7),1,4,""),TRIM($A7)),母公司账项调整!$J$5:$J$65536)</f>
        <v>0</v>
      </c>
      <c r="F7" s="236">
        <f>SUMIF(母公司账项调整!$H$5:$H$65536,IF(OR(MID(TRIM($A7),2,1)="：",MID(TRIM($A7),2,1)="、"),REPLACEB(TRIM($A7),1,4,""),TRIM($A7)),母公司账项调整!$J$5:$J$65536)</f>
        <v>0</v>
      </c>
      <c r="G7" s="236">
        <f>SUMIF(母公司报表调整!$E$5:$E$65536,IF(OR(MID(TRIM($A7),2,1)="：",MID(TRIM($A7),2,1)="、"),REPLACEB(TRIM($A7),1,4,""),TRIM($A7)),母公司报表调整!$J$5:$J$65536)</f>
        <v>0</v>
      </c>
      <c r="H7" s="236">
        <f>SUMIF(母公司报表调整!$H$5:$H$65536,IF(OR(MID(TRIM($A7),2,1)="：",MID(TRIM($A7),2,1)="、"),REPLACEB(TRIM($A7),1,4,""),TRIM($A7)),母公司报表调整!$J$5:$J$65536)</f>
        <v>0</v>
      </c>
      <c r="I7" s="236">
        <f t="shared" ref="I7:I32" si="0">B7-E7-G7+F7+H7-C7+D7</f>
        <v>0</v>
      </c>
      <c r="J7" s="236"/>
      <c r="K7" s="237">
        <f>SUM(I7:J7)</f>
        <v>0</v>
      </c>
    </row>
    <row r="8" spans="1:15" ht="14.45" customHeight="1">
      <c r="A8" s="926" t="str">
        <f>报表格式!G7</f>
        <v>向中央银行借款</v>
      </c>
      <c r="B8" s="236">
        <f>母公司BS汇总!B63</f>
        <v>0</v>
      </c>
      <c r="C8" s="236">
        <f>SUMIF(母公司汇总抵销!$E$5:$E$65538,IF(OR(MID(TRIM($A8),2,1)="：",MID(TRIM($A8),2,1)="、"),REPLACEB(TRIM($A8),1,4,""),TRIM($A8)),母公司汇总抵销!$J$5:$J$65538)</f>
        <v>0</v>
      </c>
      <c r="D8" s="236">
        <f>SUMIF(母公司汇总抵销!$H$5:$H$65538,IF(OR(MID(TRIM($A8),2,1)="：",MID(TRIM($A8),2,1)="、"),REPLACEB(TRIM($A8),1,4,""),TRIM($A8)),母公司汇总抵销!$J$5:$J$65538)</f>
        <v>0</v>
      </c>
      <c r="E8" s="236">
        <f>SUMIF(母公司账项调整!$E$5:$E$65536,IF(OR(MID(TRIM($A8),2,1)="：",MID(TRIM($A8),2,1)="、"),REPLACEB(TRIM($A8),1,4,""),TRIM($A8)),母公司账项调整!$J$5:$J$65536)</f>
        <v>0</v>
      </c>
      <c r="F8" s="236">
        <f>SUMIF(母公司账项调整!$H$5:$H$65536,IF(OR(MID(TRIM($A8),2,1)="：",MID(TRIM($A8),2,1)="、"),REPLACEB(TRIM($A8),1,4,""),TRIM($A8)),母公司账项调整!$J$5:$J$65536)</f>
        <v>0</v>
      </c>
      <c r="G8" s="236">
        <f>SUMIF(母公司报表调整!$E$5:$E$65536,IF(OR(MID(TRIM($A8),2,1)="：",MID(TRIM($A8),2,1)="、"),REPLACEB(TRIM($A8),1,4,""),TRIM($A8)),母公司报表调整!$J$5:$J$65536)</f>
        <v>0</v>
      </c>
      <c r="H8" s="236">
        <f>SUMIF(母公司报表调整!$H$5:$H$65536,IF(OR(MID(TRIM($A8),2,1)="：",MID(TRIM($A8),2,1)="、"),REPLACEB(TRIM($A8),1,4,""),TRIM($A8)),母公司报表调整!$J$5:$J$65536)</f>
        <v>0</v>
      </c>
      <c r="I8" s="236">
        <f t="shared" ref="I8:I10" si="1">B8-E8-G8+F8+H8-C8+D8</f>
        <v>0</v>
      </c>
      <c r="J8" s="236"/>
      <c r="K8" s="237">
        <f t="shared" ref="K8:K10" si="2">SUM(I8:J8)</f>
        <v>0</v>
      </c>
    </row>
    <row r="9" spans="1:15" ht="14.45" customHeight="1">
      <c r="A9" s="926" t="str">
        <f>报表格式!G8</f>
        <v>吸收存款及同业存放</v>
      </c>
      <c r="B9" s="236">
        <f>母公司BS汇总!B64</f>
        <v>0</v>
      </c>
      <c r="C9" s="236">
        <f>SUMIF(母公司汇总抵销!$E$5:$E$65538,IF(OR(MID(TRIM($A9),2,1)="：",MID(TRIM($A9),2,1)="、"),REPLACEB(TRIM($A9),1,4,""),TRIM($A9)),母公司汇总抵销!$J$5:$J$65538)</f>
        <v>0</v>
      </c>
      <c r="D9" s="236">
        <f>SUMIF(母公司汇总抵销!$H$5:$H$65538,IF(OR(MID(TRIM($A9),2,1)="：",MID(TRIM($A9),2,1)="、"),REPLACEB(TRIM($A9),1,4,""),TRIM($A9)),母公司汇总抵销!$J$5:$J$65538)</f>
        <v>0</v>
      </c>
      <c r="E9" s="236">
        <f>SUMIF(母公司账项调整!$E$5:$E$65536,IF(OR(MID(TRIM($A9),2,1)="：",MID(TRIM($A9),2,1)="、"),REPLACEB(TRIM($A9),1,4,""),TRIM($A9)),母公司账项调整!$J$5:$J$65536)</f>
        <v>0</v>
      </c>
      <c r="F9" s="236">
        <f>SUMIF(母公司账项调整!$H$5:$H$65536,IF(OR(MID(TRIM($A9),2,1)="：",MID(TRIM($A9),2,1)="、"),REPLACEB(TRIM($A9),1,4,""),TRIM($A9)),母公司账项调整!$J$5:$J$65536)</f>
        <v>0</v>
      </c>
      <c r="G9" s="236">
        <f>SUMIF(母公司报表调整!$E$5:$E$65536,IF(OR(MID(TRIM($A9),2,1)="：",MID(TRIM($A9),2,1)="、"),REPLACEB(TRIM($A9),1,4,""),TRIM($A9)),母公司报表调整!$J$5:$J$65536)</f>
        <v>0</v>
      </c>
      <c r="H9" s="236">
        <f>SUMIF(母公司报表调整!$H$5:$H$65536,IF(OR(MID(TRIM($A9),2,1)="：",MID(TRIM($A9),2,1)="、"),REPLACEB(TRIM($A9),1,4,""),TRIM($A9)),母公司报表调整!$J$5:$J$65536)</f>
        <v>0</v>
      </c>
      <c r="I9" s="236">
        <f t="shared" si="1"/>
        <v>0</v>
      </c>
      <c r="J9" s="236"/>
      <c r="K9" s="237">
        <f t="shared" si="2"/>
        <v>0</v>
      </c>
    </row>
    <row r="10" spans="1:15" ht="14.45" customHeight="1">
      <c r="A10" s="926" t="str">
        <f>报表格式!G9</f>
        <v>拆入资金</v>
      </c>
      <c r="B10" s="236">
        <f>母公司BS汇总!B65</f>
        <v>0</v>
      </c>
      <c r="C10" s="236">
        <f>SUMIF(母公司汇总抵销!$E$5:$E$65538,IF(OR(MID(TRIM($A10),2,1)="：",MID(TRIM($A10),2,1)="、"),REPLACEB(TRIM($A10),1,4,""),TRIM($A10)),母公司汇总抵销!$J$5:$J$65538)</f>
        <v>0</v>
      </c>
      <c r="D10" s="236">
        <f>SUMIF(母公司汇总抵销!$H$5:$H$65538,IF(OR(MID(TRIM($A10),2,1)="：",MID(TRIM($A10),2,1)="、"),REPLACEB(TRIM($A10),1,4,""),TRIM($A10)),母公司汇总抵销!$J$5:$J$65538)</f>
        <v>0</v>
      </c>
      <c r="E10" s="236">
        <f>SUMIF(母公司账项调整!$E$5:$E$65536,IF(OR(MID(TRIM($A10),2,1)="：",MID(TRIM($A10),2,1)="、"),REPLACEB(TRIM($A10),1,4,""),TRIM($A10)),母公司账项调整!$J$5:$J$65536)</f>
        <v>0</v>
      </c>
      <c r="F10" s="236">
        <f>SUMIF(母公司账项调整!$H$5:$H$65536,IF(OR(MID(TRIM($A10),2,1)="：",MID(TRIM($A10),2,1)="、"),REPLACEB(TRIM($A10),1,4,""),TRIM($A10)),母公司账项调整!$J$5:$J$65536)</f>
        <v>0</v>
      </c>
      <c r="G10" s="236">
        <f>SUMIF(母公司报表调整!$E$5:$E$65536,IF(OR(MID(TRIM($A10),2,1)="：",MID(TRIM($A10),2,1)="、"),REPLACEB(TRIM($A10),1,4,""),TRIM($A10)),母公司报表调整!$J$5:$J$65536)</f>
        <v>0</v>
      </c>
      <c r="H10" s="236">
        <f>SUMIF(母公司报表调整!$H$5:$H$65536,IF(OR(MID(TRIM($A10),2,1)="：",MID(TRIM($A10),2,1)="、"),REPLACEB(TRIM($A10),1,4,""),TRIM($A10)),母公司报表调整!$J$5:$J$65536)</f>
        <v>0</v>
      </c>
      <c r="I10" s="236">
        <f t="shared" si="1"/>
        <v>0</v>
      </c>
      <c r="J10" s="236"/>
      <c r="K10" s="237">
        <f t="shared" si="2"/>
        <v>0</v>
      </c>
    </row>
    <row r="11" spans="1:15" ht="14.45" customHeight="1">
      <c r="A11" s="926" t="str">
        <f>报表格式!G10</f>
        <v>交易性金融负债</v>
      </c>
      <c r="B11" s="236">
        <f>母公司BS汇总!B66</f>
        <v>0</v>
      </c>
      <c r="C11" s="236">
        <f>SUMIF(母公司汇总抵销!$E$5:$E$65538,IF(OR(MID(TRIM($A11),2,1)="：",MID(TRIM($A11),2,1)="、"),REPLACEB(TRIM($A11),1,4,""),TRIM($A11)),母公司汇总抵销!$J$5:$J$65538)</f>
        <v>0</v>
      </c>
      <c r="D11" s="236">
        <f>SUMIF(母公司汇总抵销!$H$5:$H$65538,IF(OR(MID(TRIM($A11),2,1)="：",MID(TRIM($A11),2,1)="、"),REPLACEB(TRIM($A11),1,4,""),TRIM($A11)),母公司汇总抵销!$J$5:$J$65538)</f>
        <v>0</v>
      </c>
      <c r="E11" s="236">
        <f>SUMIF(母公司账项调整!$E$5:$E$65536,IF(OR(MID(TRIM($A11),2,1)="：",MID(TRIM($A11),2,1)="、"),REPLACEB(TRIM($A11),1,4,""),TRIM($A11)),母公司账项调整!$J$5:$J$65536)</f>
        <v>0</v>
      </c>
      <c r="F11" s="236">
        <f>SUMIF(母公司账项调整!$H$5:$H$65536,IF(OR(MID(TRIM($A11),2,1)="：",MID(TRIM($A11),2,1)="、"),REPLACEB(TRIM($A11),1,4,""),TRIM($A11)),母公司账项调整!$J$5:$J$65536)</f>
        <v>0</v>
      </c>
      <c r="G11" s="236">
        <f>SUMIF(母公司报表调整!$E$5:$E$65536,IF(OR(MID(TRIM($A11),2,1)="：",MID(TRIM($A11),2,1)="、"),REPLACEB(TRIM($A11),1,4,""),TRIM($A11)),母公司报表调整!$J$5:$J$65536)</f>
        <v>0</v>
      </c>
      <c r="H11" s="236">
        <f>SUMIF(母公司报表调整!$H$5:$H$65536,IF(OR(MID(TRIM($A11),2,1)="：",MID(TRIM($A11),2,1)="、"),REPLACEB(TRIM($A11),1,4,""),TRIM($A11)),母公司报表调整!$J$5:$J$65536)</f>
        <v>0</v>
      </c>
      <c r="I11" s="236">
        <f t="shared" si="0"/>
        <v>0</v>
      </c>
      <c r="J11" s="236"/>
      <c r="K11" s="237">
        <f t="shared" ref="K11:K60" si="3">SUM(I11:J11)</f>
        <v>0</v>
      </c>
    </row>
    <row r="12" spans="1:15" ht="14.45" customHeight="1">
      <c r="A12" s="926" t="str">
        <f>报表格式!G11</f>
        <v>以公允价值计量且其变动计入当期损益的金融负债</v>
      </c>
      <c r="B12" s="236">
        <f>母公司BS汇总!B67</f>
        <v>0</v>
      </c>
      <c r="C12" s="236">
        <f>SUMIF(母公司汇总抵销!$E$5:$E$65538,IF(OR(MID(TRIM($A12),2,1)="：",MID(TRIM($A12),2,1)="、"),REPLACEB(TRIM($A12),1,4,""),TRIM($A12)),母公司汇总抵销!$J$5:$J$65538)</f>
        <v>0</v>
      </c>
      <c r="D12" s="236">
        <f>SUMIF(母公司汇总抵销!$H$5:$H$65538,IF(OR(MID(TRIM($A12),2,1)="：",MID(TRIM($A12),2,1)="、"),REPLACEB(TRIM($A12),1,4,""),TRIM($A12)),母公司汇总抵销!$J$5:$J$65538)</f>
        <v>0</v>
      </c>
      <c r="E12" s="236">
        <f>SUMIF(母公司账项调整!$E$5:$E$65536,IF(OR(MID(TRIM($A12),2,1)="：",MID(TRIM($A12),2,1)="、"),REPLACEB(TRIM($A12),1,4,""),TRIM($A12)),母公司账项调整!$J$5:$J$65536)</f>
        <v>0</v>
      </c>
      <c r="F12" s="236">
        <f>SUMIF(母公司账项调整!$H$5:$H$65536,IF(OR(MID(TRIM($A12),2,1)="：",MID(TRIM($A12),2,1)="、"),REPLACEB(TRIM($A12),1,4,""),TRIM($A12)),母公司账项调整!$J$5:$J$65536)</f>
        <v>0</v>
      </c>
      <c r="G12" s="236">
        <f>SUMIF(母公司报表调整!$E$5:$E$65536,IF(OR(MID(TRIM($A12),2,1)="：",MID(TRIM($A12),2,1)="、"),REPLACEB(TRIM($A12),1,4,""),TRIM($A12)),母公司报表调整!$J$5:$J$65536)</f>
        <v>0</v>
      </c>
      <c r="H12" s="236">
        <f>SUMIF(母公司报表调整!$H$5:$H$65536,IF(OR(MID(TRIM($A12),2,1)="：",MID(TRIM($A12),2,1)="、"),REPLACEB(TRIM($A12),1,4,""),TRIM($A12)),母公司报表调整!$J$5:$J$65536)</f>
        <v>0</v>
      </c>
      <c r="I12" s="236">
        <f t="shared" ref="I12" si="4">B12-E12-G12+F12+H12-C12+D12</f>
        <v>0</v>
      </c>
      <c r="J12" s="236"/>
      <c r="K12" s="237"/>
    </row>
    <row r="13" spans="1:15" ht="14.45" customHeight="1">
      <c r="A13" s="926" t="str">
        <f>报表格式!G12</f>
        <v>衍生金融负债</v>
      </c>
      <c r="B13" s="236">
        <f>母公司BS汇总!B68</f>
        <v>0</v>
      </c>
      <c r="C13" s="236">
        <f>SUMIF(母公司汇总抵销!$E$5:$E$65538,IF(OR(MID(TRIM($A13),2,1)="：",MID(TRIM($A13),2,1)="、"),REPLACEB(TRIM($A13),1,4,""),TRIM($A13)),母公司汇总抵销!$J$5:$J$65538)</f>
        <v>0</v>
      </c>
      <c r="D13" s="236">
        <f>SUMIF(母公司汇总抵销!$H$5:$H$65538,IF(OR(MID(TRIM($A13),2,1)="：",MID(TRIM($A13),2,1)="、"),REPLACEB(TRIM($A13),1,4,""),TRIM($A13)),母公司汇总抵销!$J$5:$J$65538)</f>
        <v>0</v>
      </c>
      <c r="E13" s="236">
        <f>SUMIF(母公司账项调整!$E$5:$E$65536,IF(OR(MID(TRIM($A13),2,1)="：",MID(TRIM($A13),2,1)="、"),REPLACEB(TRIM($A13),1,4,""),TRIM($A13)),母公司账项调整!$J$5:$J$65536)</f>
        <v>0</v>
      </c>
      <c r="F13" s="236">
        <f>SUMIF(母公司账项调整!$H$5:$H$65536,IF(OR(MID(TRIM($A13),2,1)="：",MID(TRIM($A13),2,1)="、"),REPLACEB(TRIM($A13),1,4,""),TRIM($A13)),母公司账项调整!$J$5:$J$65536)</f>
        <v>0</v>
      </c>
      <c r="G13" s="236">
        <f>SUMIF(母公司报表调整!$E$5:$E$65536,IF(OR(MID(TRIM($A13),2,1)="：",MID(TRIM($A13),2,1)="、"),REPLACEB(TRIM($A13),1,4,""),TRIM($A13)),母公司报表调整!$J$5:$J$65536)</f>
        <v>0</v>
      </c>
      <c r="H13" s="236">
        <f>SUMIF(母公司报表调整!$H$5:$H$65536,IF(OR(MID(TRIM($A13),2,1)="：",MID(TRIM($A13),2,1)="、"),REPLACEB(TRIM($A13),1,4,""),TRIM($A13)),母公司报表调整!$J$5:$J$65536)</f>
        <v>0</v>
      </c>
      <c r="I13" s="236">
        <f t="shared" si="0"/>
        <v>0</v>
      </c>
      <c r="J13" s="236"/>
      <c r="K13" s="237">
        <f>SUM(I13:J13)</f>
        <v>0</v>
      </c>
    </row>
    <row r="14" spans="1:15" ht="14.45" customHeight="1">
      <c r="A14" s="926" t="str">
        <f>报表格式!G13</f>
        <v>应付票据</v>
      </c>
      <c r="B14" s="236">
        <f>母公司BS汇总!B69</f>
        <v>0</v>
      </c>
      <c r="C14" s="236">
        <f>SUMIF(母公司汇总抵销!$E$5:$E$65538,IF(OR(MID(TRIM($A14),2,1)="：",MID(TRIM($A14),2,1)="、"),REPLACEB(TRIM($A14),1,4,""),TRIM($A14)),母公司汇总抵销!$J$5:$J$65538)</f>
        <v>0</v>
      </c>
      <c r="D14" s="236">
        <f>SUMIF(母公司汇总抵销!$H$5:$H$65538,IF(OR(MID(TRIM($A14),2,1)="：",MID(TRIM($A14),2,1)="、"),REPLACEB(TRIM($A14),1,4,""),TRIM($A14)),母公司汇总抵销!$J$5:$J$65538)</f>
        <v>0</v>
      </c>
      <c r="E14" s="236">
        <f>SUMIF(母公司账项调整!$E$5:$E$65536,IF(OR(MID(TRIM($A14),2,1)="：",MID(TRIM($A14),2,1)="、"),REPLACEB(TRIM($A14),1,4,""),TRIM($A14)),母公司账项调整!$J$5:$J$65536)</f>
        <v>0</v>
      </c>
      <c r="F14" s="236">
        <f>SUMIF(母公司账项调整!$H$5:$H$65536,IF(OR(MID(TRIM($A14),2,1)="：",MID(TRIM($A14),2,1)="、"),REPLACEB(TRIM($A14),1,4,""),TRIM($A14)),母公司账项调整!$J$5:$J$65536)</f>
        <v>0</v>
      </c>
      <c r="G14" s="236">
        <f>SUMIF(母公司报表调整!$E$5:$E$65536,IF(OR(MID(TRIM($A14),2,1)="：",MID(TRIM($A14),2,1)="、"),REPLACEB(TRIM($A14),1,4,""),TRIM($A14)),母公司报表调整!$J$5:$J$65536)</f>
        <v>0</v>
      </c>
      <c r="H14" s="236">
        <f>SUMIF(母公司报表调整!$H$5:$H$65536,IF(OR(MID(TRIM($A14),2,1)="：",MID(TRIM($A14),2,1)="、"),REPLACEB(TRIM($A14),1,4,""),TRIM($A14)),母公司报表调整!$J$5:$J$65536)</f>
        <v>0</v>
      </c>
      <c r="I14" s="236">
        <f t="shared" si="0"/>
        <v>0</v>
      </c>
      <c r="J14" s="236"/>
      <c r="K14" s="237">
        <f t="shared" si="3"/>
        <v>0</v>
      </c>
    </row>
    <row r="15" spans="1:15" ht="14.45" customHeight="1">
      <c r="A15" s="926" t="str">
        <f>报表格式!G14</f>
        <v>应付账款</v>
      </c>
      <c r="B15" s="236">
        <f>母公司BS汇总!B70</f>
        <v>0</v>
      </c>
      <c r="C15" s="236">
        <f>SUMIF(母公司汇总抵销!$E$5:$E$65538,IF(OR(MID(TRIM($A15),2,1)="：",MID(TRIM($A15),2,1)="、"),REPLACEB(TRIM($A15),1,4,""),TRIM($A15)),母公司汇总抵销!$J$5:$J$65538)</f>
        <v>0</v>
      </c>
      <c r="D15" s="236">
        <f>SUMIF(母公司汇总抵销!$H$5:$H$65538,IF(OR(MID(TRIM($A15),2,1)="：",MID(TRIM($A15),2,1)="、"),REPLACEB(TRIM($A15),1,4,""),TRIM($A15)),母公司汇总抵销!$J$5:$J$65538)</f>
        <v>0</v>
      </c>
      <c r="E15" s="236">
        <f>SUMIF(母公司账项调整!$E$5:$E$65536,IF(OR(MID(TRIM($A15),2,1)="：",MID(TRIM($A15),2,1)="、"),REPLACEB(TRIM($A15),1,4,""),TRIM($A15)),母公司账项调整!$J$5:$J$65536)</f>
        <v>0</v>
      </c>
      <c r="F15" s="236">
        <f>SUMIF(母公司账项调整!$H$5:$H$65536,IF(OR(MID(TRIM($A15),2,1)="：",MID(TRIM($A15),2,1)="、"),REPLACEB(TRIM($A15),1,4,""),TRIM($A15)),母公司账项调整!$J$5:$J$65536)</f>
        <v>0</v>
      </c>
      <c r="G15" s="236">
        <f>SUMIF(母公司报表调整!$E$5:$E$65536,IF(OR(MID(TRIM($A15),2,1)="：",MID(TRIM($A15),2,1)="、"),REPLACEB(TRIM($A15),1,4,""),TRIM($A15)),母公司报表调整!$J$5:$J$65536)</f>
        <v>0</v>
      </c>
      <c r="H15" s="236">
        <f>SUMIF(母公司报表调整!$H$5:$H$65536,IF(OR(MID(TRIM($A15),2,1)="：",MID(TRIM($A15),2,1)="、"),REPLACEB(TRIM($A15),1,4,""),TRIM($A15)),母公司报表调整!$J$5:$J$65536)</f>
        <v>0</v>
      </c>
      <c r="I15" s="236">
        <f t="shared" ref="I15" si="5">B15-E15-G15+F15+H15-C15+D15</f>
        <v>0</v>
      </c>
      <c r="J15" s="236"/>
      <c r="K15" s="237"/>
    </row>
    <row r="16" spans="1:15" ht="14.45" customHeight="1">
      <c r="A16" s="926" t="str">
        <f>报表格式!G15</f>
        <v>预收款项</v>
      </c>
      <c r="B16" s="236">
        <f>母公司BS汇总!B71</f>
        <v>0</v>
      </c>
      <c r="C16" s="236">
        <f>SUMIF(母公司汇总抵销!$E$5:$E$65538,IF(OR(MID(TRIM($A16),2,1)="：",MID(TRIM($A16),2,1)="、"),REPLACEB(TRIM($A16),1,4,""),TRIM($A16)),母公司汇总抵销!$J$5:$J$65538)</f>
        <v>0</v>
      </c>
      <c r="D16" s="236">
        <f>SUMIF(母公司汇总抵销!$H$5:$H$65538,IF(OR(MID(TRIM($A16),2,1)="：",MID(TRIM($A16),2,1)="、"),REPLACEB(TRIM($A16),1,4,""),TRIM($A16)),母公司汇总抵销!$J$5:$J$65538)</f>
        <v>0</v>
      </c>
      <c r="E16" s="236">
        <f>SUMIF(母公司账项调整!$E$5:$E$65536,IF(OR(MID(TRIM($A16),2,1)="：",MID(TRIM($A16),2,1)="、"),REPLACEB(TRIM($A16),1,4,""),TRIM($A16)),母公司账项调整!$J$5:$J$65536)</f>
        <v>0</v>
      </c>
      <c r="F16" s="236">
        <f>SUMIF(母公司账项调整!$H$5:$H$65536,IF(OR(MID(TRIM($A16),2,1)="：",MID(TRIM($A16),2,1)="、"),REPLACEB(TRIM($A16),1,4,""),TRIM($A16)),母公司账项调整!$J$5:$J$65536)</f>
        <v>0</v>
      </c>
      <c r="G16" s="236">
        <f>SUMIF(母公司报表调整!$E$5:$E$65536,IF(OR(MID(TRIM($A16),2,1)="：",MID(TRIM($A16),2,1)="、"),REPLACEB(TRIM($A16),1,4,""),TRIM($A16)),母公司报表调整!$J$5:$J$65536)</f>
        <v>0</v>
      </c>
      <c r="H16" s="236">
        <f>SUMIF(母公司报表调整!$H$5:$H$65536,IF(OR(MID(TRIM($A16),2,1)="：",MID(TRIM($A16),2,1)="、"),REPLACEB(TRIM($A16),1,4,""),TRIM($A16)),母公司报表调整!$J$5:$J$65536)</f>
        <v>0</v>
      </c>
      <c r="I16" s="236">
        <f t="shared" si="0"/>
        <v>0</v>
      </c>
      <c r="J16" s="236"/>
      <c r="K16" s="237">
        <f t="shared" si="3"/>
        <v>0</v>
      </c>
    </row>
    <row r="17" spans="1:11" ht="14.45" customHeight="1">
      <c r="A17" s="926" t="str">
        <f>报表格式!G16</f>
        <v>卖出回购金融资产款</v>
      </c>
      <c r="B17" s="236">
        <f>母公司BS汇总!B72</f>
        <v>0</v>
      </c>
      <c r="C17" s="236">
        <f>SUMIF(母公司汇总抵销!$E$5:$E$65538,IF(OR(MID(TRIM($A17),2,1)="：",MID(TRIM($A17),2,1)="、"),REPLACEB(TRIM($A17),1,4,""),TRIM($A17)),母公司汇总抵销!$J$5:$J$65538)</f>
        <v>0</v>
      </c>
      <c r="D17" s="236">
        <f>SUMIF(母公司汇总抵销!$H$5:$H$65538,IF(OR(MID(TRIM($A17),2,1)="：",MID(TRIM($A17),2,1)="、"),REPLACEB(TRIM($A17),1,4,""),TRIM($A17)),母公司汇总抵销!$J$5:$J$65538)</f>
        <v>0</v>
      </c>
      <c r="E17" s="236">
        <f>SUMIF(母公司账项调整!$E$5:$E$65536,IF(OR(MID(TRIM($A17),2,1)="：",MID(TRIM($A17),2,1)="、"),REPLACEB(TRIM($A17),1,4,""),TRIM($A17)),母公司账项调整!$J$5:$J$65536)</f>
        <v>0</v>
      </c>
      <c r="F17" s="236">
        <f>SUMIF(母公司账项调整!$H$5:$H$65536,IF(OR(MID(TRIM($A17),2,1)="：",MID(TRIM($A17),2,1)="、"),REPLACEB(TRIM($A17),1,4,""),TRIM($A17)),母公司账项调整!$J$5:$J$65536)</f>
        <v>0</v>
      </c>
      <c r="G17" s="236">
        <f>SUMIF(母公司报表调整!$E$5:$E$65536,IF(OR(MID(TRIM($A17),2,1)="：",MID(TRIM($A17),2,1)="、"),REPLACEB(TRIM($A17),1,4,""),TRIM($A17)),母公司报表调整!$J$5:$J$65536)</f>
        <v>0</v>
      </c>
      <c r="H17" s="236">
        <f>SUMIF(母公司报表调整!$H$5:$H$65536,IF(OR(MID(TRIM($A17),2,1)="：",MID(TRIM($A17),2,1)="、"),REPLACEB(TRIM($A17),1,4,""),TRIM($A17)),母公司报表调整!$J$5:$J$65536)</f>
        <v>0</v>
      </c>
      <c r="I17" s="236">
        <f t="shared" ref="I17:I18" si="6">B17-E17-G17+F17+H17-C17+D17</f>
        <v>0</v>
      </c>
      <c r="J17" s="236"/>
      <c r="K17" s="237">
        <f t="shared" ref="K17:K18" si="7">SUM(I17:J17)</f>
        <v>0</v>
      </c>
    </row>
    <row r="18" spans="1:11" ht="14.45" customHeight="1">
      <c r="A18" s="926" t="str">
        <f>报表格式!G17</f>
        <v>应付手续费及佣金</v>
      </c>
      <c r="B18" s="236">
        <f>母公司BS汇总!B73</f>
        <v>0</v>
      </c>
      <c r="C18" s="236">
        <f>SUMIF(母公司汇总抵销!$E$5:$E$65538,IF(OR(MID(TRIM($A18),2,1)="：",MID(TRIM($A18),2,1)="、"),REPLACEB(TRIM($A18),1,4,""),TRIM($A18)),母公司汇总抵销!$J$5:$J$65538)</f>
        <v>0</v>
      </c>
      <c r="D18" s="236">
        <f>SUMIF(母公司汇总抵销!$H$5:$H$65538,IF(OR(MID(TRIM($A18),2,1)="：",MID(TRIM($A18),2,1)="、"),REPLACEB(TRIM($A18),1,4,""),TRIM($A18)),母公司汇总抵销!$J$5:$J$65538)</f>
        <v>0</v>
      </c>
      <c r="E18" s="236">
        <f>SUMIF(母公司账项调整!$E$5:$E$65536,IF(OR(MID(TRIM($A18),2,1)="：",MID(TRIM($A18),2,1)="、"),REPLACEB(TRIM($A18),1,4,""),TRIM($A18)),母公司账项调整!$J$5:$J$65536)</f>
        <v>0</v>
      </c>
      <c r="F18" s="236">
        <f>SUMIF(母公司账项调整!$H$5:$H$65536,IF(OR(MID(TRIM($A18),2,1)="：",MID(TRIM($A18),2,1)="、"),REPLACEB(TRIM($A18),1,4,""),TRIM($A18)),母公司账项调整!$J$5:$J$65536)</f>
        <v>0</v>
      </c>
      <c r="G18" s="236">
        <f>SUMIF(母公司报表调整!$E$5:$E$65536,IF(OR(MID(TRIM($A18),2,1)="：",MID(TRIM($A18),2,1)="、"),REPLACEB(TRIM($A18),1,4,""),TRIM($A18)),母公司报表调整!$J$5:$J$65536)</f>
        <v>0</v>
      </c>
      <c r="H18" s="236">
        <f>SUMIF(母公司报表调整!$H$5:$H$65536,IF(OR(MID(TRIM($A18),2,1)="：",MID(TRIM($A18),2,1)="、"),REPLACEB(TRIM($A18),1,4,""),TRIM($A18)),母公司报表调整!$J$5:$J$65536)</f>
        <v>0</v>
      </c>
      <c r="I18" s="236">
        <f t="shared" si="6"/>
        <v>0</v>
      </c>
      <c r="J18" s="236"/>
      <c r="K18" s="237">
        <f t="shared" si="7"/>
        <v>0</v>
      </c>
    </row>
    <row r="19" spans="1:11" ht="14.45" customHeight="1">
      <c r="A19" s="926" t="str">
        <f>报表格式!G18</f>
        <v>合同负债</v>
      </c>
      <c r="B19" s="236">
        <f>母公司BS汇总!B74</f>
        <v>0</v>
      </c>
      <c r="C19" s="236">
        <f>SUMIF(母公司汇总抵销!$E$5:$E$65538,IF(OR(MID(TRIM($A19),2,1)="：",MID(TRIM($A19),2,1)="、"),REPLACEB(TRIM($A19),1,4,""),TRIM($A19)),母公司汇总抵销!$J$5:$J$65538)</f>
        <v>0</v>
      </c>
      <c r="D19" s="236">
        <f>SUMIF(母公司汇总抵销!$H$5:$H$65538,IF(OR(MID(TRIM($A19),2,1)="：",MID(TRIM($A19),2,1)="、"),REPLACEB(TRIM($A19),1,4,""),TRIM($A19)),母公司汇总抵销!$J$5:$J$65538)</f>
        <v>0</v>
      </c>
      <c r="E19" s="236">
        <f>SUMIF(母公司账项调整!$E$5:$E$65536,IF(OR(MID(TRIM($A19),2,1)="：",MID(TRIM($A19),2,1)="、"),REPLACEB(TRIM($A19),1,4,""),TRIM($A19)),母公司账项调整!$J$5:$J$65536)</f>
        <v>0</v>
      </c>
      <c r="F19" s="236">
        <f>SUMIF(母公司账项调整!$H$5:$H$65536,IF(OR(MID(TRIM($A19),2,1)="：",MID(TRIM($A19),2,1)="、"),REPLACEB(TRIM($A19),1,4,""),TRIM($A19)),母公司账项调整!$J$5:$J$65536)</f>
        <v>0</v>
      </c>
      <c r="G19" s="236">
        <f>SUMIF(母公司报表调整!$E$5:$E$65536,IF(OR(MID(TRIM($A19),2,1)="：",MID(TRIM($A19),2,1)="、"),REPLACEB(TRIM($A19),1,4,""),TRIM($A19)),母公司报表调整!$J$5:$J$65536)</f>
        <v>0</v>
      </c>
      <c r="H19" s="236">
        <f>SUMIF(母公司报表调整!$H$5:$H$65536,IF(OR(MID(TRIM($A19),2,1)="：",MID(TRIM($A19),2,1)="、"),REPLACEB(TRIM($A19),1,4,""),TRIM($A19)),母公司报表调整!$J$5:$J$65536)</f>
        <v>0</v>
      </c>
      <c r="I19" s="236">
        <f t="shared" si="0"/>
        <v>0</v>
      </c>
      <c r="J19" s="236"/>
      <c r="K19" s="237">
        <f>SUM(I19:J19)</f>
        <v>0</v>
      </c>
    </row>
    <row r="20" spans="1:11" ht="14.45" customHeight="1">
      <c r="A20" s="926" t="str">
        <f>报表格式!G19</f>
        <v>应付职工薪酬</v>
      </c>
      <c r="B20" s="236">
        <f>母公司BS汇总!B75</f>
        <v>0</v>
      </c>
      <c r="C20" s="236">
        <f>SUMIF(母公司汇总抵销!$E$5:$E$65538,IF(OR(MID(TRIM($A20),2,1)="：",MID(TRIM($A20),2,1)="、"),REPLACEB(TRIM($A20),1,4,""),TRIM($A20)),母公司汇总抵销!$J$5:$J$65538)</f>
        <v>0</v>
      </c>
      <c r="D20" s="236">
        <f>SUMIF(母公司汇总抵销!$H$5:$H$65538,IF(OR(MID(TRIM($A20),2,1)="：",MID(TRIM($A20),2,1)="、"),REPLACEB(TRIM($A20),1,4,""),TRIM($A20)),母公司汇总抵销!$J$5:$J$65538)</f>
        <v>0</v>
      </c>
      <c r="E20" s="236">
        <f>SUMIF(母公司账项调整!$E$5:$E$65536,IF(OR(MID(TRIM($A20),2,1)="：",MID(TRIM($A20),2,1)="、"),REPLACEB(TRIM($A20),1,4,""),TRIM($A20)),母公司账项调整!$J$5:$J$65536)</f>
        <v>0</v>
      </c>
      <c r="F20" s="236">
        <f>SUMIF(母公司账项调整!$H$5:$H$65536,IF(OR(MID(TRIM($A20),2,1)="：",MID(TRIM($A20),2,1)="、"),REPLACEB(TRIM($A20),1,4,""),TRIM($A20)),母公司账项调整!$J$5:$J$65536)</f>
        <v>0</v>
      </c>
      <c r="G20" s="236">
        <f>SUMIF(母公司报表调整!$E$5:$E$65536,IF(OR(MID(TRIM($A20),2,1)="：",MID(TRIM($A20),2,1)="、"),REPLACEB(TRIM($A20),1,4,""),TRIM($A20)),母公司报表调整!$J$5:$J$65536)</f>
        <v>0</v>
      </c>
      <c r="H20" s="236">
        <f>SUMIF(母公司报表调整!$H$5:$H$65536,IF(OR(MID(TRIM($A20),2,1)="：",MID(TRIM($A20),2,1)="、"),REPLACEB(TRIM($A20),1,4,""),TRIM($A20)),母公司报表调整!$J$5:$J$65536)</f>
        <v>0</v>
      </c>
      <c r="I20" s="236">
        <f t="shared" si="0"/>
        <v>0</v>
      </c>
      <c r="J20" s="236"/>
      <c r="K20" s="237">
        <f t="shared" si="3"/>
        <v>0</v>
      </c>
    </row>
    <row r="21" spans="1:11" ht="14.45" customHeight="1">
      <c r="A21" s="926" t="str">
        <f>报表格式!G20</f>
        <v>应交税费</v>
      </c>
      <c r="B21" s="236">
        <f>母公司BS汇总!B76</f>
        <v>0</v>
      </c>
      <c r="C21" s="236">
        <f>SUMIF(母公司汇总抵销!$E$5:$E$65538,IF(OR(MID(TRIM($A21),2,1)="：",MID(TRIM($A21),2,1)="、"),REPLACEB(TRIM($A21),1,4,""),TRIM($A21)),母公司汇总抵销!$J$5:$J$65538)</f>
        <v>0</v>
      </c>
      <c r="D21" s="236">
        <f>SUMIF(母公司汇总抵销!$H$5:$H$65538,IF(OR(MID(TRIM($A21),2,1)="：",MID(TRIM($A21),2,1)="、"),REPLACEB(TRIM($A21),1,4,""),TRIM($A21)),母公司汇总抵销!$J$5:$J$65538)</f>
        <v>0</v>
      </c>
      <c r="E21" s="236">
        <f>SUMIF(母公司账项调整!$E$5:$E$65536,IF(OR(MID(TRIM($A21),2,1)="：",MID(TRIM($A21),2,1)="、"),REPLACEB(TRIM($A21),1,4,""),TRIM($A21)),母公司账项调整!$J$5:$J$65536)</f>
        <v>0</v>
      </c>
      <c r="F21" s="236">
        <f>SUMIF(母公司账项调整!$H$5:$H$65536,IF(OR(MID(TRIM($A21),2,1)="：",MID(TRIM($A21),2,1)="、"),REPLACEB(TRIM($A21),1,4,""),TRIM($A21)),母公司账项调整!$J$5:$J$65536)</f>
        <v>0</v>
      </c>
      <c r="G21" s="236">
        <f>SUMIF(母公司报表调整!$E$5:$E$65536,IF(OR(MID(TRIM($A21),2,1)="：",MID(TRIM($A21),2,1)="、"),REPLACEB(TRIM($A21),1,4,""),TRIM($A21)),母公司报表调整!$J$5:$J$65536)</f>
        <v>0</v>
      </c>
      <c r="H21" s="236">
        <f>SUMIF(母公司报表调整!$H$5:$H$65536,IF(OR(MID(TRIM($A21),2,1)="：",MID(TRIM($A21),2,1)="、"),REPLACEB(TRIM($A21),1,4,""),TRIM($A21)),母公司报表调整!$J$5:$J$65536)</f>
        <v>0</v>
      </c>
      <c r="I21" s="236">
        <f t="shared" si="0"/>
        <v>0</v>
      </c>
      <c r="J21" s="236"/>
      <c r="K21" s="237">
        <f t="shared" si="3"/>
        <v>0</v>
      </c>
    </row>
    <row r="22" spans="1:11" ht="14.45" customHeight="1">
      <c r="A22" s="926" t="str">
        <f>报表格式!G21</f>
        <v>其他应付款</v>
      </c>
      <c r="B22" s="236">
        <f>母公司BS汇总!B77</f>
        <v>0</v>
      </c>
      <c r="C22" s="236">
        <f>SUMIF(母公司汇总抵销!$E$5:$E$65538,IF(OR(MID(TRIM($A22),2,1)="：",MID(TRIM($A22),2,1)="、"),REPLACEB(TRIM($A22),1,4,""),TRIM($A22)),母公司汇总抵销!$J$5:$J$65538)</f>
        <v>0</v>
      </c>
      <c r="D22" s="236">
        <f>SUMIF(母公司汇总抵销!$H$5:$H$65538,IF(OR(MID(TRIM($A22),2,1)="：",MID(TRIM($A22),2,1)="、"),REPLACEB(TRIM($A22),1,4,""),TRIM($A22)),母公司汇总抵销!$J$5:$J$65538)</f>
        <v>0</v>
      </c>
      <c r="E22" s="236">
        <f>SUMIF(母公司账项调整!$E$5:$E$65536,IF(OR(MID(TRIM($A22),2,1)="：",MID(TRIM($A22),2,1)="、"),REPLACEB(TRIM($A22),1,4,""),TRIM($A22)),母公司账项调整!$J$5:$J$65536)</f>
        <v>0</v>
      </c>
      <c r="F22" s="236">
        <f>SUMIF(母公司账项调整!$H$5:$H$65536,IF(OR(MID(TRIM($A22),2,1)="：",MID(TRIM($A22),2,1)="、"),REPLACEB(TRIM($A22),1,4,""),TRIM($A22)),母公司账项调整!$J$5:$J$65536)</f>
        <v>0</v>
      </c>
      <c r="G22" s="236">
        <f>SUMIF(母公司报表调整!$E$5:$E$65536,IF(OR(MID(TRIM($A22),2,1)="：",MID(TRIM($A22),2,1)="、"),REPLACEB(TRIM($A22),1,4,""),TRIM($A22)),母公司报表调整!$J$5:$J$65536)</f>
        <v>0</v>
      </c>
      <c r="H22" s="236">
        <f>SUMIF(母公司报表调整!$H$5:$H$65536,IF(OR(MID(TRIM($A22),2,1)="：",MID(TRIM($A22),2,1)="、"),REPLACEB(TRIM($A22),1,4,""),TRIM($A22)),母公司报表调整!$J$5:$J$65536)</f>
        <v>0</v>
      </c>
      <c r="I22" s="236">
        <f t="shared" si="0"/>
        <v>0</v>
      </c>
      <c r="J22" s="236"/>
      <c r="K22" s="237">
        <f t="shared" si="3"/>
        <v>0</v>
      </c>
    </row>
    <row r="23" spans="1:11" ht="14.45" customHeight="1">
      <c r="A23" s="926" t="str">
        <f>报表格式!G22</f>
        <v xml:space="preserve">  其中：应付利息</v>
      </c>
      <c r="B23" s="236">
        <f>母公司BS汇总!B78</f>
        <v>0</v>
      </c>
      <c r="C23" s="814">
        <f>SUMIF(母公司汇总抵销!$F$5:$F$65538,IF(OR(MID(TRIM($A23),3,1)="：",MID(TRIM($A23),2,1)="、"),REPLACEB(TRIM($A23),1,6,""),TRIM($A23)),母公司汇总抵销!$J$5:$J$65538)</f>
        <v>0</v>
      </c>
      <c r="D23" s="814">
        <f>SUMIF(母公司汇总抵销!$I$5:$I$65538,IF(OR(MID(TRIM($A23),3,1)="：",MID(TRIM($A23),2,1)="、"),REPLACEB(TRIM($A23),1,6,""),TRIM($A23)),母公司汇总抵销!$J$5:$J$65538)</f>
        <v>0</v>
      </c>
      <c r="E23" s="814">
        <f>SUMIF(母公司账项调整!$F$5:$F$65536,IF(OR(MID(TRIM($A23),3,1)="：",MID(TRIM($A23),2,1)="、"),REPLACEB(TRIM($A23),1,6,""),TRIM($A23)),母公司账项调整!$J$5:$J$65536)</f>
        <v>0</v>
      </c>
      <c r="F23" s="814">
        <f>SUMIF(母公司账项调整!$I$5:$I$65536,IF(OR(MID(TRIM($A23),3,1)="：",MID(TRIM($A23),2,1)="、"),REPLACEB(TRIM($A23),1,6,""),TRIM($A23)),母公司账项调整!$J$5:$J$65536)</f>
        <v>0</v>
      </c>
      <c r="G23" s="814">
        <f>SUMIF(母公司报表调整!$F$5:$F$65536,IF(OR(MID(TRIM($A23),3,1)="：",MID(TRIM($A23),2,1)="、"),REPLACEB(TRIM($A23),1,6,""),TRIM($A23)),母公司报表调整!$J$5:$J$65536)</f>
        <v>0</v>
      </c>
      <c r="H23" s="814">
        <f>SUMIF(母公司报表调整!$I$5:$I$65536,IF(OR(MID(TRIM($A23),3,1)="：",MID(TRIM($A23),2,1)="、"),REPLACEB(TRIM($A23),1,6,""),TRIM($A23)),母公司报表调整!$J$5:$J$65536)</f>
        <v>0</v>
      </c>
      <c r="I23" s="236">
        <f t="shared" ref="I23:I28" si="8">B23-E23-G23+F23+H23-C23+D23</f>
        <v>0</v>
      </c>
      <c r="J23" s="236"/>
      <c r="K23" s="237">
        <f t="shared" si="3"/>
        <v>0</v>
      </c>
    </row>
    <row r="24" spans="1:11" ht="14.45" customHeight="1">
      <c r="A24" s="926" t="str">
        <f>报表格式!G23</f>
        <v xml:space="preserve">        应付股利</v>
      </c>
      <c r="B24" s="236">
        <f>母公司BS汇总!B79</f>
        <v>0</v>
      </c>
      <c r="C24" s="236">
        <f>SUMIF(母公司汇总抵销!$F$5:$F$65538,IF(OR(MID(TRIM($A24),2,1)="：",MID(TRIM($A24),2,1)="、"),REPLACEB(TRIM($A24),1,4,""),TRIM($A24)),母公司汇总抵销!$J$5:$J$65538)</f>
        <v>0</v>
      </c>
      <c r="D24" s="236">
        <f>SUMIF(母公司汇总抵销!$I$5:$I$65538,IF(OR(MID(TRIM($A24),2,1)="：",MID(TRIM($A24),2,1)="、"),REPLACEB(TRIM($A24),1,4,""),TRIM($A24)),母公司汇总抵销!$J$5:$J$65538)</f>
        <v>0</v>
      </c>
      <c r="E24" s="236">
        <f>SUMIF(母公司账项调整!$F$5:$F$65536,IF(OR(MID(TRIM($A24),2,1)="：",MID(TRIM($A24),2,1)="、"),REPLACEB(TRIM($A24),1,4,""),TRIM($A24)),母公司账项调整!$J$5:$J$65536)</f>
        <v>0</v>
      </c>
      <c r="F24" s="236">
        <f>SUMIF(母公司账项调整!$I$5:$I$65536,IF(OR(MID(TRIM($A24),2,1)="：",MID(TRIM($A24),2,1)="、"),REPLACEB(TRIM($A24),1,4,""),TRIM($A24)),母公司账项调整!$J$5:$J$65536)</f>
        <v>0</v>
      </c>
      <c r="G24" s="236">
        <f>SUMIF(母公司报表调整!$F$5:$F$65536,IF(OR(MID(TRIM($A24),2,1)="：",MID(TRIM($A24),2,1)="、"),REPLACEB(TRIM($A24),1,4,""),TRIM($A24)),母公司报表调整!$J$5:$J$65536)</f>
        <v>0</v>
      </c>
      <c r="H24" s="236">
        <f>SUMIF(母公司报表调整!$I$5:$I$65536,IF(OR(MID(TRIM($A24),2,1)="：",MID(TRIM($A24),2,1)="、"),REPLACEB(TRIM($A24),1,4,""),TRIM($A24)),母公司报表调整!$J$5:$J$65536)</f>
        <v>0</v>
      </c>
      <c r="I24" s="236">
        <f t="shared" si="8"/>
        <v>0</v>
      </c>
      <c r="J24" s="236"/>
      <c r="K24" s="237">
        <f t="shared" si="3"/>
        <v>0</v>
      </c>
    </row>
    <row r="25" spans="1:11" ht="14.45" customHeight="1">
      <c r="A25" s="926" t="str">
        <f>报表格式!G24</f>
        <v>应付分保账款</v>
      </c>
      <c r="B25" s="236">
        <f>母公司BS汇总!B80</f>
        <v>0</v>
      </c>
      <c r="C25" s="236">
        <f>SUMIF(母公司汇总抵销!$E$5:$E$65538,IF(OR(MID(TRIM($A25),2,1)="：",MID(TRIM($A25),2,1)="、"),REPLACEB(TRIM($A25),1,4,""),TRIM($A25)),母公司汇总抵销!$J$5:$J$65538)</f>
        <v>0</v>
      </c>
      <c r="D25" s="236">
        <f>SUMIF(母公司汇总抵销!$H$5:$H$65538,IF(OR(MID(TRIM($A25),2,1)="：",MID(TRIM($A25),2,1)="、"),REPLACEB(TRIM($A25),1,4,""),TRIM($A25)),母公司汇总抵销!$J$5:$J$65538)</f>
        <v>0</v>
      </c>
      <c r="E25" s="236">
        <f>SUMIF(母公司账项调整!$E$5:$E$65536,IF(OR(MID(TRIM($A25),2,1)="：",MID(TRIM($A25),2,1)="、"),REPLACEB(TRIM($A25),1,4,""),TRIM($A25)),母公司账项调整!$J$5:$J$65536)</f>
        <v>0</v>
      </c>
      <c r="F25" s="236">
        <f>SUMIF(母公司账项调整!$H$5:$H$65536,IF(OR(MID(TRIM($A25),2,1)="：",MID(TRIM($A25),2,1)="、"),REPLACEB(TRIM($A25),1,4,""),TRIM($A25)),母公司账项调整!$J$5:$J$65536)</f>
        <v>0</v>
      </c>
      <c r="G25" s="236">
        <f>SUMIF(母公司报表调整!$E$5:$E$65536,IF(OR(MID(TRIM($A25),2,1)="：",MID(TRIM($A25),2,1)="、"),REPLACEB(TRIM($A25),1,4,""),TRIM($A25)),母公司报表调整!$J$5:$J$65536)</f>
        <v>0</v>
      </c>
      <c r="H25" s="236">
        <f>SUMIF(母公司报表调整!$H$5:$H$65536,IF(OR(MID(TRIM($A25),2,1)="：",MID(TRIM($A25),2,1)="、"),REPLACEB(TRIM($A25),1,4,""),TRIM($A25)),母公司报表调整!$J$5:$J$65536)</f>
        <v>0</v>
      </c>
      <c r="I25" s="236">
        <f t="shared" si="8"/>
        <v>0</v>
      </c>
      <c r="J25" s="236"/>
      <c r="K25" s="237">
        <f t="shared" si="3"/>
        <v>0</v>
      </c>
    </row>
    <row r="26" spans="1:11" ht="14.45" customHeight="1">
      <c r="A26" s="926" t="str">
        <f>报表格式!G25</f>
        <v>保险合同准备金</v>
      </c>
      <c r="B26" s="236">
        <f>母公司BS汇总!B81</f>
        <v>0</v>
      </c>
      <c r="C26" s="236">
        <f>SUMIF(母公司汇总抵销!$E$5:$E$65538,IF(OR(MID(TRIM($A26),2,1)="：",MID(TRIM($A26),2,1)="、"),REPLACEB(TRIM($A26),1,4,""),TRIM($A26)),母公司汇总抵销!$J$5:$J$65538)</f>
        <v>0</v>
      </c>
      <c r="D26" s="236">
        <f>SUMIF(母公司汇总抵销!$H$5:$H$65538,IF(OR(MID(TRIM($A26),2,1)="：",MID(TRIM($A26),2,1)="、"),REPLACEB(TRIM($A26),1,4,""),TRIM($A26)),母公司汇总抵销!$J$5:$J$65538)</f>
        <v>0</v>
      </c>
      <c r="E26" s="236">
        <f>SUMIF(母公司账项调整!$E$5:$E$65536,IF(OR(MID(TRIM($A26),2,1)="：",MID(TRIM($A26),2,1)="、"),REPLACEB(TRIM($A26),1,4,""),TRIM($A26)),母公司账项调整!$J$5:$J$65536)</f>
        <v>0</v>
      </c>
      <c r="F26" s="236">
        <f>SUMIF(母公司账项调整!$H$5:$H$65536,IF(OR(MID(TRIM($A26),2,1)="：",MID(TRIM($A26),2,1)="、"),REPLACEB(TRIM($A26),1,4,""),TRIM($A26)),母公司账项调整!$J$5:$J$65536)</f>
        <v>0</v>
      </c>
      <c r="G26" s="236">
        <f>SUMIF(母公司报表调整!$E$5:$E$65536,IF(OR(MID(TRIM($A26),2,1)="：",MID(TRIM($A26),2,1)="、"),REPLACEB(TRIM($A26),1,4,""),TRIM($A26)),母公司报表调整!$J$5:$J$65536)</f>
        <v>0</v>
      </c>
      <c r="H26" s="236">
        <f>SUMIF(母公司报表调整!$H$5:$H$65536,IF(OR(MID(TRIM($A26),2,1)="：",MID(TRIM($A26),2,1)="、"),REPLACEB(TRIM($A26),1,4,""),TRIM($A26)),母公司报表调整!$J$5:$J$65536)</f>
        <v>0</v>
      </c>
      <c r="I26" s="236">
        <f t="shared" si="8"/>
        <v>0</v>
      </c>
      <c r="J26" s="236"/>
      <c r="K26" s="237">
        <f t="shared" si="3"/>
        <v>0</v>
      </c>
    </row>
    <row r="27" spans="1:11" ht="14.45" customHeight="1">
      <c r="A27" s="926" t="str">
        <f>报表格式!G26</f>
        <v>代理买卖证券款</v>
      </c>
      <c r="B27" s="236">
        <f>母公司BS汇总!B82</f>
        <v>0</v>
      </c>
      <c r="C27" s="236">
        <f>SUMIF(母公司汇总抵销!$E$5:$E$65538,IF(OR(MID(TRIM($A27),2,1)="：",MID(TRIM($A27),2,1)="、"),REPLACEB(TRIM($A27),1,4,""),TRIM($A27)),母公司汇总抵销!$J$5:$J$65538)</f>
        <v>0</v>
      </c>
      <c r="D27" s="236">
        <f>SUMIF(母公司汇总抵销!$H$5:$H$65538,IF(OR(MID(TRIM($A27),2,1)="：",MID(TRIM($A27),2,1)="、"),REPLACEB(TRIM($A27),1,4,""),TRIM($A27)),母公司汇总抵销!$J$5:$J$65538)</f>
        <v>0</v>
      </c>
      <c r="E27" s="236">
        <f>SUMIF(母公司账项调整!$E$5:$E$65536,IF(OR(MID(TRIM($A27),2,1)="：",MID(TRIM($A27),2,1)="、"),REPLACEB(TRIM($A27),1,4,""),TRIM($A27)),母公司账项调整!$J$5:$J$65536)</f>
        <v>0</v>
      </c>
      <c r="F27" s="236">
        <f>SUMIF(母公司账项调整!$H$5:$H$65536,IF(OR(MID(TRIM($A27),2,1)="：",MID(TRIM($A27),2,1)="、"),REPLACEB(TRIM($A27),1,4,""),TRIM($A27)),母公司账项调整!$J$5:$J$65536)</f>
        <v>0</v>
      </c>
      <c r="G27" s="236">
        <f>SUMIF(母公司报表调整!$E$5:$E$65536,IF(OR(MID(TRIM($A27),2,1)="：",MID(TRIM($A27),2,1)="、"),REPLACEB(TRIM($A27),1,4,""),TRIM($A27)),母公司报表调整!$J$5:$J$65536)</f>
        <v>0</v>
      </c>
      <c r="H27" s="236">
        <f>SUMIF(母公司报表调整!$H$5:$H$65536,IF(OR(MID(TRIM($A27),2,1)="：",MID(TRIM($A27),2,1)="、"),REPLACEB(TRIM($A27),1,4,""),TRIM($A27)),母公司报表调整!$J$5:$J$65536)</f>
        <v>0</v>
      </c>
      <c r="I27" s="236">
        <f t="shared" si="8"/>
        <v>0</v>
      </c>
      <c r="J27" s="236"/>
      <c r="K27" s="237">
        <f t="shared" si="3"/>
        <v>0</v>
      </c>
    </row>
    <row r="28" spans="1:11" ht="14.45" customHeight="1">
      <c r="A28" s="926" t="str">
        <f>报表格式!G27</f>
        <v>代理承销证券款</v>
      </c>
      <c r="B28" s="236">
        <f>母公司BS汇总!B83</f>
        <v>0</v>
      </c>
      <c r="C28" s="236">
        <f>SUMIF(母公司汇总抵销!$E$5:$E$65538,IF(OR(MID(TRIM($A28),2,1)="：",MID(TRIM($A28),2,1)="、"),REPLACEB(TRIM($A28),1,4,""),TRIM($A28)),母公司汇总抵销!$J$5:$J$65538)</f>
        <v>0</v>
      </c>
      <c r="D28" s="236">
        <f>SUMIF(母公司汇总抵销!$H$5:$H$65538,IF(OR(MID(TRIM($A28),2,1)="：",MID(TRIM($A28),2,1)="、"),REPLACEB(TRIM($A28),1,4,""),TRIM($A28)),母公司汇总抵销!$J$5:$J$65538)</f>
        <v>0</v>
      </c>
      <c r="E28" s="236">
        <f>SUMIF(母公司账项调整!$E$5:$E$65536,IF(OR(MID(TRIM($A28),2,1)="：",MID(TRIM($A28),2,1)="、"),REPLACEB(TRIM($A28),1,4,""),TRIM($A28)),母公司账项调整!$J$5:$J$65536)</f>
        <v>0</v>
      </c>
      <c r="F28" s="236">
        <f>SUMIF(母公司账项调整!$H$5:$H$65536,IF(OR(MID(TRIM($A28),2,1)="：",MID(TRIM($A28),2,1)="、"),REPLACEB(TRIM($A28),1,4,""),TRIM($A28)),母公司账项调整!$J$5:$J$65536)</f>
        <v>0</v>
      </c>
      <c r="G28" s="236">
        <f>SUMIF(母公司报表调整!$E$5:$E$65536,IF(OR(MID(TRIM($A28),2,1)="：",MID(TRIM($A28),2,1)="、"),REPLACEB(TRIM($A28),1,4,""),TRIM($A28)),母公司报表调整!$J$5:$J$65536)</f>
        <v>0</v>
      </c>
      <c r="H28" s="236">
        <f>SUMIF(母公司报表调整!$H$5:$H$65536,IF(OR(MID(TRIM($A28),2,1)="：",MID(TRIM($A28),2,1)="、"),REPLACEB(TRIM($A28),1,4,""),TRIM($A28)),母公司报表调整!$J$5:$J$65536)</f>
        <v>0</v>
      </c>
      <c r="I28" s="236">
        <f t="shared" si="8"/>
        <v>0</v>
      </c>
      <c r="J28" s="236"/>
      <c r="K28" s="237">
        <f t="shared" si="3"/>
        <v>0</v>
      </c>
    </row>
    <row r="29" spans="1:11" ht="14.45" customHeight="1">
      <c r="A29" s="926" t="str">
        <f>报表格式!G28</f>
        <v>持有待售负债</v>
      </c>
      <c r="B29" s="236">
        <f>母公司BS汇总!B84</f>
        <v>0</v>
      </c>
      <c r="C29" s="236">
        <f>SUMIF(母公司汇总抵销!$E$5:$E$65538,IF(OR(MID(TRIM($A29),2,1)="：",MID(TRIM($A29),2,1)="、"),REPLACEB(TRIM($A29),1,4,""),TRIM($A29)),母公司汇总抵销!$J$5:$J$65538)</f>
        <v>0</v>
      </c>
      <c r="D29" s="236">
        <f>SUMIF(母公司汇总抵销!$H$5:$H$65538,IF(OR(MID(TRIM($A29),2,1)="：",MID(TRIM($A29),2,1)="、"),REPLACEB(TRIM($A29),1,4,""),TRIM($A29)),母公司汇总抵销!$J$5:$J$65538)</f>
        <v>0</v>
      </c>
      <c r="E29" s="236">
        <f>SUMIF(母公司账项调整!$E$5:$E$65536,IF(OR(MID(TRIM($A29),2,1)="：",MID(TRIM($A29),2,1)="、"),REPLACEB(TRIM($A29),1,4,""),TRIM($A29)),母公司账项调整!$J$5:$J$65536)</f>
        <v>0</v>
      </c>
      <c r="F29" s="236">
        <f>SUMIF(母公司账项调整!$H$5:$H$65536,IF(OR(MID(TRIM($A29),2,1)="：",MID(TRIM($A29),2,1)="、"),REPLACEB(TRIM($A29),1,4,""),TRIM($A29)),母公司账项调整!$J$5:$J$65536)</f>
        <v>0</v>
      </c>
      <c r="G29" s="236">
        <f>SUMIF(母公司报表调整!$E$5:$E$65536,IF(OR(MID(TRIM($A29),2,1)="：",MID(TRIM($A29),2,1)="、"),REPLACEB(TRIM($A29),1,4,""),TRIM($A29)),母公司报表调整!$J$5:$J$65536)</f>
        <v>0</v>
      </c>
      <c r="H29" s="236">
        <f>SUMIF(母公司报表调整!$H$5:$H$65536,IF(OR(MID(TRIM($A29),2,1)="：",MID(TRIM($A29),2,1)="、"),REPLACEB(TRIM($A29),1,4,""),TRIM($A29)),母公司报表调整!$J$5:$J$65536)</f>
        <v>0</v>
      </c>
      <c r="I29" s="236">
        <f t="shared" si="0"/>
        <v>0</v>
      </c>
      <c r="J29" s="236"/>
      <c r="K29" s="237">
        <f>SUM(I29:J29)</f>
        <v>0</v>
      </c>
    </row>
    <row r="30" spans="1:11" ht="14.45" customHeight="1">
      <c r="A30" s="926" t="str">
        <f>报表格式!G29</f>
        <v>一年内到期的非流动负债</v>
      </c>
      <c r="B30" s="236">
        <f>母公司BS汇总!B85</f>
        <v>0</v>
      </c>
      <c r="C30" s="236">
        <f>SUMIF(母公司汇总抵销!$E$5:$E$65538,IF(OR(MID(TRIM($A30),2,1)="：",MID(TRIM($A30),2,1)="、"),REPLACEB(TRIM($A30),1,4,""),TRIM($A30)),母公司汇总抵销!$J$5:$J$65538)</f>
        <v>0</v>
      </c>
      <c r="D30" s="236">
        <f>SUMIF(母公司汇总抵销!$H$5:$H$65538,IF(OR(MID(TRIM($A30),2,1)="：",MID(TRIM($A30),2,1)="、"),REPLACEB(TRIM($A30),1,4,""),TRIM($A30)),母公司汇总抵销!$J$5:$J$65538)</f>
        <v>0</v>
      </c>
      <c r="E30" s="236">
        <f>SUMIF(母公司账项调整!$E$5:$E$65536,IF(OR(MID(TRIM($A30),2,1)="：",MID(TRIM($A30),2,1)="、"),REPLACEB(TRIM($A30),1,4,""),TRIM($A30)),母公司账项调整!$J$5:$J$65536)</f>
        <v>0</v>
      </c>
      <c r="F30" s="236">
        <f>SUMIF(母公司账项调整!$H$5:$H$65536,IF(OR(MID(TRIM($A30),2,1)="：",MID(TRIM($A30),2,1)="、"),REPLACEB(TRIM($A30),1,4,""),TRIM($A30)),母公司账项调整!$J$5:$J$65536)</f>
        <v>0</v>
      </c>
      <c r="G30" s="236">
        <f>SUMIF(母公司报表调整!$E$5:$E$65536,IF(OR(MID(TRIM($A30),2,1)="：",MID(TRIM($A30),2,1)="、"),REPLACEB(TRIM($A30),1,4,""),TRIM($A30)),母公司报表调整!$J$5:$J$65536)</f>
        <v>0</v>
      </c>
      <c r="H30" s="236">
        <f>SUMIF(母公司报表调整!$H$5:$H$65536,IF(OR(MID(TRIM($A30),2,1)="：",MID(TRIM($A30),2,1)="、"),REPLACEB(TRIM($A30),1,4,""),TRIM($A30)),母公司报表调整!$J$5:$J$65536)</f>
        <v>0</v>
      </c>
      <c r="I30" s="236">
        <f t="shared" si="0"/>
        <v>0</v>
      </c>
      <c r="J30" s="236"/>
      <c r="K30" s="237">
        <f t="shared" si="3"/>
        <v>0</v>
      </c>
    </row>
    <row r="31" spans="1:11" ht="14.45" customHeight="1">
      <c r="A31" s="926" t="str">
        <f>报表格式!G30</f>
        <v>其他流动负债</v>
      </c>
      <c r="B31" s="236">
        <f>母公司BS汇总!B86</f>
        <v>0</v>
      </c>
      <c r="C31" s="236">
        <f>SUMIF(母公司汇总抵销!$E$5:$E$65538,IF(OR(MID(TRIM($A31),2,1)="：",MID(TRIM($A31),2,1)="、"),REPLACEB(TRIM($A31),1,4,""),TRIM($A31)),母公司汇总抵销!$J$5:$J$65538)</f>
        <v>0</v>
      </c>
      <c r="D31" s="236">
        <f>SUMIF(母公司汇总抵销!$H$5:$H$65538,IF(OR(MID(TRIM($A31),2,1)="：",MID(TRIM($A31),2,1)="、"),REPLACEB(TRIM($A31),1,4,""),TRIM($A31)),母公司汇总抵销!$J$5:$J$65538)</f>
        <v>0</v>
      </c>
      <c r="E31" s="236">
        <f>SUMIF(母公司账项调整!$E$5:$E$65536,IF(OR(MID(TRIM($A31),2,1)="：",MID(TRIM($A31),2,1)="、"),REPLACEB(TRIM($A31),1,4,""),TRIM($A31)),母公司账项调整!$J$5:$J$65536)</f>
        <v>0</v>
      </c>
      <c r="F31" s="236">
        <f>SUMIF(母公司账项调整!$H$5:$H$65536,IF(OR(MID(TRIM($A31),2,1)="：",MID(TRIM($A31),2,1)="、"),REPLACEB(TRIM($A31),1,4,""),TRIM($A31)),母公司账项调整!$J$5:$J$65536)</f>
        <v>0</v>
      </c>
      <c r="G31" s="236">
        <f>SUMIF(母公司报表调整!$E$5:$E$65536,IF(OR(MID(TRIM($A31),2,1)="：",MID(TRIM($A31),2,1)="、"),REPLACEB(TRIM($A31),1,4,""),TRIM($A31)),母公司报表调整!$J$5:$J$65536)</f>
        <v>0</v>
      </c>
      <c r="H31" s="236">
        <f>SUMIF(母公司报表调整!$H$5:$H$65536,IF(OR(MID(TRIM($A31),2,1)="：",MID(TRIM($A31),2,1)="、"),REPLACEB(TRIM($A31),1,4,""),TRIM($A31)),母公司报表调整!$J$5:$J$65536)</f>
        <v>0</v>
      </c>
      <c r="I31" s="236">
        <f t="shared" si="0"/>
        <v>0</v>
      </c>
      <c r="J31" s="236"/>
      <c r="K31" s="237">
        <f t="shared" si="3"/>
        <v>0</v>
      </c>
    </row>
    <row r="32" spans="1:11" s="647" customFormat="1" ht="14.45" customHeight="1">
      <c r="A32" s="927" t="str">
        <f>报表格式!G31</f>
        <v>流动负债合计</v>
      </c>
      <c r="B32" s="242">
        <f>SUM(B7:B31)-B23-B24</f>
        <v>0</v>
      </c>
      <c r="C32" s="242">
        <f t="shared" ref="C32:H32" si="9">SUM(C7:C31)-C23-C24</f>
        <v>0</v>
      </c>
      <c r="D32" s="242">
        <f t="shared" si="9"/>
        <v>0</v>
      </c>
      <c r="E32" s="242">
        <f t="shared" si="9"/>
        <v>0</v>
      </c>
      <c r="F32" s="242">
        <f t="shared" si="9"/>
        <v>0</v>
      </c>
      <c r="G32" s="242">
        <f t="shared" si="9"/>
        <v>0</v>
      </c>
      <c r="H32" s="242">
        <f t="shared" si="9"/>
        <v>0</v>
      </c>
      <c r="I32" s="242">
        <f t="shared" si="0"/>
        <v>0</v>
      </c>
      <c r="J32" s="242">
        <f t="shared" ref="J32" si="10">SUM(J7:J31)-J23-J24</f>
        <v>0</v>
      </c>
      <c r="K32" s="242">
        <f t="shared" ref="K32" si="11">SUM(K7:K31)-K23-K24</f>
        <v>0</v>
      </c>
    </row>
    <row r="33" spans="1:11" s="647" customFormat="1" ht="14.45" customHeight="1">
      <c r="A33" s="928" t="str">
        <f>报表格式!G32</f>
        <v>非流动负债:</v>
      </c>
      <c r="B33" s="242"/>
      <c r="C33" s="242"/>
      <c r="D33" s="242"/>
      <c r="E33" s="242"/>
      <c r="F33" s="242"/>
      <c r="G33" s="242"/>
      <c r="H33" s="242"/>
      <c r="I33" s="242"/>
      <c r="J33" s="242"/>
      <c r="K33" s="243"/>
    </row>
    <row r="34" spans="1:11" ht="14.45" customHeight="1">
      <c r="A34" s="926" t="str">
        <f>报表格式!G33</f>
        <v>长期借款</v>
      </c>
      <c r="B34" s="236">
        <f>母公司BS汇总!B89</f>
        <v>0</v>
      </c>
      <c r="C34" s="236">
        <f>SUMIF(母公司汇总抵销!$E$5:$E$65538,IF(OR(MID(TRIM($A34),2,1)="：",MID(TRIM($A34),2,1)="、"),REPLACEB(TRIM($A34),1,4,""),TRIM($A34)),母公司汇总抵销!$J$5:$J$65538)</f>
        <v>0</v>
      </c>
      <c r="D34" s="236">
        <f>SUMIF(母公司汇总抵销!$H$5:$H$65538,IF(OR(MID(TRIM($A34),2,1)="：",MID(TRIM($A34),2,1)="、"),REPLACEB(TRIM($A34),1,4,""),TRIM($A34)),母公司汇总抵销!$J$5:$J$65538)</f>
        <v>0</v>
      </c>
      <c r="E34" s="236">
        <f>SUMIF(母公司账项调整!$E$5:$E$65536,IF(OR(MID(TRIM($A34),2,1)="：",MID(TRIM($A34),2,1)="、"),REPLACEB(TRIM($A34),1,4,""),TRIM($A34)),母公司账项调整!$J$5:$J$65536)</f>
        <v>0</v>
      </c>
      <c r="F34" s="236">
        <f>SUMIF(母公司账项调整!$H$5:$H$65536,IF(OR(MID(TRIM($A34),2,1)="：",MID(TRIM($A34),2,1)="、"),REPLACEB(TRIM($A34),1,4,""),TRIM($A34)),母公司账项调整!$J$5:$J$65536)</f>
        <v>0</v>
      </c>
      <c r="G34" s="236">
        <f>SUMIF(母公司报表调整!$E$5:$E$65536,IF(OR(MID(TRIM($A34),2,1)="：",MID(TRIM($A34),2,1)="、"),REPLACEB(TRIM($A34),1,4,""),TRIM($A34)),母公司报表调整!$J$5:$J$65536)</f>
        <v>0</v>
      </c>
      <c r="H34" s="236">
        <f>SUMIF(母公司报表调整!$H$5:$H$65536,IF(OR(MID(TRIM($A34),2,1)="：",MID(TRIM($A34),2,1)="、"),REPLACEB(TRIM($A34),1,4,""),TRIM($A34)),母公司报表调整!$J$5:$J$65536)</f>
        <v>0</v>
      </c>
      <c r="I34" s="236">
        <f t="shared" ref="I34:I44" si="12">B34-E34-G34+F34+H34-C34+D34</f>
        <v>0</v>
      </c>
      <c r="J34" s="236"/>
      <c r="K34" s="237">
        <f t="shared" si="3"/>
        <v>0</v>
      </c>
    </row>
    <row r="35" spans="1:11" ht="14.45" customHeight="1">
      <c r="A35" s="926" t="str">
        <f>报表格式!G34</f>
        <v>应付债券</v>
      </c>
      <c r="B35" s="236">
        <f>母公司BS汇总!B90</f>
        <v>0</v>
      </c>
      <c r="C35" s="236">
        <f>SUMIF(母公司汇总抵销!$E$5:$E$65538,IF(OR(MID(TRIM($A35),2,1)="：",MID(TRIM($A35),2,1)="、"),REPLACEB(TRIM($A35),1,4,""),TRIM($A35)),母公司汇总抵销!$J$5:$J$65538)</f>
        <v>0</v>
      </c>
      <c r="D35" s="236">
        <f>SUMIF(母公司汇总抵销!$H$5:$H$65538,IF(OR(MID(TRIM($A35),2,1)="：",MID(TRIM($A35),2,1)="、"),REPLACEB(TRIM($A35),1,4,""),TRIM($A35)),母公司汇总抵销!$J$5:$J$65538)</f>
        <v>0</v>
      </c>
      <c r="E35" s="236">
        <f>SUMIF(母公司账项调整!$E$5:$E$65536,IF(OR(MID(TRIM($A35),2,1)="：",MID(TRIM($A35),2,1)="、"),REPLACEB(TRIM($A35),1,4,""),TRIM($A35)),母公司账项调整!$J$5:$J$65536)</f>
        <v>0</v>
      </c>
      <c r="F35" s="236">
        <f>SUMIF(母公司账项调整!$H$5:$H$65536,IF(OR(MID(TRIM($A35),2,1)="：",MID(TRIM($A35),2,1)="、"),REPLACEB(TRIM($A35),1,4,""),TRIM($A35)),母公司账项调整!$J$5:$J$65536)</f>
        <v>0</v>
      </c>
      <c r="G35" s="236">
        <f>SUMIF(母公司报表调整!$E$5:$E$65536,IF(OR(MID(TRIM($A35),2,1)="：",MID(TRIM($A35),2,1)="、"),REPLACEB(TRIM($A35),1,4,""),TRIM($A35)),母公司报表调整!$J$5:$J$65536)</f>
        <v>0</v>
      </c>
      <c r="H35" s="236">
        <f>SUMIF(母公司报表调整!$H$5:$H$65536,IF(OR(MID(TRIM($A35),2,1)="：",MID(TRIM($A35),2,1)="、"),REPLACEB(TRIM($A35),1,4,""),TRIM($A35)),母公司报表调整!$J$5:$J$65536)</f>
        <v>0</v>
      </c>
      <c r="I35" s="236">
        <f t="shared" si="12"/>
        <v>0</v>
      </c>
      <c r="J35" s="236"/>
      <c r="K35" s="237">
        <f t="shared" si="3"/>
        <v>0</v>
      </c>
    </row>
    <row r="36" spans="1:11" ht="14.45" customHeight="1">
      <c r="A36" s="926" t="str">
        <f>报表格式!G35</f>
        <v xml:space="preserve">  其中：优先股</v>
      </c>
      <c r="B36" s="236">
        <f>母公司BS汇总!B91</f>
        <v>0</v>
      </c>
      <c r="C36" s="814">
        <f>SUMIF(母公司汇总抵销!$F$5:$F$65538,IF(OR(MID(TRIM($A36),3,1)="：",MID(TRIM($A36),2,1)="、"),REPLACEB(TRIM($A36),1,6,""),TRIM($A36)),母公司汇总抵销!$J$5:$J$65538)</f>
        <v>0</v>
      </c>
      <c r="D36" s="814">
        <f>SUMIF(母公司汇总抵销!$I$5:$I$65538,IF(OR(MID(TRIM($A36),3,1)="：",MID(TRIM($A36),2,1)="、"),REPLACEB(TRIM($A36),1,6,""),TRIM($A36)),母公司汇总抵销!$J$5:$J$65538)</f>
        <v>0</v>
      </c>
      <c r="E36" s="814">
        <f>SUMIF(母公司账项调整!$F$5:$F$65536,IF(OR(MID(TRIM($A36),3,1)="：",MID(TRIM($A36),2,1)="、"),REPLACEB(TRIM($A36),1,6,""),TRIM($A36)),母公司账项调整!$J$5:$J$65536)</f>
        <v>0</v>
      </c>
      <c r="F36" s="814">
        <f>SUMIF(母公司账项调整!$I$5:$I$65536,IF(OR(MID(TRIM($A36),3,1)="：",MID(TRIM($A36),2,1)="、"),REPLACEB(TRIM($A36),1,6,""),TRIM($A36)),母公司账项调整!$J$5:$J$65536)</f>
        <v>0</v>
      </c>
      <c r="G36" s="814">
        <f>SUMIF(母公司报表调整!$F$5:$F$65536,IF(OR(MID(TRIM($A36),3,1)="：",MID(TRIM($A36),2,1)="、"),REPLACEB(TRIM($A36),1,6,""),TRIM($A36)),母公司报表调整!$J$5:$J$65536)</f>
        <v>0</v>
      </c>
      <c r="H36" s="814">
        <f>SUMIF(母公司报表调整!$I$5:$I$65536,IF(OR(MID(TRIM($A36),3,1)="：",MID(TRIM($A36),2,1)="、"),REPLACEB(TRIM($A36),1,6,""),TRIM($A36)),母公司报表调整!$J$5:$J$65536)</f>
        <v>0</v>
      </c>
      <c r="I36" s="236">
        <f t="shared" si="12"/>
        <v>0</v>
      </c>
      <c r="J36" s="236"/>
      <c r="K36" s="237">
        <f>SUM(I36:J36)</f>
        <v>0</v>
      </c>
    </row>
    <row r="37" spans="1:11" ht="14.45" customHeight="1">
      <c r="A37" s="926" t="str">
        <f>报表格式!G36</f>
        <v xml:space="preserve">        永续债</v>
      </c>
      <c r="B37" s="236">
        <f>母公司BS汇总!B92</f>
        <v>0</v>
      </c>
      <c r="C37" s="236">
        <f>SUMIF(母公司汇总抵销!$F$5:$F$65538,IF(OR(MID(TRIM($A37),2,1)="：",MID(TRIM($A37),2,1)="、"),REPLACEB(TRIM($A37),1,4,""),TRIM($A37)),母公司汇总抵销!$J$5:$J$65538)</f>
        <v>0</v>
      </c>
      <c r="D37" s="236">
        <f>SUMIF(母公司汇总抵销!$I$5:$I$65538,IF(OR(MID(TRIM($A37),2,1)="：",MID(TRIM($A37),2,1)="、"),REPLACEB(TRIM($A37),1,4,""),TRIM($A37)),母公司汇总抵销!$J$5:$J$65538)</f>
        <v>0</v>
      </c>
      <c r="E37" s="236">
        <f>SUMIF(母公司账项调整!$F$5:$F$65536,IF(OR(MID(TRIM($A37),2,1)="：",MID(TRIM($A37),2,1)="、"),REPLACEB(TRIM($A37),1,4,""),TRIM($A37)),母公司账项调整!$J$5:$J$65536)</f>
        <v>0</v>
      </c>
      <c r="F37" s="236">
        <f>SUMIF(母公司账项调整!$I$5:$I$65536,IF(OR(MID(TRIM($A37),2,1)="：",MID(TRIM($A37),2,1)="、"),REPLACEB(TRIM($A37),1,4,""),TRIM($A37)),母公司账项调整!$J$5:$J$65536)</f>
        <v>0</v>
      </c>
      <c r="G37" s="236">
        <f>SUMIF(母公司报表调整!$F$5:$F$65536,IF(OR(MID(TRIM($A37),2,1)="：",MID(TRIM($A37),2,1)="、"),REPLACEB(TRIM($A37),1,4,""),TRIM($A37)),母公司报表调整!$J$5:$J$65536)</f>
        <v>0</v>
      </c>
      <c r="H37" s="236">
        <f>SUMIF(母公司报表调整!$I$5:$I$65536,IF(OR(MID(TRIM($A37),2,1)="：",MID(TRIM($A37),2,1)="、"),REPLACEB(TRIM($A37),1,4,""),TRIM($A37)),母公司报表调整!$J$5:$J$65536)</f>
        <v>0</v>
      </c>
      <c r="I37" s="236">
        <f t="shared" si="12"/>
        <v>0</v>
      </c>
      <c r="J37" s="236"/>
      <c r="K37" s="237">
        <f>SUM(I37:J37)</f>
        <v>0</v>
      </c>
    </row>
    <row r="38" spans="1:11" ht="14.45" customHeight="1">
      <c r="A38" s="926" t="str">
        <f>报表格式!G37</f>
        <v>租赁负债</v>
      </c>
      <c r="B38" s="236">
        <f>母公司BS汇总!B93</f>
        <v>0</v>
      </c>
      <c r="C38" s="236">
        <f>SUMIF(母公司汇总抵销!$E$5:$E$65538,IF(OR(MID(TRIM($A38),2,1)="：",MID(TRIM($A38),2,1)="、"),REPLACEB(TRIM($A38),1,4,""),TRIM($A38)),母公司汇总抵销!$J$5:$J$65538)</f>
        <v>0</v>
      </c>
      <c r="D38" s="236">
        <f>SUMIF(母公司汇总抵销!$H$5:$H$65538,IF(OR(MID(TRIM($A38),2,1)="：",MID(TRIM($A38),2,1)="、"),REPLACEB(TRIM($A38),1,4,""),TRIM($A38)),母公司汇总抵销!$J$5:$J$65538)</f>
        <v>0</v>
      </c>
      <c r="E38" s="236">
        <f>SUMIF(母公司账项调整!$E$5:$E$65536,IF(OR(MID(TRIM($A38),2,1)="：",MID(TRIM($A38),2,1)="、"),REPLACEB(TRIM($A38),1,4,""),TRIM($A38)),母公司账项调整!$J$5:$J$65536)</f>
        <v>0</v>
      </c>
      <c r="F38" s="236">
        <f>SUMIF(母公司账项调整!$H$5:$H$65536,IF(OR(MID(TRIM($A38),2,1)="：",MID(TRIM($A38),2,1)="、"),REPLACEB(TRIM($A38),1,4,""),TRIM($A38)),母公司账项调整!$J$5:$J$65536)</f>
        <v>0</v>
      </c>
      <c r="G38" s="236">
        <f>SUMIF(母公司报表调整!$E$5:$E$65536,IF(OR(MID(TRIM($A38),2,1)="：",MID(TRIM($A38),2,1)="、"),REPLACEB(TRIM($A38),1,4,""),TRIM($A38)),母公司报表调整!$J$5:$J$65536)</f>
        <v>0</v>
      </c>
      <c r="H38" s="236">
        <f>SUMIF(母公司报表调整!$H$5:$H$65536,IF(OR(MID(TRIM($A38),2,1)="：",MID(TRIM($A38),2,1)="、"),REPLACEB(TRIM($A38),1,4,""),TRIM($A38)),母公司报表调整!$J$5:$J$65536)</f>
        <v>0</v>
      </c>
      <c r="I38" s="236">
        <f t="shared" ref="I38" si="13">B38-E38-G38+F38+H38-C38+D38</f>
        <v>0</v>
      </c>
      <c r="J38" s="236"/>
      <c r="K38" s="237">
        <f t="shared" si="3"/>
        <v>0</v>
      </c>
    </row>
    <row r="39" spans="1:11" ht="14.45" customHeight="1">
      <c r="A39" s="926" t="str">
        <f>报表格式!G38</f>
        <v>长期应付款</v>
      </c>
      <c r="B39" s="236">
        <f>母公司BS汇总!B94</f>
        <v>0</v>
      </c>
      <c r="C39" s="236">
        <f>SUMIF(母公司汇总抵销!$E$5:$E$65538,IF(OR(MID(TRIM($A39),2,1)="：",MID(TRIM($A39),2,1)="、"),REPLACEB(TRIM($A39),1,4,""),TRIM($A39)),母公司汇总抵销!$J$5:$J$65538)</f>
        <v>0</v>
      </c>
      <c r="D39" s="236">
        <f>SUMIF(母公司汇总抵销!$H$5:$H$65538,IF(OR(MID(TRIM($A39),2,1)="：",MID(TRIM($A39),2,1)="、"),REPLACEB(TRIM($A39),1,4,""),TRIM($A39)),母公司汇总抵销!$J$5:$J$65538)</f>
        <v>0</v>
      </c>
      <c r="E39" s="236">
        <f>SUMIF(母公司账项调整!$E$5:$E$65536,IF(OR(MID(TRIM($A39),2,1)="：",MID(TRIM($A39),2,1)="、"),REPLACEB(TRIM($A39),1,4,""),TRIM($A39)),母公司账项调整!$J$5:$J$65536)</f>
        <v>0</v>
      </c>
      <c r="F39" s="236">
        <f>SUMIF(母公司账项调整!$H$5:$H$65536,IF(OR(MID(TRIM($A39),2,1)="：",MID(TRIM($A39),2,1)="、"),REPLACEB(TRIM($A39),1,4,""),TRIM($A39)),母公司账项调整!$J$5:$J$65536)</f>
        <v>0</v>
      </c>
      <c r="G39" s="236">
        <f>SUMIF(母公司报表调整!$E$5:$E$65536,IF(OR(MID(TRIM($A39),2,1)="：",MID(TRIM($A39),2,1)="、"),REPLACEB(TRIM($A39),1,4,""),TRIM($A39)),母公司报表调整!$J$5:$J$65536)</f>
        <v>0</v>
      </c>
      <c r="H39" s="236">
        <f>SUMIF(母公司报表调整!$H$5:$H$65536,IF(OR(MID(TRIM($A39),2,1)="：",MID(TRIM($A39),2,1)="、"),REPLACEB(TRIM($A39),1,4,""),TRIM($A39)),母公司报表调整!$J$5:$J$65536)</f>
        <v>0</v>
      </c>
      <c r="I39" s="236">
        <f t="shared" si="12"/>
        <v>0</v>
      </c>
      <c r="J39" s="236"/>
      <c r="K39" s="237">
        <f t="shared" si="3"/>
        <v>0</v>
      </c>
    </row>
    <row r="40" spans="1:11" ht="14.45" customHeight="1">
      <c r="A40" s="926" t="str">
        <f>报表格式!G39</f>
        <v>长期应付职工薪酬</v>
      </c>
      <c r="B40" s="236">
        <f>母公司BS汇总!B95</f>
        <v>0</v>
      </c>
      <c r="C40" s="236">
        <f>SUMIF(母公司汇总抵销!$E$5:$E$65538,IF(OR(MID(TRIM($A40),2,1)="：",MID(TRIM($A40),2,1)="、"),REPLACEB(TRIM($A40),1,4,""),TRIM($A40)),母公司汇总抵销!$J$5:$J$65538)</f>
        <v>0</v>
      </c>
      <c r="D40" s="236">
        <f>SUMIF(母公司汇总抵销!$H$5:$H$65538,IF(OR(MID(TRIM($A40),2,1)="：",MID(TRIM($A40),2,1)="、"),REPLACEB(TRIM($A40),1,4,""),TRIM($A40)),母公司汇总抵销!$J$5:$J$65538)</f>
        <v>0</v>
      </c>
      <c r="E40" s="236">
        <f>SUMIF(母公司账项调整!$E$5:$E$65536,IF(OR(MID(TRIM($A40),2,1)="：",MID(TRIM($A40),2,1)="、"),REPLACEB(TRIM($A40),1,4,""),TRIM($A40)),母公司账项调整!$J$5:$J$65536)</f>
        <v>0</v>
      </c>
      <c r="F40" s="236">
        <f>SUMIF(母公司账项调整!$H$5:$H$65536,IF(OR(MID(TRIM($A40),2,1)="：",MID(TRIM($A40),2,1)="、"),REPLACEB(TRIM($A40),1,4,""),TRIM($A40)),母公司账项调整!$J$5:$J$65536)</f>
        <v>0</v>
      </c>
      <c r="G40" s="236">
        <f>SUMIF(母公司报表调整!$E$5:$E$65536,IF(OR(MID(TRIM($A40),2,1)="：",MID(TRIM($A40),2,1)="、"),REPLACEB(TRIM($A40),1,4,""),TRIM($A40)),母公司报表调整!$J$5:$J$65536)</f>
        <v>0</v>
      </c>
      <c r="H40" s="236">
        <f>SUMIF(母公司报表调整!$H$5:$H$65536,IF(OR(MID(TRIM($A40),2,1)="：",MID(TRIM($A40),2,1)="、"),REPLACEB(TRIM($A40),1,4,""),TRIM($A40)),母公司报表调整!$J$5:$J$65536)</f>
        <v>0</v>
      </c>
      <c r="I40" s="236">
        <f t="shared" si="12"/>
        <v>0</v>
      </c>
      <c r="J40" s="236"/>
      <c r="K40" s="237">
        <f>SUM(I40:J40)</f>
        <v>0</v>
      </c>
    </row>
    <row r="41" spans="1:11" ht="14.45" customHeight="1">
      <c r="A41" s="926" t="str">
        <f>报表格式!G40</f>
        <v>预计负债</v>
      </c>
      <c r="B41" s="236">
        <f>母公司BS汇总!B96</f>
        <v>0</v>
      </c>
      <c r="C41" s="236">
        <f>SUMIF(母公司汇总抵销!$E$5:$E$65538,IF(OR(MID(TRIM($A41),2,1)="：",MID(TRIM($A41),2,1)="、"),REPLACEB(TRIM($A41),1,4,""),TRIM($A41)),母公司汇总抵销!$J$5:$J$65538)</f>
        <v>0</v>
      </c>
      <c r="D41" s="236">
        <f>SUMIF(母公司汇总抵销!$H$5:$H$65538,IF(OR(MID(TRIM($A41),2,1)="：",MID(TRIM($A41),2,1)="、"),REPLACEB(TRIM($A41),1,4,""),TRIM($A41)),母公司汇总抵销!$J$5:$J$65538)</f>
        <v>0</v>
      </c>
      <c r="E41" s="236">
        <f>SUMIF(母公司账项调整!$E$5:$E$65536,IF(OR(MID(TRIM($A41),2,1)="：",MID(TRIM($A41),2,1)="、"),REPLACEB(TRIM($A41),1,4,""),TRIM($A41)),母公司账项调整!$J$5:$J$65536)</f>
        <v>0</v>
      </c>
      <c r="F41" s="236">
        <f>SUMIF(母公司账项调整!$H$5:$H$65536,IF(OR(MID(TRIM($A41),2,1)="：",MID(TRIM($A41),2,1)="、"),REPLACEB(TRIM($A41),1,4,""),TRIM($A41)),母公司账项调整!$J$5:$J$65536)</f>
        <v>0</v>
      </c>
      <c r="G41" s="236">
        <f>SUMIF(母公司报表调整!$E$5:$E$65536,IF(OR(MID(TRIM($A41),2,1)="：",MID(TRIM($A41),2,1)="、"),REPLACEB(TRIM($A41),1,4,""),TRIM($A41)),母公司报表调整!$J$5:$J$65536)</f>
        <v>0</v>
      </c>
      <c r="H41" s="236">
        <f>SUMIF(母公司报表调整!$H$5:$H$65536,IF(OR(MID(TRIM($A41),2,1)="：",MID(TRIM($A41),2,1)="、"),REPLACEB(TRIM($A41),1,4,""),TRIM($A41)),母公司报表调整!$J$5:$J$65536)</f>
        <v>0</v>
      </c>
      <c r="I41" s="236">
        <f t="shared" si="12"/>
        <v>0</v>
      </c>
      <c r="J41" s="236"/>
      <c r="K41" s="237">
        <f t="shared" si="3"/>
        <v>0</v>
      </c>
    </row>
    <row r="42" spans="1:11" ht="14.45" customHeight="1">
      <c r="A42" s="926" t="str">
        <f>报表格式!G41</f>
        <v>递延收益</v>
      </c>
      <c r="B42" s="236">
        <f>母公司BS汇总!B97</f>
        <v>0</v>
      </c>
      <c r="C42" s="236">
        <f>SUMIF(母公司汇总抵销!$E$5:$E$65538,IF(OR(MID(TRIM($A42),2,1)="：",MID(TRIM($A42),2,1)="、"),REPLACEB(TRIM($A42),1,4,""),TRIM($A42)),母公司汇总抵销!$J$5:$J$65538)</f>
        <v>0</v>
      </c>
      <c r="D42" s="236">
        <f>SUMIF(母公司汇总抵销!$H$5:$H$65538,IF(OR(MID(TRIM($A42),2,1)="：",MID(TRIM($A42),2,1)="、"),REPLACEB(TRIM($A42),1,4,""),TRIM($A42)),母公司汇总抵销!$J$5:$J$65538)</f>
        <v>0</v>
      </c>
      <c r="E42" s="236">
        <f>SUMIF(母公司账项调整!$E$5:$E$65536,IF(OR(MID(TRIM($A42),2,1)="：",MID(TRIM($A42),2,1)="、"),REPLACEB(TRIM($A42),1,4,""),TRIM($A42)),母公司账项调整!$J$5:$J$65536)</f>
        <v>0</v>
      </c>
      <c r="F42" s="236">
        <f>SUMIF(母公司账项调整!$H$5:$H$65536,IF(OR(MID(TRIM($A42),2,1)="：",MID(TRIM($A42),2,1)="、"),REPLACEB(TRIM($A42),1,4,""),TRIM($A42)),母公司账项调整!$J$5:$J$65536)</f>
        <v>0</v>
      </c>
      <c r="G42" s="236">
        <f>SUMIF(母公司报表调整!$E$5:$E$65536,IF(OR(MID(TRIM($A42),2,1)="：",MID(TRIM($A42),2,1)="、"),REPLACEB(TRIM($A42),1,4,""),TRIM($A42)),母公司报表调整!$J$5:$J$65536)</f>
        <v>0</v>
      </c>
      <c r="H42" s="236">
        <f>SUMIF(母公司报表调整!$H$5:$H$65536,IF(OR(MID(TRIM($A42),2,1)="：",MID(TRIM($A42),2,1)="、"),REPLACEB(TRIM($A42),1,4,""),TRIM($A42)),母公司报表调整!$J$5:$J$65536)</f>
        <v>0</v>
      </c>
      <c r="I42" s="236">
        <f t="shared" si="12"/>
        <v>0</v>
      </c>
      <c r="J42" s="236"/>
      <c r="K42" s="237">
        <f>SUM(I42:J42)</f>
        <v>0</v>
      </c>
    </row>
    <row r="43" spans="1:11" ht="14.45" customHeight="1">
      <c r="A43" s="926" t="str">
        <f>报表格式!G42</f>
        <v>递延所得税负债</v>
      </c>
      <c r="B43" s="236">
        <f>母公司BS汇总!B98</f>
        <v>0</v>
      </c>
      <c r="C43" s="236">
        <f>SUMIF(母公司汇总抵销!$E$5:$E$65538,IF(OR(MID(TRIM($A43),2,1)="：",MID(TRIM($A43),2,1)="、"),REPLACEB(TRIM($A43),1,4,""),TRIM($A43)),母公司汇总抵销!$J$5:$J$65538)</f>
        <v>0</v>
      </c>
      <c r="D43" s="236">
        <f>SUMIF(母公司汇总抵销!$H$5:$H$65538,IF(OR(MID(TRIM($A43),2,1)="：",MID(TRIM($A43),2,1)="、"),REPLACEB(TRIM($A43),1,4,""),TRIM($A43)),母公司汇总抵销!$J$5:$J$65538)</f>
        <v>0</v>
      </c>
      <c r="E43" s="236">
        <f>SUMIF(母公司账项调整!$E$5:$E$65536,IF(OR(MID(TRIM($A43),2,1)="：",MID(TRIM($A43),2,1)="、"),REPLACEB(TRIM($A43),1,4,""),TRIM($A43)),母公司账项调整!$J$5:$J$65536)</f>
        <v>0</v>
      </c>
      <c r="F43" s="236">
        <f>SUMIF(母公司账项调整!$H$5:$H$65536,IF(OR(MID(TRIM($A43),2,1)="：",MID(TRIM($A43),2,1)="、"),REPLACEB(TRIM($A43),1,4,""),TRIM($A43)),母公司账项调整!$J$5:$J$65536)</f>
        <v>0</v>
      </c>
      <c r="G43" s="236">
        <f>SUMIF(母公司报表调整!$E$5:$E$65536,IF(OR(MID(TRIM($A43),2,1)="：",MID(TRIM($A43),2,1)="、"),REPLACEB(TRIM($A43),1,4,""),TRIM($A43)),母公司报表调整!$J$5:$J$65536)</f>
        <v>0</v>
      </c>
      <c r="H43" s="236">
        <f>SUMIF(母公司报表调整!$H$5:$H$65536,IF(OR(MID(TRIM($A43),2,1)="：",MID(TRIM($A43),2,1)="、"),REPLACEB(TRIM($A43),1,4,""),TRIM($A43)),母公司报表调整!$J$5:$J$65536)</f>
        <v>0</v>
      </c>
      <c r="I43" s="236">
        <f t="shared" si="12"/>
        <v>0</v>
      </c>
      <c r="J43" s="236"/>
      <c r="K43" s="237">
        <f t="shared" si="3"/>
        <v>0</v>
      </c>
    </row>
    <row r="44" spans="1:11" ht="14.45" customHeight="1">
      <c r="A44" s="926" t="str">
        <f>报表格式!G43</f>
        <v>其他非流动负债</v>
      </c>
      <c r="B44" s="236">
        <f>母公司BS汇总!B99</f>
        <v>0</v>
      </c>
      <c r="C44" s="236">
        <f>SUMIF(母公司汇总抵销!$E$5:$E$65538,IF(OR(MID(TRIM($A44),2,1)="：",MID(TRIM($A44),2,1)="、"),REPLACEB(TRIM($A44),1,4,""),TRIM($A44)),母公司汇总抵销!$J$5:$J$65538)</f>
        <v>0</v>
      </c>
      <c r="D44" s="236">
        <f>SUMIF(母公司汇总抵销!$H$5:$H$65538,IF(OR(MID(TRIM($A44),2,1)="：",MID(TRIM($A44),2,1)="、"),REPLACEB(TRIM($A44),1,4,""),TRIM($A44)),母公司汇总抵销!$J$5:$J$65538)</f>
        <v>0</v>
      </c>
      <c r="E44" s="236">
        <f>SUMIF(母公司账项调整!$E$5:$E$65536,IF(OR(MID(TRIM($A44),2,1)="：",MID(TRIM($A44),2,1)="、"),REPLACEB(TRIM($A44),1,4,""),TRIM($A44)),母公司账项调整!$J$5:$J$65536)</f>
        <v>0</v>
      </c>
      <c r="F44" s="236">
        <f>SUMIF(母公司账项调整!$H$5:$H$65536,IF(OR(MID(TRIM($A44),2,1)="：",MID(TRIM($A44),2,1)="、"),REPLACEB(TRIM($A44),1,4,""),TRIM($A44)),母公司账项调整!$J$5:$J$65536)</f>
        <v>0</v>
      </c>
      <c r="G44" s="236">
        <f>SUMIF(母公司报表调整!$E$5:$E$65536,IF(OR(MID(TRIM($A44),2,1)="：",MID(TRIM($A44),2,1)="、"),REPLACEB(TRIM($A44),1,4,""),TRIM($A44)),母公司报表调整!$J$5:$J$65536)</f>
        <v>0</v>
      </c>
      <c r="H44" s="236">
        <f>SUMIF(母公司报表调整!$H$5:$H$65536,IF(OR(MID(TRIM($A44),2,1)="：",MID(TRIM($A44),2,1)="、"),REPLACEB(TRIM($A44),1,4,""),TRIM($A44)),母公司报表调整!$J$5:$J$65536)</f>
        <v>0</v>
      </c>
      <c r="I44" s="236">
        <f t="shared" si="12"/>
        <v>0</v>
      </c>
      <c r="J44" s="236"/>
      <c r="K44" s="237">
        <f t="shared" si="3"/>
        <v>0</v>
      </c>
    </row>
    <row r="45" spans="1:11" s="647" customFormat="1" ht="14.45" customHeight="1">
      <c r="A45" s="927" t="str">
        <f>报表格式!G44</f>
        <v>非流动负债合计</v>
      </c>
      <c r="B45" s="242">
        <f t="shared" ref="B45:J45" si="14">SUM(B34:B44)-B36-B37</f>
        <v>0</v>
      </c>
      <c r="C45" s="242">
        <f t="shared" si="14"/>
        <v>0</v>
      </c>
      <c r="D45" s="242">
        <f t="shared" si="14"/>
        <v>0</v>
      </c>
      <c r="E45" s="242">
        <f t="shared" si="14"/>
        <v>0</v>
      </c>
      <c r="F45" s="242">
        <f t="shared" si="14"/>
        <v>0</v>
      </c>
      <c r="G45" s="242">
        <f t="shared" si="14"/>
        <v>0</v>
      </c>
      <c r="H45" s="242">
        <f t="shared" si="14"/>
        <v>0</v>
      </c>
      <c r="I45" s="242">
        <f t="shared" si="14"/>
        <v>0</v>
      </c>
      <c r="J45" s="242">
        <f t="shared" si="14"/>
        <v>0</v>
      </c>
      <c r="K45" s="243">
        <f t="shared" si="3"/>
        <v>0</v>
      </c>
    </row>
    <row r="46" spans="1:11" s="647" customFormat="1" ht="14.45" customHeight="1">
      <c r="A46" s="927" t="str">
        <f>报表格式!G45</f>
        <v>负 债 合 计</v>
      </c>
      <c r="B46" s="242">
        <f t="shared" ref="B46:J46" si="15">SUM(B32,B45)</f>
        <v>0</v>
      </c>
      <c r="C46" s="242">
        <f t="shared" si="15"/>
        <v>0</v>
      </c>
      <c r="D46" s="242">
        <f t="shared" si="15"/>
        <v>0</v>
      </c>
      <c r="E46" s="242">
        <f t="shared" si="15"/>
        <v>0</v>
      </c>
      <c r="F46" s="242">
        <f t="shared" si="15"/>
        <v>0</v>
      </c>
      <c r="G46" s="242">
        <f t="shared" si="15"/>
        <v>0</v>
      </c>
      <c r="H46" s="242">
        <f t="shared" si="15"/>
        <v>0</v>
      </c>
      <c r="I46" s="242">
        <f t="shared" si="15"/>
        <v>0</v>
      </c>
      <c r="J46" s="242">
        <f t="shared" si="15"/>
        <v>0</v>
      </c>
      <c r="K46" s="243">
        <f t="shared" si="3"/>
        <v>0</v>
      </c>
    </row>
    <row r="47" spans="1:11" s="647" customFormat="1" ht="14.45" customHeight="1">
      <c r="A47" s="928" t="str">
        <f>报表格式!G46</f>
        <v>股东权益：</v>
      </c>
      <c r="B47" s="242"/>
      <c r="C47" s="242"/>
      <c r="D47" s="242"/>
      <c r="E47" s="242"/>
      <c r="F47" s="242"/>
      <c r="G47" s="242"/>
      <c r="H47" s="242"/>
      <c r="I47" s="242"/>
      <c r="J47" s="242"/>
      <c r="K47" s="243"/>
    </row>
    <row r="48" spans="1:11" ht="14.45" customHeight="1">
      <c r="A48" s="926" t="str">
        <f>报表格式!G47</f>
        <v>股本</v>
      </c>
      <c r="B48" s="236">
        <f>母公司BS汇总!B103</f>
        <v>0</v>
      </c>
      <c r="C48" s="236">
        <f>SUMIF(母公司汇总抵销!$E$5:$E$65538,IF(OR(MID(TRIM($A48),2,1)="：",MID(TRIM($A48),2,1)="、"),REPLACEB(TRIM($A48),1,4,""),TRIM($A48)),母公司汇总抵销!$J$5:$J$65538)</f>
        <v>0</v>
      </c>
      <c r="D48" s="236">
        <f>SUMIF(母公司汇总抵销!$H$5:$H$65538,IF(OR(MID(TRIM($A48),2,1)="：",MID(TRIM($A48),2,1)="、"),REPLACEB(TRIM($A48),1,4,""),TRIM($A48)),母公司汇总抵销!$J$5:$J$65538)</f>
        <v>0</v>
      </c>
      <c r="E48" s="236">
        <f>SUMIF(母公司账项调整!$E$5:$E$65536,IF(OR(MID(TRIM($A48),2,1)="：",MID(TRIM($A48),2,1)="、"),REPLACEB(TRIM($A48),1,4,""),TRIM($A48)),母公司账项调整!$J$5:$J$65536)</f>
        <v>0</v>
      </c>
      <c r="F48" s="236">
        <f>SUMIF(母公司账项调整!$H$5:$H$65536,IF(OR(MID(TRIM($A48),2,1)="：",MID(TRIM($A48),2,1)="、"),REPLACEB(TRIM($A48),1,4,""),TRIM($A48)),母公司账项调整!$J$5:$J$65536)</f>
        <v>0</v>
      </c>
      <c r="G48" s="236">
        <f>SUMIF(母公司报表调整!$E$5:$E$65536,IF(OR(MID(TRIM($A48),2,1)="：",MID(TRIM($A48),2,1)="、"),REPLACEB(TRIM($A48),1,4,""),TRIM($A48)),母公司报表调整!$J$5:$J$65536)</f>
        <v>0</v>
      </c>
      <c r="H48" s="236">
        <f>SUMIF(母公司报表调整!$H$5:$H$65536,IF(OR(MID(TRIM($A48),2,1)="：",MID(TRIM($A48),2,1)="、"),REPLACEB(TRIM($A48),1,4,""),TRIM($A48)),母公司报表调整!$J$5:$J$65536)</f>
        <v>0</v>
      </c>
      <c r="I48" s="236">
        <f t="shared" ref="I48:I56" si="16">B48-E48-G48+F48+H48-C48+D48</f>
        <v>0</v>
      </c>
      <c r="J48" s="236"/>
      <c r="K48" s="237">
        <f t="shared" si="3"/>
        <v>0</v>
      </c>
    </row>
    <row r="49" spans="1:11" ht="14.45" customHeight="1">
      <c r="A49" s="926" t="str">
        <f>报表格式!G48</f>
        <v>其他权益工具</v>
      </c>
      <c r="B49" s="236">
        <f>母公司BS汇总!B104</f>
        <v>0</v>
      </c>
      <c r="C49" s="236">
        <f>SUMIF(母公司汇总抵销!$E$5:$E$65538,IF(OR(MID(TRIM($A49),2,1)="：",MID(TRIM($A49),2,1)="、"),REPLACEB(TRIM($A49),1,4,""),TRIM($A49)),母公司汇总抵销!$J$5:$J$65538)</f>
        <v>0</v>
      </c>
      <c r="D49" s="236">
        <f>SUMIF(母公司汇总抵销!$H$5:$H$65538,IF(OR(MID(TRIM($A49),2,1)="：",MID(TRIM($A49),2,1)="、"),REPLACEB(TRIM($A49),1,4,""),TRIM($A49)),母公司汇总抵销!$J$5:$J$65538)</f>
        <v>0</v>
      </c>
      <c r="E49" s="236">
        <f>SUMIF(母公司账项调整!$E$5:$E$65536,IF(OR(MID(TRIM($A49),2,1)="：",MID(TRIM($A49),2,1)="、"),REPLACEB(TRIM($A49),1,4,""),TRIM($A49)),母公司账项调整!$J$5:$J$65536)</f>
        <v>0</v>
      </c>
      <c r="F49" s="236">
        <f>SUMIF(母公司账项调整!$H$5:$H$65536,IF(OR(MID(TRIM($A49),2,1)="：",MID(TRIM($A49),2,1)="、"),REPLACEB(TRIM($A49),1,4,""),TRIM($A49)),母公司账项调整!$J$5:$J$65536)</f>
        <v>0</v>
      </c>
      <c r="G49" s="236">
        <f>SUMIF(母公司报表调整!$E$5:$E$65536,IF(OR(MID(TRIM($A49),2,1)="：",MID(TRIM($A49),2,1)="、"),REPLACEB(TRIM($A49),1,4,""),TRIM($A49)),母公司报表调整!$J$5:$J$65536)</f>
        <v>0</v>
      </c>
      <c r="H49" s="236">
        <f>SUMIF(母公司报表调整!$H$5:$H$65536,IF(OR(MID(TRIM($A49),2,1)="：",MID(TRIM($A49),2,1)="、"),REPLACEB(TRIM($A49),1,4,""),TRIM($A49)),母公司报表调整!$J$5:$J$65536)</f>
        <v>0</v>
      </c>
      <c r="I49" s="236">
        <f t="shared" si="16"/>
        <v>0</v>
      </c>
      <c r="J49" s="236"/>
      <c r="K49" s="237">
        <f>SUM(I49:J49)</f>
        <v>0</v>
      </c>
    </row>
    <row r="50" spans="1:11" ht="14.45" customHeight="1">
      <c r="A50" s="926" t="str">
        <f>报表格式!G49</f>
        <v xml:space="preserve">  其中：优先股</v>
      </c>
      <c r="B50" s="236">
        <f>母公司BS汇总!B105</f>
        <v>0</v>
      </c>
      <c r="C50" s="814">
        <f>SUMIF(母公司汇总抵销!$F$5:$F$65538,IF(OR(MID(TRIM($A50),3,1)="：",MID(TRIM($A50),2,1)="、"),REPLACEB(TRIM($A50),1,6,""),TRIM($A50)),母公司汇总抵销!$J$5:$J$65538)</f>
        <v>0</v>
      </c>
      <c r="D50" s="814">
        <f>SUMIF(母公司汇总抵销!$I$5:$I$65538,IF(OR(MID(TRIM($A50),3,1)="：",MID(TRIM($A50),2,1)="、"),REPLACEB(TRIM($A50),1,6,""),TRIM($A50)),母公司汇总抵销!$J$5:$J$65538)</f>
        <v>0</v>
      </c>
      <c r="E50" s="814">
        <f>SUMIF(母公司账项调整!$F$5:$F$65536,IF(OR(MID(TRIM($A50),3,1)="：",MID(TRIM($A50),2,1)="、"),REPLACEB(TRIM($A50),1,6,""),TRIM($A50)),母公司账项调整!$J$5:$J$65536)</f>
        <v>0</v>
      </c>
      <c r="F50" s="814">
        <f>SUMIF(母公司账项调整!$I$5:$I$65536,IF(OR(MID(TRIM($A50),3,1)="：",MID(TRIM($A50),2,1)="、"),REPLACEB(TRIM($A50),1,6,""),TRIM($A50)),母公司账项调整!$J$5:$J$65536)</f>
        <v>0</v>
      </c>
      <c r="G50" s="814">
        <f>SUMIF(母公司报表调整!$F$5:$F$65536,IF(OR(MID(TRIM($A50),3,1)="：",MID(TRIM($A50),2,1)="、"),REPLACEB(TRIM($A50),1,6,""),TRIM($A50)),母公司报表调整!$J$5:$J$65536)</f>
        <v>0</v>
      </c>
      <c r="H50" s="814">
        <f>SUMIF(母公司报表调整!$I$5:$I$65536,IF(OR(MID(TRIM($A50),3,1)="：",MID(TRIM($A50),2,1)="、"),REPLACEB(TRIM($A50),1,6,""),TRIM($A50)),母公司报表调整!$J$5:$J$65536)</f>
        <v>0</v>
      </c>
      <c r="I50" s="236">
        <f t="shared" si="16"/>
        <v>0</v>
      </c>
      <c r="J50" s="236"/>
      <c r="K50" s="237">
        <f>SUM(I50:J50)</f>
        <v>0</v>
      </c>
    </row>
    <row r="51" spans="1:11" ht="14.45" customHeight="1">
      <c r="A51" s="926" t="str">
        <f>报表格式!G50</f>
        <v xml:space="preserve">        永续债</v>
      </c>
      <c r="B51" s="236">
        <f>母公司BS汇总!B106</f>
        <v>0</v>
      </c>
      <c r="C51" s="236">
        <f>SUMIF(母公司汇总抵销!$F$5:$F$65538,IF(OR(MID(TRIM($A51),2,1)="：",MID(TRIM($A51),2,1)="、"),REPLACEB(TRIM($A51),1,4,""),TRIM($A51)),母公司汇总抵销!$J$5:$J$65538)</f>
        <v>0</v>
      </c>
      <c r="D51" s="236">
        <f>SUMIF(母公司汇总抵销!$I$5:$I$65538,IF(OR(MID(TRIM($A51),2,1)="：",MID(TRIM($A51),2,1)="、"),REPLACEB(TRIM($A51),1,4,""),TRIM($A51)),母公司汇总抵销!$J$5:$J$65538)</f>
        <v>0</v>
      </c>
      <c r="E51" s="236">
        <f>SUMIF(母公司账项调整!$F$5:$F$65536,IF(OR(MID(TRIM($A51),2,1)="：",MID(TRIM($A51),2,1)="、"),REPLACEB(TRIM($A51),1,4,""),TRIM($A51)),母公司账项调整!$J$5:$J$65536)</f>
        <v>0</v>
      </c>
      <c r="F51" s="236">
        <f>SUMIF(母公司账项调整!$I$5:$I$65536,IF(OR(MID(TRIM($A51),2,1)="：",MID(TRIM($A51),2,1)="、"),REPLACEB(TRIM($A51),1,4,""),TRIM($A51)),母公司账项调整!$J$5:$J$65536)</f>
        <v>0</v>
      </c>
      <c r="G51" s="236">
        <f>SUMIF(母公司报表调整!$F$5:$F$65536,IF(OR(MID(TRIM($A51),2,1)="：",MID(TRIM($A51),2,1)="、"),REPLACEB(TRIM($A51),1,4,""),TRIM($A51)),母公司报表调整!$J$5:$J$65536)</f>
        <v>0</v>
      </c>
      <c r="H51" s="236">
        <f>SUMIF(母公司报表调整!$I$5:$I$65536,IF(OR(MID(TRIM($A51),2,1)="：",MID(TRIM($A51),2,1)="、"),REPLACEB(TRIM($A51),1,4,""),TRIM($A51)),母公司报表调整!$J$5:$J$65536)</f>
        <v>0</v>
      </c>
      <c r="I51" s="236">
        <f t="shared" si="16"/>
        <v>0</v>
      </c>
      <c r="J51" s="236"/>
      <c r="K51" s="237">
        <f>SUM(I51:J51)</f>
        <v>0</v>
      </c>
    </row>
    <row r="52" spans="1:11" ht="14.45" customHeight="1">
      <c r="A52" s="926" t="str">
        <f>报表格式!G51</f>
        <v>资本公积</v>
      </c>
      <c r="B52" s="236">
        <f>母公司BS汇总!B107</f>
        <v>0</v>
      </c>
      <c r="C52" s="236">
        <f>SUMIF(母公司汇总抵销!$E$5:$E$65538,IF(OR(MID(TRIM($A52),2,1)="：",MID(TRIM($A52),2,1)="、"),REPLACEB(TRIM($A52),1,4,""),TRIM($A52)),母公司汇总抵销!$J$5:$J$65538)</f>
        <v>0</v>
      </c>
      <c r="D52" s="236">
        <f>SUMIF(母公司汇总抵销!$H$5:$H$65538,IF(OR(MID(TRIM($A52),2,1)="：",MID(TRIM($A52),2,1)="、"),REPLACEB(TRIM($A52),1,4,""),TRIM($A52)),母公司汇总抵销!$J$5:$J$65538)</f>
        <v>0</v>
      </c>
      <c r="E52" s="236">
        <f>SUMIF(母公司账项调整!$E$5:$E$65536,IF(OR(MID(TRIM($A52),2,1)="：",MID(TRIM($A52),2,1)="、"),REPLACEB(TRIM($A52),1,4,""),TRIM($A52)),母公司账项调整!$J$5:$J$65536)</f>
        <v>0</v>
      </c>
      <c r="F52" s="236">
        <f>SUMIF(母公司账项调整!$H$5:$H$65536,IF(OR(MID(TRIM($A52),2,1)="：",MID(TRIM($A52),2,1)="、"),REPLACEB(TRIM($A52),1,4,""),TRIM($A52)),母公司账项调整!$J$5:$J$65536)</f>
        <v>0</v>
      </c>
      <c r="G52" s="236">
        <f>SUMIF(母公司报表调整!$E$5:$E$65536,IF(OR(MID(TRIM($A52),2,1)="：",MID(TRIM($A52),2,1)="、"),REPLACEB(TRIM($A52),1,4,""),TRIM($A52)),母公司报表调整!$J$5:$J$65536)</f>
        <v>0</v>
      </c>
      <c r="H52" s="236">
        <f>SUMIF(母公司报表调整!$H$5:$H$65536,IF(OR(MID(TRIM($A52),2,1)="：",MID(TRIM($A52),2,1)="、"),REPLACEB(TRIM($A52),1,4,""),TRIM($A52)),母公司报表调整!$J$5:$J$65536)</f>
        <v>0</v>
      </c>
      <c r="I52" s="236">
        <f t="shared" si="16"/>
        <v>0</v>
      </c>
      <c r="J52" s="236"/>
      <c r="K52" s="237">
        <f t="shared" si="3"/>
        <v>0</v>
      </c>
    </row>
    <row r="53" spans="1:11" ht="14.45" customHeight="1">
      <c r="A53" s="926" t="str">
        <f>报表格式!G52</f>
        <v>减：库存股</v>
      </c>
      <c r="B53" s="236">
        <f>母公司BS汇总!B108</f>
        <v>0</v>
      </c>
      <c r="C53" s="236">
        <f>SUMIF(母公司汇总抵销!$E$5:$E$65538,IF(OR(MID(TRIM($A53),2,1)="：",MID(TRIM($A53),2,1)="、"),REPLACEB(TRIM($A53),1,4,""),TRIM($A53)),母公司汇总抵销!$J$5:$J$65538)</f>
        <v>0</v>
      </c>
      <c r="D53" s="236">
        <f>SUMIF(母公司汇总抵销!$H$5:$H$65538,IF(OR(MID(TRIM($A53),2,1)="：",MID(TRIM($A53),2,1)="、"),REPLACEB(TRIM($A53),1,4,""),TRIM($A53)),母公司汇总抵销!$J$5:$J$65538)</f>
        <v>0</v>
      </c>
      <c r="E53" s="236">
        <f>SUMIF(母公司账项调整!$E$5:$E$65536,IF(OR(MID(TRIM($A53),2,1)="：",MID(TRIM($A53),2,1)="、"),REPLACEB(TRIM($A53),1,4,""),TRIM($A53)),母公司账项调整!$J$5:$J$65536)</f>
        <v>0</v>
      </c>
      <c r="F53" s="236">
        <f>SUMIF(母公司账项调整!$H$5:$H$65536,IF(OR(MID(TRIM($A53),2,1)="：",MID(TRIM($A53),2,1)="、"),REPLACEB(TRIM($A53),1,4,""),TRIM($A53)),母公司账项调整!$J$5:$J$65536)</f>
        <v>0</v>
      </c>
      <c r="G53" s="236">
        <f>SUMIF(母公司报表调整!$E$5:$E$65536,IF(OR(MID(TRIM($A53),2,1)="：",MID(TRIM($A53),2,1)="、"),REPLACEB(TRIM($A53),1,4,""),TRIM($A53)),母公司报表调整!$J$5:$J$65536)</f>
        <v>0</v>
      </c>
      <c r="H53" s="236">
        <f>SUMIF(母公司报表调整!$H$5:$H$65536,IF(OR(MID(TRIM($A53),2,1)="：",MID(TRIM($A53),2,1)="、"),REPLACEB(TRIM($A53),1,4,""),TRIM($A53)),母公司报表调整!$J$5:$J$65536)</f>
        <v>0</v>
      </c>
      <c r="I53" s="236">
        <f t="shared" si="16"/>
        <v>0</v>
      </c>
      <c r="J53" s="236"/>
      <c r="K53" s="237">
        <f t="shared" si="3"/>
        <v>0</v>
      </c>
    </row>
    <row r="54" spans="1:11" ht="14.45" customHeight="1">
      <c r="A54" s="926" t="str">
        <f>报表格式!G53</f>
        <v>其他综合收益</v>
      </c>
      <c r="B54" s="236">
        <f>母公司BS汇总!B109</f>
        <v>0</v>
      </c>
      <c r="C54" s="236">
        <f>SUMIF(母公司汇总抵销!$E$5:$E$65538,IF(OR(MID(TRIM($A54),2,1)="：",MID(TRIM($A54),2,1)="、"),REPLACEB(TRIM($A54),1,4,""),TRIM($A54)),母公司汇总抵销!$J$5:$J$65538)</f>
        <v>0</v>
      </c>
      <c r="D54" s="236">
        <f>SUMIF(母公司汇总抵销!$H$5:$H$65538,IF(OR(MID(TRIM($A54),2,1)="：",MID(TRIM($A54),2,1)="、"),REPLACEB(TRIM($A54),1,4,""),TRIM($A54)),母公司汇总抵销!$J$5:$J$65538)</f>
        <v>0</v>
      </c>
      <c r="E54" s="236">
        <f>SUMIF(母公司账项调整!$E$5:$E$65536,IF(OR(MID(TRIM($A54),2,1)="：",MID(TRIM($A54),2,1)="、"),REPLACEB(TRIM($A54),1,4,""),TRIM($A54)),母公司账项调整!$J$5:$J$65536)</f>
        <v>0</v>
      </c>
      <c r="F54" s="236">
        <f>SUMIF(母公司账项调整!$H$5:$H$65536,IF(OR(MID(TRIM($A54),2,1)="：",MID(TRIM($A54),2,1)="、"),REPLACEB(TRIM($A54),1,4,""),TRIM($A54)),母公司账项调整!$J$5:$J$65536)</f>
        <v>0</v>
      </c>
      <c r="G54" s="236">
        <f>SUMIF(母公司报表调整!$E$5:$E$65536,IF(OR(MID(TRIM($A54),2,1)="：",MID(TRIM($A54),2,1)="、"),REPLACEB(TRIM($A54),1,4,""),TRIM($A54)),母公司报表调整!$J$5:$J$65536)</f>
        <v>0</v>
      </c>
      <c r="H54" s="236">
        <f>SUMIF(母公司报表调整!$H$5:$H$65536,IF(OR(MID(TRIM($A54),2,1)="：",MID(TRIM($A54),2,1)="、"),REPLACEB(TRIM($A54),1,4,""),TRIM($A54)),母公司报表调整!$J$5:$J$65536)</f>
        <v>0</v>
      </c>
      <c r="I54" s="236">
        <f t="shared" si="16"/>
        <v>0</v>
      </c>
      <c r="J54" s="236"/>
      <c r="K54" s="237">
        <f>SUM(I54:J54)</f>
        <v>0</v>
      </c>
    </row>
    <row r="55" spans="1:11" ht="14.45" customHeight="1">
      <c r="A55" s="926" t="str">
        <f>报表格式!G54</f>
        <v>专项储备</v>
      </c>
      <c r="B55" s="236">
        <f>母公司BS汇总!B110</f>
        <v>0</v>
      </c>
      <c r="C55" s="236">
        <f>SUMIF(母公司汇总抵销!$E$5:$E$65538,IF(OR(MID(TRIM($A55),2,1)="：",MID(TRIM($A55),2,1)="、"),REPLACEB(TRIM($A55),1,4,""),TRIM($A55)),母公司汇总抵销!$J$5:$J$65538)</f>
        <v>0</v>
      </c>
      <c r="D55" s="236">
        <f>SUMIF(母公司汇总抵销!$H$5:$H$65538,IF(OR(MID(TRIM($A55),2,1)="：",MID(TRIM($A55),2,1)="、"),REPLACEB(TRIM($A55),1,4,""),TRIM($A55)),母公司汇总抵销!$J$5:$J$65538)</f>
        <v>0</v>
      </c>
      <c r="E55" s="236">
        <f>SUMIF(母公司账项调整!$E$5:$E$65536,IF(OR(MID(TRIM($A55),2,1)="：",MID(TRIM($A55),2,1)="、"),REPLACEB(TRIM($A55),1,4,""),TRIM($A55)),母公司账项调整!$J$5:$J$65536)</f>
        <v>0</v>
      </c>
      <c r="F55" s="236">
        <f>SUMIF(母公司账项调整!$H$5:$H$65536,IF(OR(MID(TRIM($A55),2,1)="：",MID(TRIM($A55),2,1)="、"),REPLACEB(TRIM($A55),1,4,""),TRIM($A55)),母公司账项调整!$J$5:$J$65536)</f>
        <v>0</v>
      </c>
      <c r="G55" s="236">
        <f>SUMIF(母公司报表调整!$E$5:$E$65536,IF(OR(MID(TRIM($A55),2,1)="：",MID(TRIM($A55),2,1)="、"),REPLACEB(TRIM($A55),1,4,""),TRIM($A55)),母公司报表调整!$J$5:$J$65536)</f>
        <v>0</v>
      </c>
      <c r="H55" s="236">
        <f>SUMIF(母公司报表调整!$H$5:$H$65536,IF(OR(MID(TRIM($A55),2,1)="：",MID(TRIM($A55),2,1)="、"),REPLACEB(TRIM($A55),1,4,""),TRIM($A55)),母公司报表调整!$J$5:$J$65536)</f>
        <v>0</v>
      </c>
      <c r="I55" s="236">
        <f t="shared" si="16"/>
        <v>0</v>
      </c>
      <c r="J55" s="236"/>
      <c r="K55" s="237">
        <f t="shared" si="3"/>
        <v>0</v>
      </c>
    </row>
    <row r="56" spans="1:11" ht="14.45" customHeight="1">
      <c r="A56" s="926" t="str">
        <f>报表格式!G55</f>
        <v>盈余公积</v>
      </c>
      <c r="B56" s="236">
        <f>母公司BS汇总!B111</f>
        <v>0</v>
      </c>
      <c r="C56" s="236">
        <f>SUMIF(母公司汇总抵销!$E$5:$E$65538,IF(OR(MID(TRIM($A56),2,1)="：",MID(TRIM($A56),2,1)="、"),REPLACEB(TRIM($A56),1,4,""),TRIM($A56)),母公司汇总抵销!$J$5:$J$65538)</f>
        <v>0</v>
      </c>
      <c r="D56" s="236">
        <f>SUMIF(母公司汇总抵销!$H$5:$H$65538,IF(OR(MID(TRIM($A56),2,1)="：",MID(TRIM($A56),2,1)="、"),REPLACEB(TRIM($A56),1,4,""),TRIM($A56)),母公司汇总抵销!$J$5:$J$65538)</f>
        <v>0</v>
      </c>
      <c r="E56" s="236">
        <f>SUMIF(母公司账项调整!$E$5:$E$65536,IF(OR(MID(TRIM($A56),2,1)="：",MID(TRIM($A56),2,1)="、"),REPLACEB(TRIM($A56),1,4,""),TRIM($A56)),母公司账项调整!$J$5:$J$65536)</f>
        <v>0</v>
      </c>
      <c r="F56" s="236">
        <f>SUMIF(母公司账项调整!$H$5:$H$65536,IF(OR(MID(TRIM($A56),2,1)="：",MID(TRIM($A56),2,1)="、"),REPLACEB(TRIM($A56),1,4,""),TRIM($A56)),母公司账项调整!$J$5:$J$65536)</f>
        <v>0</v>
      </c>
      <c r="G56" s="236">
        <f>SUMIF(母公司报表调整!$E$5:$E$65536,IF(OR(MID(TRIM($A56),2,1)="：",MID(TRIM($A56),2,1)="、"),REPLACEB(TRIM($A56),1,4,""),TRIM($A56)),母公司报表调整!$J$5:$J$65536)</f>
        <v>0</v>
      </c>
      <c r="H56" s="236">
        <f>SUMIF(母公司报表调整!$H$5:$H$65536,IF(OR(MID(TRIM($A56),2,1)="：",MID(TRIM($A56),2,1)="、"),REPLACEB(TRIM($A56),1,4,""),TRIM($A56)),母公司报表调整!$J$5:$J$65536)</f>
        <v>0</v>
      </c>
      <c r="I56" s="236">
        <f t="shared" si="16"/>
        <v>0</v>
      </c>
      <c r="J56" s="236"/>
      <c r="K56" s="237">
        <f t="shared" si="3"/>
        <v>0</v>
      </c>
    </row>
    <row r="57" spans="1:11" ht="14.45" customHeight="1">
      <c r="A57" s="926" t="str">
        <f>报表格式!G56</f>
        <v>一般风险准备</v>
      </c>
      <c r="B57" s="236">
        <f>母公司BS汇总!B112</f>
        <v>0</v>
      </c>
      <c r="C57" s="236">
        <f>SUMIF(母公司汇总抵销!$E$5:$E$65538,IF(OR(MID(TRIM($A57),2,1)="：",MID(TRIM($A57),2,1)="、"),REPLACEB(TRIM($A57),1,4,""),TRIM($A57)),母公司汇总抵销!$J$5:$J$65538)</f>
        <v>0</v>
      </c>
      <c r="D57" s="236">
        <f>SUMIF(母公司汇总抵销!$H$5:$H$65538,IF(OR(MID(TRIM($A57),2,1)="：",MID(TRIM($A57),2,1)="、"),REPLACEB(TRIM($A57),1,4,""),TRIM($A57)),母公司汇总抵销!$J$5:$J$65538)</f>
        <v>0</v>
      </c>
      <c r="E57" s="236">
        <f>SUMIF(母公司账项调整!$E$5:$E$65536,IF(OR(MID(TRIM($A57),2,1)="：",MID(TRIM($A57),2,1)="、"),REPLACEB(TRIM($A57),1,4,""),TRIM($A57)),母公司账项调整!$J$5:$J$65536)</f>
        <v>0</v>
      </c>
      <c r="F57" s="236">
        <f>SUMIF(母公司账项调整!$H$5:$H$65536,IF(OR(MID(TRIM($A57),2,1)="：",MID(TRIM($A57),2,1)="、"),REPLACEB(TRIM($A57),1,4,""),TRIM($A57)),母公司账项调整!$J$5:$J$65536)</f>
        <v>0</v>
      </c>
      <c r="G57" s="236">
        <f>SUMIF(母公司报表调整!$E$5:$E$65536,IF(OR(MID(TRIM($A57),2,1)="：",MID(TRIM($A57),2,1)="、"),REPLACEB(TRIM($A57),1,4,""),TRIM($A57)),母公司报表调整!$J$5:$J$65536)</f>
        <v>0</v>
      </c>
      <c r="H57" s="236">
        <f>SUMIF(母公司报表调整!$H$5:$H$65536,IF(OR(MID(TRIM($A57),2,1)="：",MID(TRIM($A57),2,1)="、"),REPLACEB(TRIM($A57),1,4,""),TRIM($A57)),母公司报表调整!$J$5:$J$65536)</f>
        <v>0</v>
      </c>
      <c r="I57" s="236">
        <f t="shared" ref="I57" si="17">B57-E57-G57+F57+H57-C57+D57</f>
        <v>0</v>
      </c>
      <c r="J57" s="236"/>
      <c r="K57" s="237">
        <f t="shared" ref="K57" si="18">SUM(I57:J57)</f>
        <v>0</v>
      </c>
    </row>
    <row r="58" spans="1:11" ht="14.45" customHeight="1">
      <c r="A58" s="926" t="str">
        <f>报表格式!G57</f>
        <v>未分配利润</v>
      </c>
      <c r="B58" s="236">
        <f>母公司BS汇总!B113</f>
        <v>0</v>
      </c>
      <c r="C58" s="814">
        <f>母公司TB损益!C89</f>
        <v>0</v>
      </c>
      <c r="D58" s="814">
        <f>母公司TB损益!D89</f>
        <v>0</v>
      </c>
      <c r="E58" s="814">
        <f>母公司TB损益!E89</f>
        <v>0</v>
      </c>
      <c r="F58" s="814">
        <f>母公司TB损益!F89</f>
        <v>0</v>
      </c>
      <c r="G58" s="814">
        <f>母公司TB损益!G89</f>
        <v>0</v>
      </c>
      <c r="H58" s="814">
        <f>母公司TB损益!H89</f>
        <v>0</v>
      </c>
      <c r="I58" s="814">
        <f>母公司TB损益!I89</f>
        <v>0</v>
      </c>
      <c r="J58" s="236"/>
      <c r="K58" s="237">
        <f t="shared" si="3"/>
        <v>0</v>
      </c>
    </row>
    <row r="59" spans="1:11" ht="14.45" customHeight="1">
      <c r="A59" s="926" t="str">
        <f>报表格式!G58</f>
        <v>归属于母公司股东权益合计</v>
      </c>
      <c r="B59" s="242">
        <f>SUM(B48:B49,B52,-B53,B54:B58)</f>
        <v>0</v>
      </c>
      <c r="C59" s="242">
        <f t="shared" ref="C59:H59" si="19">SUM(C48:C49,C52,-C53,C54:C58)</f>
        <v>0</v>
      </c>
      <c r="D59" s="242">
        <f t="shared" si="19"/>
        <v>0</v>
      </c>
      <c r="E59" s="242">
        <f t="shared" si="19"/>
        <v>0</v>
      </c>
      <c r="F59" s="242">
        <f t="shared" si="19"/>
        <v>0</v>
      </c>
      <c r="G59" s="242">
        <f t="shared" si="19"/>
        <v>0</v>
      </c>
      <c r="H59" s="242">
        <f t="shared" si="19"/>
        <v>0</v>
      </c>
      <c r="I59" s="242">
        <f>SUM(I48:I49,I52,-I53,I54:I58)</f>
        <v>0</v>
      </c>
      <c r="J59" s="242">
        <f>SUM(J48:J49,J52,-J53,J54:J58)</f>
        <v>0</v>
      </c>
      <c r="K59" s="243">
        <f t="shared" si="3"/>
        <v>0</v>
      </c>
    </row>
    <row r="60" spans="1:11" ht="14.45" customHeight="1">
      <c r="A60" s="926" t="str">
        <f>报表格式!G59</f>
        <v>少数股东权益</v>
      </c>
      <c r="B60" s="236">
        <f>母公司BS汇总!B115</f>
        <v>0</v>
      </c>
      <c r="C60" s="236">
        <f>SUMIF(母公司汇总抵销!$E$5:$E$65538,IF(OR(MID(TRIM($A60),2,1)="：",MID(TRIM($A60),2,1)="、"),REPLACEB(TRIM($A60),1,4,""),TRIM($A60)),母公司汇总抵销!$J$5:$J$65538)</f>
        <v>0</v>
      </c>
      <c r="D60" s="236">
        <f>SUMIF(母公司汇总抵销!$H$5:$H$65538,IF(OR(MID(TRIM($A60),2,1)="：",MID(TRIM($A60),2,1)="、"),REPLACEB(TRIM($A60),1,4,""),TRIM($A60)),母公司汇总抵销!$J$5:$J$65538)</f>
        <v>0</v>
      </c>
      <c r="E60" s="236">
        <f>SUMIF(母公司账项调整!$E$5:$E$65536,IF(OR(MID(TRIM($A60),2,1)="：",MID(TRIM($A60),2,1)="、"),REPLACEB(TRIM($A60),1,4,""),TRIM($A60)),母公司账项调整!$J$5:$J$65536)</f>
        <v>0</v>
      </c>
      <c r="F60" s="236">
        <f>SUMIF(母公司账项调整!$H$5:$H$65536,IF(OR(MID(TRIM($A60),2,1)="：",MID(TRIM($A60),2,1)="、"),REPLACEB(TRIM($A60),1,4,""),TRIM($A60)),母公司账项调整!$J$5:$J$65536)</f>
        <v>0</v>
      </c>
      <c r="G60" s="236">
        <f>SUMIF(母公司报表调整!$E$5:$E$65536,IF(OR(MID(TRIM($A60),2,1)="：",MID(TRIM($A60),2,1)="、"),REPLACEB(TRIM($A60),1,4,""),TRIM($A60)),母公司报表调整!$J$5:$J$65536)</f>
        <v>0</v>
      </c>
      <c r="H60" s="236">
        <f>SUMIF(母公司报表调整!$H$5:$H$65536,IF(OR(MID(TRIM($A60),2,1)="：",MID(TRIM($A60),2,1)="、"),REPLACEB(TRIM($A60),1,4,""),TRIM($A60)),母公司报表调整!$J$5:$J$65536)</f>
        <v>0</v>
      </c>
      <c r="I60" s="236">
        <f>B60-E60-G60+F60+H60-C60+D60</f>
        <v>0</v>
      </c>
      <c r="J60" s="236"/>
      <c r="K60" s="237">
        <f t="shared" si="3"/>
        <v>0</v>
      </c>
    </row>
    <row r="61" spans="1:11" ht="14.45" customHeight="1">
      <c r="A61" s="929" t="str">
        <f>报表格式!G60</f>
        <v>股东权益合计</v>
      </c>
      <c r="B61" s="244">
        <f t="shared" ref="B61:J61" si="20">SUM(B59:B60)</f>
        <v>0</v>
      </c>
      <c r="C61" s="244">
        <f t="shared" si="20"/>
        <v>0</v>
      </c>
      <c r="D61" s="244">
        <f t="shared" si="20"/>
        <v>0</v>
      </c>
      <c r="E61" s="244">
        <f t="shared" si="20"/>
        <v>0</v>
      </c>
      <c r="F61" s="244">
        <f t="shared" si="20"/>
        <v>0</v>
      </c>
      <c r="G61" s="244">
        <f t="shared" si="20"/>
        <v>0</v>
      </c>
      <c r="H61" s="244">
        <f t="shared" si="20"/>
        <v>0</v>
      </c>
      <c r="I61" s="244">
        <f t="shared" si="20"/>
        <v>0</v>
      </c>
      <c r="J61" s="244">
        <f t="shared" si="20"/>
        <v>0</v>
      </c>
      <c r="K61" s="245">
        <f>SUM(I61:J61)</f>
        <v>0</v>
      </c>
    </row>
    <row r="62" spans="1:11" ht="14.45" customHeight="1">
      <c r="A62" s="930" t="str">
        <f>报表格式!G61</f>
        <v>负债和股东权益合计</v>
      </c>
      <c r="B62" s="240">
        <f t="shared" ref="B62:J62" si="21">SUM(B46,B61)</f>
        <v>0</v>
      </c>
      <c r="C62" s="240">
        <f t="shared" si="21"/>
        <v>0</v>
      </c>
      <c r="D62" s="240">
        <f t="shared" si="21"/>
        <v>0</v>
      </c>
      <c r="E62" s="240">
        <f t="shared" si="21"/>
        <v>0</v>
      </c>
      <c r="F62" s="240">
        <f t="shared" si="21"/>
        <v>0</v>
      </c>
      <c r="G62" s="240">
        <f t="shared" si="21"/>
        <v>0</v>
      </c>
      <c r="H62" s="240">
        <f t="shared" si="21"/>
        <v>0</v>
      </c>
      <c r="I62" s="240">
        <f t="shared" si="21"/>
        <v>0</v>
      </c>
      <c r="J62" s="240">
        <f t="shared" si="21"/>
        <v>0</v>
      </c>
      <c r="K62" s="241">
        <f>SUM(I62:J62)</f>
        <v>0</v>
      </c>
    </row>
    <row r="63" spans="1:11" s="849" customFormat="1">
      <c r="A63" s="931"/>
      <c r="B63" s="863">
        <f>B62-母公司TB资产!B59</f>
        <v>0</v>
      </c>
      <c r="C63" s="848">
        <f t="shared" ref="C63:H63" si="22">SUM(C7:C31,C34:C44,C48:C49,C52:C56,C60)-C23-C24-C36-C37</f>
        <v>0</v>
      </c>
      <c r="D63" s="848">
        <f t="shared" si="22"/>
        <v>0</v>
      </c>
      <c r="E63" s="848">
        <f t="shared" si="22"/>
        <v>0</v>
      </c>
      <c r="F63" s="848">
        <f t="shared" si="22"/>
        <v>0</v>
      </c>
      <c r="G63" s="848">
        <f t="shared" si="22"/>
        <v>0</v>
      </c>
      <c r="H63" s="848">
        <f t="shared" si="22"/>
        <v>0</v>
      </c>
      <c r="I63" s="863">
        <f>I62-母公司TB资产!I59</f>
        <v>0</v>
      </c>
      <c r="J63" s="848"/>
      <c r="K63" s="863">
        <f>K62-母公司TB资产!K59</f>
        <v>0</v>
      </c>
    </row>
    <row r="64" spans="1:11" s="329" customFormat="1">
      <c r="A64" s="932"/>
      <c r="B64" s="327"/>
      <c r="C64" s="327"/>
      <c r="D64" s="327"/>
      <c r="E64" s="327"/>
      <c r="F64" s="327"/>
      <c r="G64" s="327"/>
      <c r="H64" s="327"/>
      <c r="I64" s="327"/>
      <c r="J64" s="327"/>
      <c r="K64" s="327"/>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1" priority="1" stopIfTrue="1" operator="equal">
      <formula>"报表未调平!"</formula>
    </cfRule>
  </conditionalFormatting>
  <printOptions horizontalCentered="1" verticalCentered="1"/>
  <pageMargins left="0.55118110236220474" right="0.31496062992125984" top="0.39370078740157483" bottom="0.27559055118110237" header="0.19685039370078741" footer="0.19685039370078741"/>
  <pageSetup paperSize="9" scale="6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O91"/>
  <sheetViews>
    <sheetView showZeros="0" workbookViewId="0">
      <pane xSplit="1" ySplit="5" topLeftCell="B6" activePane="bottomRight" state="frozen"/>
      <selection activeCell="H6" sqref="H6"/>
      <selection pane="topRight" activeCell="H6" sqref="H6"/>
      <selection pane="bottomLeft" activeCell="H6" sqref="H6"/>
      <selection pane="bottomRight" activeCell="A23" sqref="A23"/>
    </sheetView>
  </sheetViews>
  <sheetFormatPr defaultColWidth="7" defaultRowHeight="13.5" outlineLevelCol="1"/>
  <cols>
    <col min="1" max="1" width="39.5" style="33" customWidth="1"/>
    <col min="2" max="2" width="11.75" style="33" customWidth="1"/>
    <col min="3" max="3" width="14.75" style="33" customWidth="1"/>
    <col min="4" max="4" width="13.5" style="33" customWidth="1"/>
    <col min="5" max="5" width="11.5" style="33" customWidth="1"/>
    <col min="6" max="6" width="12.25" style="33" customWidth="1"/>
    <col min="7" max="7" width="8.625" style="33" customWidth="1"/>
    <col min="8" max="8" width="9.375" style="33" customWidth="1"/>
    <col min="9" max="9" width="11.5" style="33" bestFit="1" customWidth="1" outlineLevel="1"/>
    <col min="10" max="10" width="8.5" style="33" customWidth="1" outlineLevel="1"/>
    <col min="11" max="11" width="12.625" style="33" customWidth="1"/>
    <col min="12" max="12" width="8.75" style="33" bestFit="1" customWidth="1"/>
    <col min="13" max="13" width="12.25" style="33" bestFit="1" customWidth="1"/>
    <col min="14" max="14" width="12.125" style="33" customWidth="1"/>
    <col min="15" max="16384" width="7" style="33"/>
  </cols>
  <sheetData>
    <row r="1" spans="1:15" s="32" customFormat="1" ht="24" customHeight="1">
      <c r="A1" s="102" t="s">
        <v>946</v>
      </c>
      <c r="B1" s="103"/>
      <c r="C1" s="103"/>
      <c r="D1" s="103"/>
      <c r="E1" s="103"/>
      <c r="F1" s="103"/>
      <c r="G1" s="103"/>
      <c r="H1" s="103"/>
      <c r="I1" s="103"/>
      <c r="J1" s="103"/>
      <c r="K1" s="103"/>
      <c r="L1" s="31"/>
      <c r="M1" s="33"/>
      <c r="N1" s="33"/>
      <c r="O1" s="33"/>
    </row>
    <row r="2" spans="1:15" s="32" customFormat="1" ht="17.25" customHeight="1">
      <c r="A2" s="91" t="str">
        <f>CONCATENATE("客户名称：",说明!E23)</f>
        <v>客户名称：</v>
      </c>
      <c r="D2" s="89" t="str">
        <f>CONCATENATE("编制：",说明!E36)</f>
        <v>编制：</v>
      </c>
      <c r="F2" s="90"/>
      <c r="G2" s="91" t="str">
        <f>CONCATENATE("复核：",说明!E37)</f>
        <v>复核：</v>
      </c>
      <c r="I2" s="91"/>
      <c r="J2" s="92"/>
      <c r="K2" s="93" t="str">
        <f>母公司TB资产!K2</f>
        <v xml:space="preserve">索引：            </v>
      </c>
      <c r="M2" s="33"/>
      <c r="N2" s="33"/>
      <c r="O2" s="33"/>
    </row>
    <row r="3" spans="1:15" s="32" customFormat="1" ht="17.25" customHeight="1">
      <c r="A3" s="91" t="str">
        <f>CONCATENATE("会计期间：",TEXT(说明!E30,"yyyy.mm.dd"))</f>
        <v>会计期间：2019年度</v>
      </c>
      <c r="D3" s="93" t="str">
        <f ca="1">CONCATENATE("日期：",TEXT(NOW(),"yyyy.mm.dd"))</f>
        <v>日期：2019.12.31</v>
      </c>
      <c r="F3" s="91"/>
      <c r="G3" s="91" t="str">
        <f>母公司TB资产!F3</f>
        <v>日期：</v>
      </c>
      <c r="I3" s="91"/>
      <c r="J3" s="91"/>
      <c r="K3" s="93" t="str">
        <f>母公司TB资产!K3</f>
        <v xml:space="preserve">分页：           </v>
      </c>
      <c r="M3" s="33"/>
      <c r="N3" s="33"/>
      <c r="O3" s="33"/>
    </row>
    <row r="4" spans="1:15" s="32" customFormat="1">
      <c r="A4" s="1179" t="str">
        <f>IF((ROUND(母公司TB资产!K59,2))=(ROUND(母公司TB负债!K62,2)),"项       目","报表未调平!")</f>
        <v>项       目</v>
      </c>
      <c r="B4" s="1174" t="s">
        <v>127</v>
      </c>
      <c r="C4" s="1176" t="s">
        <v>555</v>
      </c>
      <c r="D4" s="1176"/>
      <c r="E4" s="1176" t="s">
        <v>297</v>
      </c>
      <c r="F4" s="1176"/>
      <c r="G4" s="1176" t="s">
        <v>298</v>
      </c>
      <c r="H4" s="1176"/>
      <c r="I4" s="248" t="s">
        <v>299</v>
      </c>
      <c r="J4" s="248" t="s">
        <v>300</v>
      </c>
      <c r="K4" s="1170" t="s">
        <v>556</v>
      </c>
      <c r="M4" s="33"/>
      <c r="N4" s="33"/>
      <c r="O4" s="33"/>
    </row>
    <row r="5" spans="1:15" s="32" customFormat="1" ht="14.25" customHeight="1">
      <c r="A5" s="1180"/>
      <c r="B5" s="1175"/>
      <c r="C5" s="249" t="s">
        <v>360</v>
      </c>
      <c r="D5" s="249" t="s">
        <v>361</v>
      </c>
      <c r="E5" s="249" t="s">
        <v>360</v>
      </c>
      <c r="F5" s="249" t="s">
        <v>361</v>
      </c>
      <c r="G5" s="249" t="s">
        <v>360</v>
      </c>
      <c r="H5" s="249" t="s">
        <v>361</v>
      </c>
      <c r="I5" s="249"/>
      <c r="J5" s="249"/>
      <c r="K5" s="1171"/>
      <c r="M5" s="33"/>
      <c r="N5" s="33"/>
      <c r="O5" s="33"/>
    </row>
    <row r="6" spans="1:15" ht="15" customHeight="1">
      <c r="A6" s="94" t="str">
        <f>报表格式!L5</f>
        <v>一、营业收入</v>
      </c>
      <c r="B6" s="247">
        <f>母公司PL汇总!B6</f>
        <v>0</v>
      </c>
      <c r="C6" s="247">
        <f>SUMIF(母公司汇总抵销!$E$5:$E$65538,IF(OR(MID(TRIM($A6),2,1)="：",MID(TRIM($A6),2,1)="、"),REPLACEB(TRIM($A6),1,4,""),TRIM($A6)),母公司汇总抵销!$J$5:$J$65538)</f>
        <v>0</v>
      </c>
      <c r="D6" s="247">
        <f>SUMIF(母公司汇总抵销!$H$5:$H$65538,IF(OR(MID(TRIM($A6),2,1)="：",MID(TRIM($A6),2,1)="、"),REPLACEB(TRIM($A6),1,4,""),TRIM($A6)),母公司汇总抵销!$J$5:$J$65538)</f>
        <v>0</v>
      </c>
      <c r="E6" s="829">
        <f>SUMIF(母公司账项调整!$E$5:$E$65536,IF(OR(MID(TRIM($A6),2,1)="：",MID(TRIM($A6),2,1)="、"),REPLACEB(TRIM($A6),1,4,""),TRIM($A6)),母公司账项调整!$J$5:$J$65536)</f>
        <v>0</v>
      </c>
      <c r="F6" s="247">
        <f>SUMIF(母公司账项调整!$H$5:$H$65536,IF(OR(MID(TRIM($A6),2,1)="：",MID(TRIM($A6),2,1)="、"),REPLACEB(TRIM($A6),1,4,""),TRIM($A6)),母公司账项调整!$J$5:$J$65536)</f>
        <v>0</v>
      </c>
      <c r="G6" s="247">
        <f>SUMIF(母公司报表调整!$E$5:$E$65536,IF(OR(MID(TRIM($A6),2,1)="：",MID(TRIM($A6),2,1)="、"),REPLACEB(TRIM($A6),1,4,""),TRIM($A6)),母公司报表调整!$J$5:$J$65536)</f>
        <v>0</v>
      </c>
      <c r="H6" s="247">
        <f>SUMIF(母公司报表调整!$H$5:$H$65536,IF(OR(MID(TRIM($A6),2,1)="：",MID(TRIM($A6),2,1)="、"),REPLACEB(TRIM($A6),1,4,""),TRIM($A6)),母公司报表调整!$J$5:$J$65536)</f>
        <v>0</v>
      </c>
      <c r="I6" s="247">
        <f>B6-E6-G6+F6+H6-C6+D6</f>
        <v>0</v>
      </c>
      <c r="J6" s="247"/>
      <c r="K6" s="371">
        <f>SUM(I6:J6)</f>
        <v>0</v>
      </c>
    </row>
    <row r="7" spans="1:15" ht="15" customHeight="1">
      <c r="A7" s="105" t="str">
        <f>报表格式!L6</f>
        <v xml:space="preserve">        其中：主营业务收入</v>
      </c>
      <c r="B7" s="247">
        <f>母公司PL汇总!B7</f>
        <v>0</v>
      </c>
      <c r="C7" s="247">
        <f>SUMIF(母公司汇总抵销!$F$5:$F$65538,IF(OR(MID(TRIM($A7),3,1)="：",MID(TRIM($A7),2,1)="、"),REPLACEB(TRIM($A7),1,6,""),TRIM($A7)),母公司汇总抵销!$J$5:$J$65538)</f>
        <v>0</v>
      </c>
      <c r="D7" s="247">
        <f>SUMIF(母公司汇总抵销!$I$5:$I$65538,IF(OR(MID(TRIM($A7),3,1)="：",MID(TRIM($A7),2,1)="、"),REPLACEB(TRIM($A7),1,6,""),TRIM($A7)),母公司汇总抵销!$J$5:$J$65538)</f>
        <v>0</v>
      </c>
      <c r="E7" s="829">
        <f>SUMIF(母公司账项调整!$F$5:$F$65536,IF(OR(MID(TRIM($A7),3,1)="：",MID(TRIM($A7),2,1)="、"),REPLACEB(TRIM($A7),1,6,""),TRIM($A7)),母公司账项调整!$J$5:$J$65536)</f>
        <v>0</v>
      </c>
      <c r="F7" s="247">
        <f>SUMIF(母公司账项调整!$I$5:$I$65536,IF(OR(MID(TRIM($A7),3,1)="：",MID(TRIM($A7),2,1)="、"),REPLACEB(TRIM($A7),1,6,""),TRIM($A7)),母公司账项调整!$J$5:$J$65536)</f>
        <v>0</v>
      </c>
      <c r="G7" s="247">
        <f>SUMIF(母公司报表调整!$F$5:$F$65536,IF(OR(MID(TRIM($A7),3,1)="：",MID(TRIM($A7),2,1)="、"),REPLACEB(TRIM($A7),1,6,""),TRIM($A7)),母公司报表调整!$J$5:$J$65536)</f>
        <v>0</v>
      </c>
      <c r="H7" s="247">
        <f>SUMIF(母公司报表调整!$I$5:$I$65536,IF(OR(MID(TRIM($A7),3,1)="：",MID(TRIM($A7),2,1)="、"),REPLACEB(TRIM($A7),1,6,""),TRIM($A7)),母公司报表调整!$J$5:$J$65536)</f>
        <v>0</v>
      </c>
      <c r="I7" s="247">
        <f>B7-E7-G7+F7+H7-C7+D7</f>
        <v>0</v>
      </c>
      <c r="J7" s="247"/>
      <c r="K7" s="371">
        <f t="shared" ref="K7:K50" si="0">SUM(I7:J7)</f>
        <v>0</v>
      </c>
    </row>
    <row r="8" spans="1:15" ht="15" customHeight="1">
      <c r="A8" s="105" t="str">
        <f>报表格式!L7</f>
        <v xml:space="preserve">              利息收入</v>
      </c>
      <c r="B8" s="247">
        <f>母公司PL汇总!B8</f>
        <v>0</v>
      </c>
      <c r="C8" s="247">
        <f>SUMIF(母公司汇总抵销!$F$5:$F$65538,IF(OR(MID(TRIM($A8),3,1)="：",MID(TRIM($A8),2,1)="、"),REPLACEB(TRIM($A8),1,6,""),TRIM($A8)),母公司汇总抵销!$J$5:$J$65538)</f>
        <v>0</v>
      </c>
      <c r="D8" s="247">
        <f>SUMIF(母公司汇总抵销!$I$5:$I$65538,IF(OR(MID(TRIM($A8),3,1)="：",MID(TRIM($A8),2,1)="、"),REPLACEB(TRIM($A8),1,6,""),TRIM($A8)),母公司汇总抵销!$J$5:$J$65538)</f>
        <v>0</v>
      </c>
      <c r="E8" s="829">
        <f>SUMIF(母公司账项调整!$F$5:$F$65536,IF(OR(MID(TRIM($A8),3,1)="：",MID(TRIM($A8),2,1)="、"),REPLACEB(TRIM($A8),1,6,""),TRIM($A8)),母公司账项调整!$J$5:$J$65536)</f>
        <v>0</v>
      </c>
      <c r="F8" s="247">
        <f>SUMIF(母公司账项调整!$I$5:$I$65536,IF(OR(MID(TRIM($A8),3,1)="：",MID(TRIM($A8),2,1)="、"),REPLACEB(TRIM($A8),1,6,""),TRIM($A8)),母公司账项调整!$J$5:$J$65536)</f>
        <v>0</v>
      </c>
      <c r="G8" s="247">
        <f>SUMIF(母公司报表调整!$F$5:$F$65536,IF(OR(MID(TRIM($A8),3,1)="：",MID(TRIM($A8),2,1)="、"),REPLACEB(TRIM($A8),1,6,""),TRIM($A8)),母公司报表调整!$J$5:$J$65536)</f>
        <v>0</v>
      </c>
      <c r="H8" s="247">
        <f>SUMIF(母公司报表调整!$I$5:$I$65536,IF(OR(MID(TRIM($A8),3,1)="：",MID(TRIM($A8),2,1)="、"),REPLACEB(TRIM($A8),1,6,""),TRIM($A8)),母公司报表调整!$J$5:$J$65536)</f>
        <v>0</v>
      </c>
      <c r="I8" s="247">
        <f t="shared" ref="I8:I10" si="1">B8-E8-G8+F8+H8-C8+D8</f>
        <v>0</v>
      </c>
      <c r="J8" s="247"/>
      <c r="K8" s="371">
        <f t="shared" ref="K8:K10" si="2">SUM(I8:J8)</f>
        <v>0</v>
      </c>
    </row>
    <row r="9" spans="1:15" ht="15" customHeight="1">
      <c r="A9" s="105" t="str">
        <f>报表格式!L8</f>
        <v xml:space="preserve">              已赚保费</v>
      </c>
      <c r="B9" s="247">
        <f>母公司PL汇总!B9</f>
        <v>0</v>
      </c>
      <c r="C9" s="247">
        <f>SUMIF(母公司汇总抵销!$F$5:$F$65538,IF(OR(MID(TRIM($A9),3,1)="：",MID(TRIM($A9),2,1)="、"),REPLACEB(TRIM($A9),1,6,""),TRIM($A9)),母公司汇总抵销!$J$5:$J$65538)</f>
        <v>0</v>
      </c>
      <c r="D9" s="247">
        <f>SUMIF(母公司汇总抵销!$I$5:$I$65538,IF(OR(MID(TRIM($A9),3,1)="：",MID(TRIM($A9),2,1)="、"),REPLACEB(TRIM($A9),1,6,""),TRIM($A9)),母公司汇总抵销!$J$5:$J$65538)</f>
        <v>0</v>
      </c>
      <c r="E9" s="829">
        <f>SUMIF(母公司账项调整!$F$5:$F$65536,IF(OR(MID(TRIM($A9),3,1)="：",MID(TRIM($A9),2,1)="、"),REPLACEB(TRIM($A9),1,6,""),TRIM($A9)),母公司账项调整!$J$5:$J$65536)</f>
        <v>0</v>
      </c>
      <c r="F9" s="247">
        <f>SUMIF(母公司账项调整!$I$5:$I$65536,IF(OR(MID(TRIM($A9),3,1)="：",MID(TRIM($A9),2,1)="、"),REPLACEB(TRIM($A9),1,6,""),TRIM($A9)),母公司账项调整!$J$5:$J$65536)</f>
        <v>0</v>
      </c>
      <c r="G9" s="247">
        <f>SUMIF(母公司报表调整!$F$5:$F$65536,IF(OR(MID(TRIM($A9),3,1)="：",MID(TRIM($A9),2,1)="、"),REPLACEB(TRIM($A9),1,6,""),TRIM($A9)),母公司报表调整!$J$5:$J$65536)</f>
        <v>0</v>
      </c>
      <c r="H9" s="247">
        <f>SUMIF(母公司报表调整!$I$5:$I$65536,IF(OR(MID(TRIM($A9),3,1)="：",MID(TRIM($A9),2,1)="、"),REPLACEB(TRIM($A9),1,6,""),TRIM($A9)),母公司报表调整!$J$5:$J$65536)</f>
        <v>0</v>
      </c>
      <c r="I9" s="247">
        <f t="shared" si="1"/>
        <v>0</v>
      </c>
      <c r="J9" s="247"/>
      <c r="K9" s="371">
        <f t="shared" si="2"/>
        <v>0</v>
      </c>
    </row>
    <row r="10" spans="1:15" ht="15" customHeight="1">
      <c r="A10" s="105" t="str">
        <f>报表格式!L9</f>
        <v xml:space="preserve">              手续费及佣金收入</v>
      </c>
      <c r="B10" s="247">
        <f>母公司PL汇总!B10</f>
        <v>0</v>
      </c>
      <c r="C10" s="247">
        <f>SUMIF(母公司汇总抵销!$F$5:$F$65538,IF(OR(MID(TRIM($A10),3,1)="：",MID(TRIM($A10),2,1)="、"),REPLACEB(TRIM($A10),1,6,""),TRIM($A10)),母公司汇总抵销!$J$5:$J$65538)</f>
        <v>0</v>
      </c>
      <c r="D10" s="247">
        <f>SUMIF(母公司汇总抵销!$I$5:$I$65538,IF(OR(MID(TRIM($A10),3,1)="：",MID(TRIM($A10),2,1)="、"),REPLACEB(TRIM($A10),1,6,""),TRIM($A10)),母公司汇总抵销!$J$5:$J$65538)</f>
        <v>0</v>
      </c>
      <c r="E10" s="829">
        <f>SUMIF(母公司账项调整!$F$5:$F$65536,IF(OR(MID(TRIM($A10),3,1)="：",MID(TRIM($A10),2,1)="、"),REPLACEB(TRIM($A10),1,6,""),TRIM($A10)),母公司账项调整!$J$5:$J$65536)</f>
        <v>0</v>
      </c>
      <c r="F10" s="247">
        <f>SUMIF(母公司账项调整!$I$5:$I$65536,IF(OR(MID(TRIM($A10),3,1)="：",MID(TRIM($A10),2,1)="、"),REPLACEB(TRIM($A10),1,6,""),TRIM($A10)),母公司账项调整!$J$5:$J$65536)</f>
        <v>0</v>
      </c>
      <c r="G10" s="247">
        <f>SUMIF(母公司报表调整!$F$5:$F$65536,IF(OR(MID(TRIM($A10),3,1)="：",MID(TRIM($A10),2,1)="、"),REPLACEB(TRIM($A10),1,6,""),TRIM($A10)),母公司报表调整!$J$5:$J$65536)</f>
        <v>0</v>
      </c>
      <c r="H10" s="247">
        <f>SUMIF(母公司报表调整!$I$5:$I$65536,IF(OR(MID(TRIM($A10),3,1)="：",MID(TRIM($A10),2,1)="、"),REPLACEB(TRIM($A10),1,6,""),TRIM($A10)),母公司报表调整!$J$5:$J$65536)</f>
        <v>0</v>
      </c>
      <c r="I10" s="247">
        <f t="shared" si="1"/>
        <v>0</v>
      </c>
      <c r="J10" s="247"/>
      <c r="K10" s="371">
        <f t="shared" si="2"/>
        <v>0</v>
      </c>
    </row>
    <row r="11" spans="1:15" ht="15" customHeight="1">
      <c r="A11" s="105" t="str">
        <f>报表格式!L10</f>
        <v xml:space="preserve">              其他业务收入</v>
      </c>
      <c r="B11" s="247">
        <f>母公司PL汇总!B11</f>
        <v>0</v>
      </c>
      <c r="C11" s="247">
        <f>SUMIF(母公司汇总抵销!$F$5:$F$65538,IF(OR(MID(TRIM($A11),3,1)="：",MID(TRIM($A11),2,1)="、"),REPLACEB(TRIM($A11),1,6,""),TRIM($A11)),母公司汇总抵销!$J$5:$J$65538)</f>
        <v>0</v>
      </c>
      <c r="D11" s="247">
        <f>SUMIF(母公司汇总抵销!$I$5:$I$65538,IF(OR(MID(TRIM($A11),3,1)="：",MID(TRIM($A11),2,1)="、"),REPLACEB(TRIM($A11),1,6,""),TRIM($A11)),母公司汇总抵销!$J$5:$J$65538)</f>
        <v>0</v>
      </c>
      <c r="E11" s="829">
        <f>SUMIF(母公司账项调整!$F$5:$F$65536,IF(OR(MID(TRIM($A11),3,1)="：",MID(TRIM($A11),2,1)="、"),REPLACEB(TRIM($A11),1,6,""),TRIM($A11)),母公司账项调整!$J$5:$J$65536)</f>
        <v>0</v>
      </c>
      <c r="F11" s="247">
        <f>SUMIF(母公司账项调整!$I$5:$I$65536,IF(OR(MID(TRIM($A11),3,1)="：",MID(TRIM($A11),2,1)="、"),REPLACEB(TRIM($A11),1,6,""),TRIM($A11)),母公司账项调整!$J$5:$J$65536)</f>
        <v>0</v>
      </c>
      <c r="G11" s="247">
        <f>SUMIF(母公司报表调整!$F$5:$F$65536,IF(OR(MID(TRIM($A11),3,1)="：",MID(TRIM($A11),2,1)="、"),REPLACEB(TRIM($A11),1,6,""),TRIM($A11)),母公司报表调整!$J$5:$J$65536)</f>
        <v>0</v>
      </c>
      <c r="H11" s="247">
        <f>SUMIF(母公司报表调整!$I$5:$I$65536,IF(OR(MID(TRIM($A11),3,1)="：",MID(TRIM($A11),2,1)="、"),REPLACEB(TRIM($A11),1,6,""),TRIM($A11)),母公司报表调整!$J$5:$J$65536)</f>
        <v>0</v>
      </c>
      <c r="I11" s="247">
        <f>B11-E11-G11+F11+H11-C11+D11</f>
        <v>0</v>
      </c>
      <c r="J11" s="247"/>
      <c r="K11" s="371">
        <f t="shared" si="0"/>
        <v>0</v>
      </c>
    </row>
    <row r="12" spans="1:15" ht="15" customHeight="1">
      <c r="A12" s="105" t="str">
        <f>报表格式!L11</f>
        <v xml:space="preserve">    减：营业成本</v>
      </c>
      <c r="B12" s="247">
        <f>母公司PL汇总!B12</f>
        <v>0</v>
      </c>
      <c r="C12" s="247">
        <f>SUMIF(母公司汇总抵销!$E$5:$E$65538,IF(OR(MID(TRIM($A12),2,1)="：",MID(TRIM($A12),2,1)="、"),REPLACEB(TRIM($A12),1,4,""),TRIM($A12)),母公司汇总抵销!$J$5:$J$65538)</f>
        <v>0</v>
      </c>
      <c r="D12" s="247">
        <f>SUMIF(母公司汇总抵销!$H$5:$H$65538,IF(OR(MID(TRIM($A12),2,1)="：",MID(TRIM($A12),2,1)="、"),REPLACEB(TRIM($A12),1,4,""),TRIM($A12)),母公司汇总抵销!$J$5:$J$65538)</f>
        <v>0</v>
      </c>
      <c r="E12" s="829">
        <f>SUMIF(母公司账项调整!$E$5:$E$65536,IF(OR(MID(TRIM($A12),2,1)="：",MID(TRIM($A12),2,1)="、"),REPLACEB(TRIM($A12),1,4,""),TRIM($A12)),母公司账项调整!$J$5:$J$65536)</f>
        <v>0</v>
      </c>
      <c r="F12" s="247">
        <f>SUMIF(母公司账项调整!$H$5:$H$65536,IF(OR(MID(TRIM($A12),2,1)="：",MID(TRIM($A12),2,1)="、"),REPLACEB(TRIM($A12),1,4,""),TRIM($A12)),母公司账项调整!$J$5:$J$65536)</f>
        <v>0</v>
      </c>
      <c r="G12" s="247">
        <f>SUMIF(母公司报表调整!$E$5:$E$65536,IF(OR(MID(TRIM($A12),2,1)="：",MID(TRIM($A12),2,1)="、"),REPLACEB(TRIM($A12),1,4,""),TRIM($A12)),母公司报表调整!$J$5:$J$65536)</f>
        <v>0</v>
      </c>
      <c r="H12" s="247">
        <f>SUMIF(母公司报表调整!$H$5:$H$65536,IF(OR(MID(TRIM($A12),2,1)="：",MID(TRIM($A12),2,1)="、"),REPLACEB(TRIM($A12),1,4,""),TRIM($A12)),母公司报表调整!$J$5:$J$65536)</f>
        <v>0</v>
      </c>
      <c r="I12" s="247">
        <f>B12+E12+G12-F12-H12+C12-D12</f>
        <v>0</v>
      </c>
      <c r="J12" s="247"/>
      <c r="K12" s="371">
        <f t="shared" si="0"/>
        <v>0</v>
      </c>
    </row>
    <row r="13" spans="1:15" ht="15" customHeight="1">
      <c r="A13" s="105" t="str">
        <f>报表格式!L12</f>
        <v xml:space="preserve">        其中：主营业务成本</v>
      </c>
      <c r="B13" s="247">
        <f>母公司PL汇总!B13</f>
        <v>0</v>
      </c>
      <c r="C13" s="247">
        <f>SUMIF(母公司汇总抵销!$F$5:$F$65538,IF(OR(MID(TRIM($A13),3,1)="：",MID(TRIM($A13),2,1)="、"),REPLACEB(TRIM($A13),1,6,""),TRIM($A13)),母公司汇总抵销!$J$5:$J$65538)</f>
        <v>0</v>
      </c>
      <c r="D13" s="247">
        <f>SUMIF(母公司汇总抵销!$I$5:$I$65538,IF(OR(MID(TRIM($A13),3,1)="：",MID(TRIM($A13),2,1)="、"),REPLACEB(TRIM($A13),1,6,""),TRIM($A13)),母公司汇总抵销!$J$5:$J$65538)</f>
        <v>0</v>
      </c>
      <c r="E13" s="829">
        <f>SUMIF(母公司账项调整!$F$5:$F$65536,IF(OR(MID(TRIM($A13),3,1)="：",MID(TRIM($A13),2,1)="、"),REPLACEB(TRIM($A13),1,6,""),TRIM($A13)),母公司账项调整!$J$5:$J$65536)</f>
        <v>0</v>
      </c>
      <c r="F13" s="247">
        <f>SUMIF(母公司账项调整!$I$5:$I$65536,IF(OR(MID(TRIM($A13),3,1)="：",MID(TRIM($A13),2,1)="、"),REPLACEB(TRIM($A13),1,6,""),TRIM($A13)),母公司账项调整!$J$5:$J$65536)</f>
        <v>0</v>
      </c>
      <c r="G13" s="247">
        <f>SUMIF(母公司报表调整!$F$5:$F$65536,IF(OR(MID(TRIM($A13),3,1)="：",MID(TRIM($A13),2,1)="、"),REPLACEB(TRIM($A13),1,6,""),TRIM($A13)),母公司报表调整!$J$5:$J$65536)</f>
        <v>0</v>
      </c>
      <c r="H13" s="247">
        <f>SUMIF(母公司报表调整!$I$5:$I$65536,IF(OR(MID(TRIM($A13),3,1)="：",MID(TRIM($A13),2,1)="、"),REPLACEB(TRIM($A13),1,6,""),TRIM($A13)),母公司报表调整!$J$5:$J$65536)</f>
        <v>0</v>
      </c>
      <c r="I13" s="247">
        <f t="shared" ref="I13:I27" si="3">B13+E13+G13-F13-H13+C13-D13</f>
        <v>0</v>
      </c>
      <c r="J13" s="306"/>
      <c r="K13" s="371">
        <f t="shared" si="0"/>
        <v>0</v>
      </c>
    </row>
    <row r="14" spans="1:15" ht="15" customHeight="1">
      <c r="A14" s="105" t="str">
        <f>报表格式!L13</f>
        <v xml:space="preserve">              利息支出</v>
      </c>
      <c r="B14" s="247">
        <f>母公司PL汇总!B14</f>
        <v>0</v>
      </c>
      <c r="C14" s="247">
        <f>SUMIF(母公司汇总抵销!$F$5:$F$65538,IF(OR(MID(TRIM($A14),3,1)="：",MID(TRIM($A14),2,1)="、"),REPLACEB(TRIM($A14),1,6,""),TRIM($A14)),母公司汇总抵销!$J$5:$J$65538)</f>
        <v>0</v>
      </c>
      <c r="D14" s="247">
        <f>SUMIF(母公司汇总抵销!$I$5:$I$65538,IF(OR(MID(TRIM($A14),3,1)="：",MID(TRIM($A14),2,1)="、"),REPLACEB(TRIM($A14),1,6,""),TRIM($A14)),母公司汇总抵销!$J$5:$J$65538)</f>
        <v>0</v>
      </c>
      <c r="E14" s="829">
        <f>SUMIF(母公司账项调整!$F$5:$F$65536,IF(OR(MID(TRIM($A14),3,1)="：",MID(TRIM($A14),2,1)="、"),REPLACEB(TRIM($A14),1,6,""),TRIM($A14)),母公司账项调整!$J$5:$J$65536)</f>
        <v>0</v>
      </c>
      <c r="F14" s="247">
        <f>SUMIF(母公司账项调整!$I$5:$I$65536,IF(OR(MID(TRIM($A14),3,1)="：",MID(TRIM($A14),2,1)="、"),REPLACEB(TRIM($A14),1,6,""),TRIM($A14)),母公司账项调整!$J$5:$J$65536)</f>
        <v>0</v>
      </c>
      <c r="G14" s="247">
        <f>SUMIF(母公司报表调整!$F$5:$F$65536,IF(OR(MID(TRIM($A14),3,1)="：",MID(TRIM($A14),2,1)="、"),REPLACEB(TRIM($A14),1,6,""),TRIM($A14)),母公司报表调整!$J$5:$J$65536)</f>
        <v>0</v>
      </c>
      <c r="H14" s="247">
        <f>SUMIF(母公司报表调整!$I$5:$I$65536,IF(OR(MID(TRIM($A14),3,1)="：",MID(TRIM($A14),2,1)="、"),REPLACEB(TRIM($A14),1,6,""),TRIM($A14)),母公司报表调整!$J$5:$J$65536)</f>
        <v>0</v>
      </c>
      <c r="I14" s="247">
        <f t="shared" ref="I14:I20" si="4">B14+E14+G14-F14-H14+C14-D14</f>
        <v>0</v>
      </c>
      <c r="J14" s="236"/>
      <c r="K14" s="371">
        <f t="shared" ref="K14:K20" si="5">SUM(I14:J14)</f>
        <v>0</v>
      </c>
    </row>
    <row r="15" spans="1:15" ht="15" customHeight="1">
      <c r="A15" s="105" t="str">
        <f>报表格式!L14</f>
        <v xml:space="preserve">              手续费及佣金支出</v>
      </c>
      <c r="B15" s="247">
        <f>母公司PL汇总!B15</f>
        <v>0</v>
      </c>
      <c r="C15" s="247">
        <f>SUMIF(母公司汇总抵销!$F$5:$F$65538,IF(OR(MID(TRIM($A15),3,1)="：",MID(TRIM($A15),2,1)="、"),REPLACEB(TRIM($A15),1,6,""),TRIM($A15)),母公司汇总抵销!$J$5:$J$65538)</f>
        <v>0</v>
      </c>
      <c r="D15" s="247">
        <f>SUMIF(母公司汇总抵销!$I$5:$I$65538,IF(OR(MID(TRIM($A15),3,1)="：",MID(TRIM($A15),2,1)="、"),REPLACEB(TRIM($A15),1,6,""),TRIM($A15)),母公司汇总抵销!$J$5:$J$65538)</f>
        <v>0</v>
      </c>
      <c r="E15" s="829">
        <f>SUMIF(母公司账项调整!$F$5:$F$65536,IF(OR(MID(TRIM($A15),3,1)="：",MID(TRIM($A15),2,1)="、"),REPLACEB(TRIM($A15),1,6,""),TRIM($A15)),母公司账项调整!$J$5:$J$65536)</f>
        <v>0</v>
      </c>
      <c r="F15" s="247">
        <f>SUMIF(母公司账项调整!$I$5:$I$65536,IF(OR(MID(TRIM($A15),3,1)="：",MID(TRIM($A15),2,1)="、"),REPLACEB(TRIM($A15),1,6,""),TRIM($A15)),母公司账项调整!$J$5:$J$65536)</f>
        <v>0</v>
      </c>
      <c r="G15" s="247">
        <f>SUMIF(母公司报表调整!$F$5:$F$65536,IF(OR(MID(TRIM($A15),3,1)="：",MID(TRIM($A15),2,1)="、"),REPLACEB(TRIM($A15),1,6,""),TRIM($A15)),母公司报表调整!$J$5:$J$65536)</f>
        <v>0</v>
      </c>
      <c r="H15" s="247">
        <f>SUMIF(母公司报表调整!$I$5:$I$65536,IF(OR(MID(TRIM($A15),3,1)="：",MID(TRIM($A15),2,1)="、"),REPLACEB(TRIM($A15),1,6,""),TRIM($A15)),母公司报表调整!$J$5:$J$65536)</f>
        <v>0</v>
      </c>
      <c r="I15" s="247">
        <f t="shared" si="4"/>
        <v>0</v>
      </c>
      <c r="J15" s="236"/>
      <c r="K15" s="371">
        <f t="shared" si="5"/>
        <v>0</v>
      </c>
    </row>
    <row r="16" spans="1:15" ht="15" customHeight="1">
      <c r="A16" s="105" t="str">
        <f>报表格式!L15</f>
        <v xml:space="preserve">              退保金</v>
      </c>
      <c r="B16" s="247">
        <f>母公司PL汇总!B16</f>
        <v>0</v>
      </c>
      <c r="C16" s="247">
        <f>SUMIF(母公司汇总抵销!$F$5:$F$65538,IF(OR(MID(TRIM($A16),3,1)="：",MID(TRIM($A16),2,1)="、"),REPLACEB(TRIM($A16),1,6,""),TRIM($A16)),母公司汇总抵销!$J$5:$J$65538)</f>
        <v>0</v>
      </c>
      <c r="D16" s="247">
        <f>SUMIF(母公司汇总抵销!$I$5:$I$65538,IF(OR(MID(TRIM($A16),3,1)="：",MID(TRIM($A16),2,1)="、"),REPLACEB(TRIM($A16),1,6,""),TRIM($A16)),母公司汇总抵销!$J$5:$J$65538)</f>
        <v>0</v>
      </c>
      <c r="E16" s="829">
        <f>SUMIF(母公司账项调整!$F$5:$F$65536,IF(OR(MID(TRIM($A16),3,1)="：",MID(TRIM($A16),2,1)="、"),REPLACEB(TRIM($A16),1,6,""),TRIM($A16)),母公司账项调整!$J$5:$J$65536)</f>
        <v>0</v>
      </c>
      <c r="F16" s="247">
        <f>SUMIF(母公司账项调整!$I$5:$I$65536,IF(OR(MID(TRIM($A16),3,1)="：",MID(TRIM($A16),2,1)="、"),REPLACEB(TRIM($A16),1,6,""),TRIM($A16)),母公司账项调整!$J$5:$J$65536)</f>
        <v>0</v>
      </c>
      <c r="G16" s="247">
        <f>SUMIF(母公司报表调整!$F$5:$F$65536,IF(OR(MID(TRIM($A16),3,1)="：",MID(TRIM($A16),2,1)="、"),REPLACEB(TRIM($A16),1,6,""),TRIM($A16)),母公司报表调整!$J$5:$J$65536)</f>
        <v>0</v>
      </c>
      <c r="H16" s="247">
        <f>SUMIF(母公司报表调整!$I$5:$I$65536,IF(OR(MID(TRIM($A16),3,1)="：",MID(TRIM($A16),2,1)="、"),REPLACEB(TRIM($A16),1,6,""),TRIM($A16)),母公司报表调整!$J$5:$J$65536)</f>
        <v>0</v>
      </c>
      <c r="I16" s="247">
        <f t="shared" si="4"/>
        <v>0</v>
      </c>
      <c r="J16" s="236"/>
      <c r="K16" s="371">
        <f t="shared" si="5"/>
        <v>0</v>
      </c>
    </row>
    <row r="17" spans="1:11" ht="15" customHeight="1">
      <c r="A17" s="105" t="str">
        <f>报表格式!L16</f>
        <v xml:space="preserve">              赔付支出净额</v>
      </c>
      <c r="B17" s="247">
        <f>母公司PL汇总!B17</f>
        <v>0</v>
      </c>
      <c r="C17" s="247">
        <f>SUMIF(母公司汇总抵销!$F$5:$F$65538,IF(OR(MID(TRIM($A17),3,1)="：",MID(TRIM($A17),2,1)="、"),REPLACEB(TRIM($A17),1,6,""),TRIM($A17)),母公司汇总抵销!$J$5:$J$65538)</f>
        <v>0</v>
      </c>
      <c r="D17" s="247">
        <f>SUMIF(母公司汇总抵销!$I$5:$I$65538,IF(OR(MID(TRIM($A17),3,1)="：",MID(TRIM($A17),2,1)="、"),REPLACEB(TRIM($A17),1,6,""),TRIM($A17)),母公司汇总抵销!$J$5:$J$65538)</f>
        <v>0</v>
      </c>
      <c r="E17" s="829">
        <f>SUMIF(母公司账项调整!$F$5:$F$65536,IF(OR(MID(TRIM($A17),3,1)="：",MID(TRIM($A17),2,1)="、"),REPLACEB(TRIM($A17),1,6,""),TRIM($A17)),母公司账项调整!$J$5:$J$65536)</f>
        <v>0</v>
      </c>
      <c r="F17" s="247">
        <f>SUMIF(母公司账项调整!$I$5:$I$65536,IF(OR(MID(TRIM($A17),3,1)="：",MID(TRIM($A17),2,1)="、"),REPLACEB(TRIM($A17),1,6,""),TRIM($A17)),母公司账项调整!$J$5:$J$65536)</f>
        <v>0</v>
      </c>
      <c r="G17" s="247">
        <f>SUMIF(母公司报表调整!$F$5:$F$65536,IF(OR(MID(TRIM($A17),3,1)="：",MID(TRIM($A17),2,1)="、"),REPLACEB(TRIM($A17),1,6,""),TRIM($A17)),母公司报表调整!$J$5:$J$65536)</f>
        <v>0</v>
      </c>
      <c r="H17" s="247">
        <f>SUMIF(母公司报表调整!$I$5:$I$65536,IF(OR(MID(TRIM($A17),3,1)="：",MID(TRIM($A17),2,1)="、"),REPLACEB(TRIM($A17),1,6,""),TRIM($A17)),母公司报表调整!$J$5:$J$65536)</f>
        <v>0</v>
      </c>
      <c r="I17" s="247">
        <f t="shared" si="4"/>
        <v>0</v>
      </c>
      <c r="J17" s="236"/>
      <c r="K17" s="371">
        <f t="shared" si="5"/>
        <v>0</v>
      </c>
    </row>
    <row r="18" spans="1:11" ht="15" customHeight="1">
      <c r="A18" s="105" t="str">
        <f>报表格式!L17</f>
        <v xml:space="preserve">              提取保险合同准备金净额</v>
      </c>
      <c r="B18" s="247">
        <f>母公司PL汇总!B18</f>
        <v>0</v>
      </c>
      <c r="C18" s="247">
        <f>SUMIF(母公司汇总抵销!$F$5:$F$65538,IF(OR(MID(TRIM($A18),3,1)="：",MID(TRIM($A18),2,1)="、"),REPLACEB(TRIM($A18),1,6,""),TRIM($A18)),母公司汇总抵销!$J$5:$J$65538)</f>
        <v>0</v>
      </c>
      <c r="D18" s="247">
        <f>SUMIF(母公司汇总抵销!$I$5:$I$65538,IF(OR(MID(TRIM($A18),3,1)="：",MID(TRIM($A18),2,1)="、"),REPLACEB(TRIM($A18),1,6,""),TRIM($A18)),母公司汇总抵销!$J$5:$J$65538)</f>
        <v>0</v>
      </c>
      <c r="E18" s="829">
        <f>SUMIF(母公司账项调整!$F$5:$F$65536,IF(OR(MID(TRIM($A18),3,1)="：",MID(TRIM($A18),2,1)="、"),REPLACEB(TRIM($A18),1,6,""),TRIM($A18)),母公司账项调整!$J$5:$J$65536)</f>
        <v>0</v>
      </c>
      <c r="F18" s="247">
        <f>SUMIF(母公司账项调整!$I$5:$I$65536,IF(OR(MID(TRIM($A18),3,1)="：",MID(TRIM($A18),2,1)="、"),REPLACEB(TRIM($A18),1,6,""),TRIM($A18)),母公司账项调整!$J$5:$J$65536)</f>
        <v>0</v>
      </c>
      <c r="G18" s="247">
        <f>SUMIF(母公司报表调整!$F$5:$F$65536,IF(OR(MID(TRIM($A18),3,1)="：",MID(TRIM($A18),2,1)="、"),REPLACEB(TRIM($A18),1,6,""),TRIM($A18)),母公司报表调整!$J$5:$J$65536)</f>
        <v>0</v>
      </c>
      <c r="H18" s="247">
        <f>SUMIF(母公司报表调整!$I$5:$I$65536,IF(OR(MID(TRIM($A18),3,1)="：",MID(TRIM($A18),2,1)="、"),REPLACEB(TRIM($A18),1,6,""),TRIM($A18)),母公司报表调整!$J$5:$J$65536)</f>
        <v>0</v>
      </c>
      <c r="I18" s="247">
        <f t="shared" si="4"/>
        <v>0</v>
      </c>
      <c r="J18" s="236"/>
      <c r="K18" s="371">
        <f t="shared" si="5"/>
        <v>0</v>
      </c>
    </row>
    <row r="19" spans="1:11" ht="15" customHeight="1">
      <c r="A19" s="105" t="str">
        <f>报表格式!L18</f>
        <v xml:space="preserve">              保单红利支出</v>
      </c>
      <c r="B19" s="247">
        <f>母公司PL汇总!B19</f>
        <v>0</v>
      </c>
      <c r="C19" s="247">
        <f>SUMIF(母公司汇总抵销!$F$5:$F$65538,IF(OR(MID(TRIM($A19),3,1)="：",MID(TRIM($A19),2,1)="、"),REPLACEB(TRIM($A19),1,6,""),TRIM($A19)),母公司汇总抵销!$J$5:$J$65538)</f>
        <v>0</v>
      </c>
      <c r="D19" s="247">
        <f>SUMIF(母公司汇总抵销!$I$5:$I$65538,IF(OR(MID(TRIM($A19),3,1)="：",MID(TRIM($A19),2,1)="、"),REPLACEB(TRIM($A19),1,6,""),TRIM($A19)),母公司汇总抵销!$J$5:$J$65538)</f>
        <v>0</v>
      </c>
      <c r="E19" s="829">
        <f>SUMIF(母公司账项调整!$F$5:$F$65536,IF(OR(MID(TRIM($A19),3,1)="：",MID(TRIM($A19),2,1)="、"),REPLACEB(TRIM($A19),1,6,""),TRIM($A19)),母公司账项调整!$J$5:$J$65536)</f>
        <v>0</v>
      </c>
      <c r="F19" s="247">
        <f>SUMIF(母公司账项调整!$I$5:$I$65536,IF(OR(MID(TRIM($A19),3,1)="：",MID(TRIM($A19),2,1)="、"),REPLACEB(TRIM($A19),1,6,""),TRIM($A19)),母公司账项调整!$J$5:$J$65536)</f>
        <v>0</v>
      </c>
      <c r="G19" s="247">
        <f>SUMIF(母公司报表调整!$F$5:$F$65536,IF(OR(MID(TRIM($A19),3,1)="：",MID(TRIM($A19),2,1)="、"),REPLACEB(TRIM($A19),1,6,""),TRIM($A19)),母公司报表调整!$J$5:$J$65536)</f>
        <v>0</v>
      </c>
      <c r="H19" s="247">
        <f>SUMIF(母公司报表调整!$I$5:$I$65536,IF(OR(MID(TRIM($A19),3,1)="：",MID(TRIM($A19),2,1)="、"),REPLACEB(TRIM($A19),1,6,""),TRIM($A19)),母公司报表调整!$J$5:$J$65536)</f>
        <v>0</v>
      </c>
      <c r="I19" s="247">
        <f t="shared" si="4"/>
        <v>0</v>
      </c>
      <c r="J19" s="236"/>
      <c r="K19" s="371">
        <f t="shared" si="5"/>
        <v>0</v>
      </c>
    </row>
    <row r="20" spans="1:11" ht="15" customHeight="1">
      <c r="A20" s="105" t="str">
        <f>报表格式!L19</f>
        <v xml:space="preserve">              分保费用</v>
      </c>
      <c r="B20" s="247">
        <f>母公司PL汇总!B20</f>
        <v>0</v>
      </c>
      <c r="C20" s="247">
        <f>SUMIF(母公司汇总抵销!$F$5:$F$65538,IF(OR(MID(TRIM($A20),3,1)="：",MID(TRIM($A20),2,1)="、"),REPLACEB(TRIM($A20),1,6,""),TRIM($A20)),母公司汇总抵销!$J$5:$J$65538)</f>
        <v>0</v>
      </c>
      <c r="D20" s="247">
        <f>SUMIF(母公司汇总抵销!$I$5:$I$65538,IF(OR(MID(TRIM($A20),3,1)="：",MID(TRIM($A20),2,1)="、"),REPLACEB(TRIM($A20),1,6,""),TRIM($A20)),母公司汇总抵销!$J$5:$J$65538)</f>
        <v>0</v>
      </c>
      <c r="E20" s="829">
        <f>SUMIF(母公司账项调整!$F$5:$F$65536,IF(OR(MID(TRIM($A20),3,1)="：",MID(TRIM($A20),2,1)="、"),REPLACEB(TRIM($A20),1,6,""),TRIM($A20)),母公司账项调整!$J$5:$J$65536)</f>
        <v>0</v>
      </c>
      <c r="F20" s="247">
        <f>SUMIF(母公司账项调整!$I$5:$I$65536,IF(OR(MID(TRIM($A20),3,1)="：",MID(TRIM($A20),2,1)="、"),REPLACEB(TRIM($A20),1,6,""),TRIM($A20)),母公司账项调整!$J$5:$J$65536)</f>
        <v>0</v>
      </c>
      <c r="G20" s="247">
        <f>SUMIF(母公司报表调整!$F$5:$F$65536,IF(OR(MID(TRIM($A20),3,1)="：",MID(TRIM($A20),2,1)="、"),REPLACEB(TRIM($A20),1,6,""),TRIM($A20)),母公司报表调整!$J$5:$J$65536)</f>
        <v>0</v>
      </c>
      <c r="H20" s="247">
        <f>SUMIF(母公司报表调整!$I$5:$I$65536,IF(OR(MID(TRIM($A20),3,1)="：",MID(TRIM($A20),2,1)="、"),REPLACEB(TRIM($A20),1,6,""),TRIM($A20)),母公司报表调整!$J$5:$J$65536)</f>
        <v>0</v>
      </c>
      <c r="I20" s="247">
        <f t="shared" si="4"/>
        <v>0</v>
      </c>
      <c r="J20" s="236"/>
      <c r="K20" s="371">
        <f t="shared" si="5"/>
        <v>0</v>
      </c>
    </row>
    <row r="21" spans="1:11" ht="15" customHeight="1">
      <c r="A21" s="105" t="str">
        <f>报表格式!L20</f>
        <v xml:space="preserve">              其他业务成本</v>
      </c>
      <c r="B21" s="247">
        <f>母公司PL汇总!B21</f>
        <v>0</v>
      </c>
      <c r="C21" s="247">
        <f>SUMIF(母公司汇总抵销!$F$5:$F$65538,IF(OR(MID(TRIM($A21),3,1)="：",MID(TRIM($A21),2,1)="、"),REPLACEB(TRIM($A21),1,6,""),TRIM($A21)),母公司汇总抵销!$J$5:$J$65538)</f>
        <v>0</v>
      </c>
      <c r="D21" s="247">
        <f>SUMIF(母公司汇总抵销!$I$5:$I$65538,IF(OR(MID(TRIM($A21),3,1)="：",MID(TRIM($A21),2,1)="、"),REPLACEB(TRIM($A21),1,6,""),TRIM($A21)),母公司汇总抵销!$J$5:$J$65538)</f>
        <v>0</v>
      </c>
      <c r="E21" s="829">
        <f>SUMIF(母公司账项调整!$F$5:$F$65536,IF(OR(MID(TRIM($A21),3,1)="：",MID(TRIM($A21),2,1)="、"),REPLACEB(TRIM($A21),1,6,""),TRIM($A21)),母公司账项调整!$J$5:$J$65536)</f>
        <v>0</v>
      </c>
      <c r="F21" s="247">
        <f>SUMIF(母公司账项调整!$I$5:$I$65536,IF(OR(MID(TRIM($A21),3,1)="：",MID(TRIM($A21),2,1)="、"),REPLACEB(TRIM($A21),1,6,""),TRIM($A21)),母公司账项调整!$J$5:$J$65536)</f>
        <v>0</v>
      </c>
      <c r="G21" s="247">
        <f>SUMIF(母公司报表调整!$F$5:$F$65536,IF(OR(MID(TRIM($A21),3,1)="：",MID(TRIM($A21),2,1)="、"),REPLACEB(TRIM($A21),1,6,""),TRIM($A21)),母公司报表调整!$J$5:$J$65536)</f>
        <v>0</v>
      </c>
      <c r="H21" s="247">
        <f>SUMIF(母公司报表调整!$I$5:$I$65536,IF(OR(MID(TRIM($A21),3,1)="：",MID(TRIM($A21),2,1)="、"),REPLACEB(TRIM($A21),1,6,""),TRIM($A21)),母公司报表调整!$J$5:$J$65536)</f>
        <v>0</v>
      </c>
      <c r="I21" s="247">
        <f t="shared" si="3"/>
        <v>0</v>
      </c>
      <c r="J21" s="236"/>
      <c r="K21" s="371">
        <f t="shared" si="0"/>
        <v>0</v>
      </c>
    </row>
    <row r="22" spans="1:11" ht="15" customHeight="1">
      <c r="A22" s="105" t="str">
        <f>报表格式!L21</f>
        <v xml:space="preserve">        税金及附加</v>
      </c>
      <c r="B22" s="247">
        <f>母公司PL汇总!B22</f>
        <v>0</v>
      </c>
      <c r="C22" s="247">
        <f>SUMIF(母公司汇总抵销!$E$5:$E$65538,IF(OR(MID(TRIM($A22),2,1)="：",MID(TRIM($A22),2,1)="、"),REPLACEB(TRIM($A22),1,4,""),TRIM($A22)),母公司汇总抵销!$J$5:$J$65538)</f>
        <v>0</v>
      </c>
      <c r="D22" s="247">
        <f>SUMIF(母公司汇总抵销!$H$5:$H$65538,IF(OR(MID(TRIM($A22),2,1)="：",MID(TRIM($A22),2,1)="、"),REPLACEB(TRIM($A22),1,4,""),TRIM($A22)),母公司汇总抵销!$J$5:$J$65538)</f>
        <v>0</v>
      </c>
      <c r="E22" s="829">
        <f>SUMIF(母公司账项调整!$E$5:$E$65536,IF(OR(MID(TRIM($A22),2,1)="：",MID(TRIM($A22),2,1)="、"),REPLACEB(TRIM($A22),1,4,""),TRIM($A22)),母公司账项调整!$J$5:$J$65536)</f>
        <v>0</v>
      </c>
      <c r="F22" s="247">
        <f>SUMIF(母公司账项调整!$H$5:$H$65536,IF(OR(MID(TRIM($A22),2,1)="：",MID(TRIM($A22),2,1)="、"),REPLACEB(TRIM($A22),1,4,""),TRIM($A22)),母公司账项调整!$J$5:$J$65536)</f>
        <v>0</v>
      </c>
      <c r="G22" s="247">
        <f>SUMIF(母公司报表调整!$E$5:$E$65536,IF(OR(MID(TRIM($A22),2,1)="：",MID(TRIM($A22),2,1)="、"),REPLACEB(TRIM($A22),1,4,""),TRIM($A22)),母公司报表调整!$J$5:$J$65536)</f>
        <v>0</v>
      </c>
      <c r="H22" s="247">
        <f>SUMIF(母公司报表调整!$H$5:$H$65536,IF(OR(MID(TRIM($A22),2,1)="：",MID(TRIM($A22),2,1)="、"),REPLACEB(TRIM($A22),1,4,""),TRIM($A22)),母公司报表调整!$J$5:$J$65536)</f>
        <v>0</v>
      </c>
      <c r="I22" s="247">
        <f t="shared" si="3"/>
        <v>0</v>
      </c>
      <c r="J22" s="236"/>
      <c r="K22" s="371">
        <f t="shared" si="0"/>
        <v>0</v>
      </c>
    </row>
    <row r="23" spans="1:11" ht="15" customHeight="1">
      <c r="A23" s="105" t="str">
        <f>报表格式!L22</f>
        <v xml:space="preserve">        销售费用</v>
      </c>
      <c r="B23" s="247">
        <f>母公司PL汇总!B23</f>
        <v>0</v>
      </c>
      <c r="C23" s="247">
        <f>SUMIF(母公司汇总抵销!$E$5:$E$65538,IF(OR(MID(TRIM($A23),2,1)="：",MID(TRIM($A23),2,1)="、"),REPLACEB(TRIM($A23),1,4,""),TRIM($A23)),母公司汇总抵销!$J$5:$J$65538)</f>
        <v>0</v>
      </c>
      <c r="D23" s="247">
        <f>SUMIF(母公司汇总抵销!$H$5:$H$65538,IF(OR(MID(TRIM($A23),2,1)="：",MID(TRIM($A23),2,1)="、"),REPLACEB(TRIM($A23),1,4,""),TRIM($A23)),母公司汇总抵销!$J$5:$J$65538)</f>
        <v>0</v>
      </c>
      <c r="E23" s="829">
        <f>SUMIF(母公司账项调整!$E$5:$E$65536,IF(OR(MID(TRIM($A23),2,1)="：",MID(TRIM($A23),2,1)="、"),REPLACEB(TRIM($A23),1,4,""),TRIM($A23)),母公司账项调整!$J$5:$J$65536)</f>
        <v>0</v>
      </c>
      <c r="F23" s="247">
        <f>SUMIF(母公司账项调整!$H$5:$H$65536,IF(OR(MID(TRIM($A23),2,1)="：",MID(TRIM($A23),2,1)="、"),REPLACEB(TRIM($A23),1,4,""),TRIM($A23)),母公司账项调整!$J$5:$J$65536)</f>
        <v>0</v>
      </c>
      <c r="G23" s="247">
        <f>SUMIF(母公司报表调整!$E$5:$E$65536,IF(OR(MID(TRIM($A23),2,1)="：",MID(TRIM($A23),2,1)="、"),REPLACEB(TRIM($A23),1,4,""),TRIM($A23)),母公司报表调整!$J$5:$J$65536)</f>
        <v>0</v>
      </c>
      <c r="H23" s="247">
        <f>SUMIF(母公司报表调整!$H$5:$H$65536,IF(OR(MID(TRIM($A23),2,1)="：",MID(TRIM($A23),2,1)="、"),REPLACEB(TRIM($A23),1,4,""),TRIM($A23)),母公司报表调整!$J$5:$J$65536)</f>
        <v>0</v>
      </c>
      <c r="I23" s="247">
        <f t="shared" si="3"/>
        <v>0</v>
      </c>
      <c r="J23" s="236"/>
      <c r="K23" s="371">
        <f t="shared" si="0"/>
        <v>0</v>
      </c>
    </row>
    <row r="24" spans="1:11" ht="15" customHeight="1">
      <c r="A24" s="105" t="str">
        <f>报表格式!L23</f>
        <v xml:space="preserve">        管理费用</v>
      </c>
      <c r="B24" s="247">
        <f>母公司PL汇总!B24</f>
        <v>0</v>
      </c>
      <c r="C24" s="247">
        <f>SUMIF(母公司汇总抵销!$E$5:$E$65538,IF(OR(MID(TRIM($A24),2,1)="：",MID(TRIM($A24),2,1)="、"),REPLACEB(TRIM($A24),1,4,""),TRIM($A24)),母公司汇总抵销!$J$5:$J$65538)</f>
        <v>0</v>
      </c>
      <c r="D24" s="247">
        <f>SUMIF(母公司汇总抵销!$H$5:$H$65538,IF(OR(MID(TRIM($A24),2,1)="：",MID(TRIM($A24),2,1)="、"),REPLACEB(TRIM($A24),1,4,""),TRIM($A24)),母公司汇总抵销!$J$5:$J$65538)</f>
        <v>0</v>
      </c>
      <c r="E24" s="829">
        <f>SUMIF(母公司账项调整!$E$5:$E$65536,IF(OR(MID(TRIM($A24),2,1)="：",MID(TRIM($A24),2,1)="、"),REPLACEB(TRIM($A24),1,4,""),TRIM($A24)),母公司账项调整!$J$5:$J$65536)</f>
        <v>0</v>
      </c>
      <c r="F24" s="247">
        <f>SUMIF(母公司账项调整!$H$5:$H$65536,IF(OR(MID(TRIM($A24),2,1)="：",MID(TRIM($A24),2,1)="、"),REPLACEB(TRIM($A24),1,4,""),TRIM($A24)),母公司账项调整!$J$5:$J$65536)</f>
        <v>0</v>
      </c>
      <c r="G24" s="247">
        <f>SUMIF(母公司报表调整!$E$5:$E$65536,IF(OR(MID(TRIM($A24),2,1)="：",MID(TRIM($A24),2,1)="、"),REPLACEB(TRIM($A24),1,4,""),TRIM($A24)),母公司报表调整!$J$5:$J$65536)</f>
        <v>0</v>
      </c>
      <c r="H24" s="247">
        <f>SUMIF(母公司报表调整!$H$5:$H$65536,IF(OR(MID(TRIM($A24),2,1)="：",MID(TRIM($A24),2,1)="、"),REPLACEB(TRIM($A24),1,4,""),TRIM($A24)),母公司报表调整!$J$5:$J$65536)</f>
        <v>0</v>
      </c>
      <c r="I24" s="247">
        <f t="shared" si="3"/>
        <v>0</v>
      </c>
      <c r="J24" s="236"/>
      <c r="K24" s="371">
        <f t="shared" si="0"/>
        <v>0</v>
      </c>
    </row>
    <row r="25" spans="1:11" ht="15" customHeight="1">
      <c r="A25" s="105" t="str">
        <f>报表格式!L24</f>
        <v xml:space="preserve">        研发费用</v>
      </c>
      <c r="B25" s="247">
        <f>母公司PL汇总!B25</f>
        <v>0</v>
      </c>
      <c r="C25" s="247">
        <f>SUMIF(母公司汇总抵销!$E$5:$E$65538,IF(OR(MID(TRIM($A25),2,1)="：",MID(TRIM($A25),2,1)="、"),REPLACEB(TRIM($A25),1,4,""),TRIM($A25)),母公司汇总抵销!$J$5:$J$65538)</f>
        <v>0</v>
      </c>
      <c r="D25" s="247">
        <f>SUMIF(母公司汇总抵销!$H$5:$H$65538,IF(OR(MID(TRIM($A25),2,1)="：",MID(TRIM($A25),2,1)="、"),REPLACEB(TRIM($A25),1,4,""),TRIM($A25)),母公司汇总抵销!$J$5:$J$65538)</f>
        <v>0</v>
      </c>
      <c r="E25" s="829">
        <f>SUMIF(母公司账项调整!$E$5:$E$65536,IF(OR(MID(TRIM($A25),2,1)="：",MID(TRIM($A25),2,1)="、"),REPLACEB(TRIM($A25),1,4,""),TRIM($A25)),母公司账项调整!$J$5:$J$65536)</f>
        <v>0</v>
      </c>
      <c r="F25" s="247">
        <f>SUMIF(母公司账项调整!$H$5:$H$65536,IF(OR(MID(TRIM($A25),2,1)="：",MID(TRIM($A25),2,1)="、"),REPLACEB(TRIM($A25),1,4,""),TRIM($A25)),母公司账项调整!$J$5:$J$65536)</f>
        <v>0</v>
      </c>
      <c r="G25" s="247">
        <f>SUMIF(母公司报表调整!$E$5:$E$65536,IF(OR(MID(TRIM($A25),2,1)="：",MID(TRIM($A25),2,1)="、"),REPLACEB(TRIM($A25),1,4,""),TRIM($A25)),母公司报表调整!$J$5:$J$65536)</f>
        <v>0</v>
      </c>
      <c r="H25" s="247">
        <f>SUMIF(母公司报表调整!$H$5:$H$65536,IF(OR(MID(TRIM($A25),2,1)="：",MID(TRIM($A25),2,1)="、"),REPLACEB(TRIM($A25),1,4,""),TRIM($A25)),母公司报表调整!$J$5:$J$65536)</f>
        <v>0</v>
      </c>
      <c r="I25" s="247">
        <f t="shared" si="3"/>
        <v>0</v>
      </c>
      <c r="J25" s="236"/>
      <c r="K25" s="371">
        <f t="shared" si="0"/>
        <v>0</v>
      </c>
    </row>
    <row r="26" spans="1:11" ht="15" customHeight="1">
      <c r="A26" s="105" t="str">
        <f>报表格式!L25</f>
        <v xml:space="preserve">        财务费用</v>
      </c>
      <c r="B26" s="247">
        <f>母公司PL汇总!B26</f>
        <v>0</v>
      </c>
      <c r="C26" s="247">
        <f>SUMIF(母公司汇总抵销!$E$5:$E$65538,IF(OR(MID(TRIM($A26),2,1)="：",MID(TRIM($A26),2,1)="、"),REPLACEB(TRIM($A26),1,4,""),TRIM($A26)),母公司汇总抵销!$J$5:$J$65538)</f>
        <v>0</v>
      </c>
      <c r="D26" s="247">
        <f>SUMIF(母公司汇总抵销!$H$5:$H$65538,IF(OR(MID(TRIM($A26),2,1)="：",MID(TRIM($A26),2,1)="、"),REPLACEB(TRIM($A26),1,4,""),TRIM($A26)),母公司汇总抵销!$J$5:$J$65538)</f>
        <v>0</v>
      </c>
      <c r="E26" s="829">
        <f>SUMIF(母公司账项调整!$E$5:$E$65536,IF(OR(MID(TRIM($A26),2,1)="：",MID(TRIM($A26),2,1)="、"),REPLACEB(TRIM($A26),1,4,""),TRIM($A26)),母公司账项调整!$J$5:$J$65536)</f>
        <v>0</v>
      </c>
      <c r="F26" s="247">
        <f>SUMIF(母公司账项调整!$H$5:$H$65536,IF(OR(MID(TRIM($A26),2,1)="：",MID(TRIM($A26),2,1)="、"),REPLACEB(TRIM($A26),1,4,""),TRIM($A26)),母公司账项调整!$J$5:$J$65536)</f>
        <v>0</v>
      </c>
      <c r="G26" s="247">
        <f>SUMIF(母公司报表调整!$E$5:$E$65536,IF(OR(MID(TRIM($A26),2,1)="：",MID(TRIM($A26),2,1)="、"),REPLACEB(TRIM($A26),1,4,""),TRIM($A26)),母公司报表调整!$J$5:$J$65536)</f>
        <v>0</v>
      </c>
      <c r="H26" s="247">
        <f>SUMIF(母公司报表调整!$H$5:$H$65536,IF(OR(MID(TRIM($A26),2,1)="：",MID(TRIM($A26),2,1)="、"),REPLACEB(TRIM($A26),1,4,""),TRIM($A26)),母公司报表调整!$J$5:$J$65536)</f>
        <v>0</v>
      </c>
      <c r="I26" s="247">
        <f t="shared" si="3"/>
        <v>0</v>
      </c>
      <c r="J26" s="236"/>
      <c r="K26" s="371">
        <f t="shared" si="0"/>
        <v>0</v>
      </c>
    </row>
    <row r="27" spans="1:11" ht="15" customHeight="1">
      <c r="A27" s="105" t="str">
        <f>报表格式!L26</f>
        <v xml:space="preserve">        其中：利息费用</v>
      </c>
      <c r="B27" s="247">
        <f>母公司PL汇总!B27</f>
        <v>0</v>
      </c>
      <c r="C27" s="247">
        <f>SUMIF(母公司汇总抵销!$F$5:$F$65538,IF(OR(MID(TRIM($A27),3,1)="：",MID(TRIM($A27),2,1)="、"),REPLACEB(TRIM($A27),1,6,""),TRIM($A27)),母公司汇总抵销!$J$5:$J$65538)</f>
        <v>0</v>
      </c>
      <c r="D27" s="247">
        <f>SUMIF(母公司汇总抵销!$I$5:$I$65538,IF(OR(MID(TRIM($A27),3,1)="：",MID(TRIM($A27),2,1)="、"),REPLACEB(TRIM($A27),1,6,""),TRIM($A27)),母公司汇总抵销!$J$5:$J$65538)</f>
        <v>0</v>
      </c>
      <c r="E27" s="829">
        <f>SUMIF(母公司账项调整!$F$5:$F$65536,IF(OR(MID(TRIM($A27),3,1)="：",MID(TRIM($A27),2,1)="、"),REPLACEB(TRIM($A27),1,6,""),TRIM($A27)),母公司账项调整!$J$5:$J$65536)</f>
        <v>0</v>
      </c>
      <c r="F27" s="247">
        <f>SUMIF(母公司账项调整!$I$5:$I$65536,IF(OR(MID(TRIM($A27),3,1)="：",MID(TRIM($A27),2,1)="、"),REPLACEB(TRIM($A27),1,6,""),TRIM($A27)),母公司账项调整!$J$5:$J$65536)</f>
        <v>0</v>
      </c>
      <c r="G27" s="247">
        <f>SUMIF(母公司报表调整!$F$5:$F$65536,IF(OR(MID(TRIM($A27),3,1)="：",MID(TRIM($A27),2,1)="、"),REPLACEB(TRIM($A27),1,6,""),TRIM($A27)),母公司报表调整!$J$5:$J$65536)</f>
        <v>0</v>
      </c>
      <c r="H27" s="247">
        <f>SUMIF(母公司报表调整!$I$5:$I$65536,IF(OR(MID(TRIM($A27),3,1)="：",MID(TRIM($A27),2,1)="、"),REPLACEB(TRIM($A27),1,6,""),TRIM($A27)),母公司报表调整!$J$5:$J$65536)</f>
        <v>0</v>
      </c>
      <c r="I27" s="247">
        <f t="shared" si="3"/>
        <v>0</v>
      </c>
      <c r="J27" s="236"/>
      <c r="K27" s="371">
        <f t="shared" si="0"/>
        <v>0</v>
      </c>
    </row>
    <row r="28" spans="1:11" ht="15" customHeight="1">
      <c r="A28" s="105" t="str">
        <f>报表格式!L27</f>
        <v xml:space="preserve">              利息收入</v>
      </c>
      <c r="B28" s="247">
        <f>母公司PL汇总!B28</f>
        <v>0</v>
      </c>
      <c r="C28" s="247">
        <f>SUMIF(母公司汇总抵销!$F$5:$F$65538,IF(OR(MID(TRIM($A28),3,1)="：",MID(TRIM($A28),2,1)="、"),REPLACEB(TRIM($A28),1,6,""),TRIM($A28)),母公司汇总抵销!$J$5:$J$65538)</f>
        <v>0</v>
      </c>
      <c r="D28" s="247">
        <f>SUMIF(母公司汇总抵销!$I$5:$I$65538,IF(OR(MID(TRIM($A28),3,1)="：",MID(TRIM($A28),2,1)="、"),REPLACEB(TRIM($A28),1,6,""),TRIM($A28)),母公司汇总抵销!$J$5:$J$65538)</f>
        <v>0</v>
      </c>
      <c r="E28" s="829">
        <f>SUMIF(母公司账项调整!$F$5:$F$65536,IF(OR(MID(TRIM($A28),3,1)="：",MID(TRIM($A28),2,1)="、"),REPLACEB(TRIM($A28),1,6,""),TRIM($A28)),母公司账项调整!$J$5:$J$65536)</f>
        <v>0</v>
      </c>
      <c r="F28" s="247">
        <f>SUMIF(母公司账项调整!$I$5:$I$65536,IF(OR(MID(TRIM($A28),3,1)="：",MID(TRIM($A28),2,1)="、"),REPLACEB(TRIM($A28),1,6,""),TRIM($A28)),母公司账项调整!$J$5:$J$65536)</f>
        <v>0</v>
      </c>
      <c r="G28" s="247">
        <f>SUMIF(母公司报表调整!$F$5:$F$65536,IF(OR(MID(TRIM($A28),3,1)="：",MID(TRIM($A28),2,1)="、"),REPLACEB(TRIM($A28),1,6,""),TRIM($A28)),母公司报表调整!$J$5:$J$65536)</f>
        <v>0</v>
      </c>
      <c r="H28" s="247">
        <f>SUMIF(母公司报表调整!$I$5:$I$65536,IF(OR(MID(TRIM($A28),3,1)="：",MID(TRIM($A28),2,1)="、"),REPLACEB(TRIM($A28),1,6,""),TRIM($A28)),母公司报表调整!$J$5:$J$65536)</f>
        <v>0</v>
      </c>
      <c r="I28" s="247">
        <f>B28+E28+G28-F28-H28+C28-D28</f>
        <v>0</v>
      </c>
      <c r="J28" s="306"/>
      <c r="K28" s="371">
        <f t="shared" si="0"/>
        <v>0</v>
      </c>
    </row>
    <row r="29" spans="1:11" ht="15" customHeight="1">
      <c r="A29" s="105" t="str">
        <f>报表格式!L28</f>
        <v xml:space="preserve">    加：其他收益</v>
      </c>
      <c r="B29" s="247">
        <f>母公司PL汇总!B29</f>
        <v>0</v>
      </c>
      <c r="C29" s="247">
        <f>SUMIF(母公司汇总抵销!$E$5:$E$65538,IF(OR(MID(TRIM($A29),2,1)="：",MID(TRIM($A29),2,1)="、"),REPLACEB(TRIM($A29),1,4,""),TRIM($A29)),母公司汇总抵销!$J$5:$J$65538)</f>
        <v>0</v>
      </c>
      <c r="D29" s="247">
        <f>SUMIF(母公司汇总抵销!$H$5:$H$65538,IF(OR(MID(TRIM($A29),2,1)="：",MID(TRIM($A29),2,1)="、"),REPLACEB(TRIM($A29),1,4,""),TRIM($A29)),母公司汇总抵销!$J$5:$J$65538)</f>
        <v>0</v>
      </c>
      <c r="E29" s="829">
        <f>SUMIF(母公司账项调整!$E$5:$E$65536,IF(OR(MID(TRIM($A29),2,1)="：",MID(TRIM($A29),2,1)="、"),REPLACEB(TRIM($A29),1,4,""),TRIM($A29)),母公司账项调整!$J$5:$J$65536)</f>
        <v>0</v>
      </c>
      <c r="F29" s="247">
        <f>SUMIF(母公司账项调整!$H$5:$H$65536,IF(OR(MID(TRIM($A29),2,1)="：",MID(TRIM($A29),2,1)="、"),REPLACEB(TRIM($A29),1,4,""),TRIM($A29)),母公司账项调整!$J$5:$J$65536)</f>
        <v>0</v>
      </c>
      <c r="G29" s="247">
        <f>SUMIF(母公司报表调整!$E$5:$E$65536,IF(OR(MID(TRIM($A29),2,1)="：",MID(TRIM($A29),2,1)="、"),REPLACEB(TRIM($A29),1,4,""),TRIM($A29)),母公司报表调整!$J$5:$J$65536)</f>
        <v>0</v>
      </c>
      <c r="H29" s="247">
        <f>SUMIF(母公司报表调整!$H$5:$H$65536,IF(OR(MID(TRIM($A29),2,1)="：",MID(TRIM($A29),2,1)="、"),REPLACEB(TRIM($A29),1,4,""),TRIM($A29)),母公司报表调整!$J$5:$J$65536)</f>
        <v>0</v>
      </c>
      <c r="I29" s="247">
        <f t="shared" ref="I29:I31" si="6">B29-E29-G29+F29+H29-C29+D29</f>
        <v>0</v>
      </c>
      <c r="J29" s="236"/>
      <c r="K29" s="371">
        <f t="shared" si="0"/>
        <v>0</v>
      </c>
    </row>
    <row r="30" spans="1:11" ht="15" customHeight="1">
      <c r="A30" s="105" t="str">
        <f>报表格式!L29</f>
        <v xml:space="preserve">        投资收益（损失以“－”号填列）</v>
      </c>
      <c r="B30" s="247">
        <f>母公司PL汇总!B30</f>
        <v>0</v>
      </c>
      <c r="C30" s="247">
        <f>SUMIF(母公司汇总抵销!$E$5:$E$65538,LEFT(IF(OR(MID(TRIM($A30),2,1)="：",MID(TRIM($A30),2,1)="、"),REPLACEB(TRIM($A30),1,4,""),TRIM($A30)),4),母公司汇总抵销!$J$5:$J$65538)</f>
        <v>0</v>
      </c>
      <c r="D30" s="247">
        <f>SUMIF(母公司汇总抵销!$H$5:$H$65538,LEFT(IF(OR(MID(TRIM($A30),2,1)="：",MID(TRIM($A30),2,1)="、"),REPLACEB(TRIM($A30),1,4,""),TRIM($A30)),4),母公司汇总抵销!$J$5:$J$65538)</f>
        <v>0</v>
      </c>
      <c r="E30" s="814">
        <f>SUMIF(母公司账项调整!$E$5:$E$65536,LEFT(IF(OR(MID(TRIM($A30),2,1)="：",MID(TRIM($A30),2,1)="、"),REPLACEB(TRIM($A30),1,4,""),TRIM($A30)),4),母公司账项调整!$J$5:$J$65536)</f>
        <v>0</v>
      </c>
      <c r="F30" s="236">
        <f>SUMIF(母公司账项调整!$H$5:$H$65536,LEFT(IF(OR(MID(TRIM($A30),2,1)="：",MID(TRIM($A30),2,1)="、"),REPLACEB(TRIM($A30),1,4,""),TRIM($A30)),4),母公司账项调整!$J$5:$J$65536)</f>
        <v>0</v>
      </c>
      <c r="G30" s="236">
        <f>SUMIF(母公司报表调整!$E$5:$E$65536,LEFT(IF(OR(MID(TRIM($A30),2,1)="：",MID(TRIM($A30),2,1)="、"),REPLACEB(TRIM($A30),1,4,""),TRIM($A30)),4),母公司报表调整!$J$5:$J$65536)</f>
        <v>0</v>
      </c>
      <c r="H30" s="236">
        <f>SUMIF(母公司报表调整!$H$5:$H$65536,LEFT(IF(OR(MID(TRIM($A30),2,1)="：",MID(TRIM($A30),2,1)="、"),REPLACEB(TRIM($A30),1,4,""),TRIM($A30)),4),母公司报表调整!$J$5:$J$65536)</f>
        <v>0</v>
      </c>
      <c r="I30" s="247">
        <f t="shared" si="6"/>
        <v>0</v>
      </c>
      <c r="J30" s="236"/>
      <c r="K30" s="371">
        <f t="shared" si="0"/>
        <v>0</v>
      </c>
    </row>
    <row r="31" spans="1:11" ht="15" customHeight="1">
      <c r="A31" s="105" t="str">
        <f>报表格式!L30</f>
        <v xml:space="preserve">        其中：对联营企业和合营企业的投资收益</v>
      </c>
      <c r="B31" s="247">
        <f>母公司PL汇总!B31</f>
        <v>0</v>
      </c>
      <c r="C31" s="247">
        <f>SUMIF(母公司汇总抵销!$F$5:$F$65538,IF(OR(MID(TRIM($A31),3,1)="：",MID(TRIM($A31),2,1)="、"),REPLACEB(TRIM($A31),1,6,""),TRIM($A31)),母公司汇总抵销!$J$5:$J$65538)</f>
        <v>0</v>
      </c>
      <c r="D31" s="247">
        <f>SUMIF(母公司汇总抵销!$I$5:$I$65538,IF(OR(MID(TRIM($A31),3,1)="：",MID(TRIM($A31),2,1)="、"),REPLACEB(TRIM($A31),1,6,""),TRIM($A31)),母公司汇总抵销!$J$5:$J$65538)</f>
        <v>0</v>
      </c>
      <c r="E31" s="829">
        <f>SUMIF(母公司账项调整!$F$5:$F$65536,IF(OR(MID(TRIM($A31),3,1)="：",MID(TRIM($A31),2,1)="、"),REPLACEB(TRIM($A31),1,6,""),TRIM($A31)),母公司账项调整!$J$5:$J$65536)</f>
        <v>0</v>
      </c>
      <c r="F31" s="247">
        <f>SUMIF(母公司账项调整!$I$5:$I$65536,IF(OR(MID(TRIM($A31),3,1)="：",MID(TRIM($A31),2,1)="、"),REPLACEB(TRIM($A31),1,6,""),TRIM($A31)),母公司账项调整!$J$5:$J$65536)</f>
        <v>0</v>
      </c>
      <c r="G31" s="247">
        <f>SUMIF(母公司报表调整!$F$5:$F$65536,IF(OR(MID(TRIM($A31),3,1)="：",MID(TRIM($A31),2,1)="、"),REPLACEB(TRIM($A31),1,6,""),TRIM($A31)),母公司报表调整!$J$5:$J$65536)</f>
        <v>0</v>
      </c>
      <c r="H31" s="247">
        <f>SUMIF(母公司报表调整!$I$5:$I$65536,IF(OR(MID(TRIM($A31),3,1)="：",MID(TRIM($A31),2,1)="、"),REPLACEB(TRIM($A31),1,6,""),TRIM($A31)),母公司报表调整!$J$5:$J$65536)</f>
        <v>0</v>
      </c>
      <c r="I31" s="247">
        <f t="shared" si="6"/>
        <v>0</v>
      </c>
      <c r="J31" s="236"/>
      <c r="K31" s="371">
        <f t="shared" si="0"/>
        <v>0</v>
      </c>
    </row>
    <row r="32" spans="1:11" ht="15" customHeight="1">
      <c r="A32" s="105" t="str">
        <f>报表格式!L31</f>
        <v xml:space="preserve">              以摊余成本计量的金融资产终止确认收益（损失以“-”号填列）</v>
      </c>
      <c r="B32" s="247">
        <f>母公司PL汇总!B32</f>
        <v>0</v>
      </c>
      <c r="C32" s="247">
        <f>SUMIF(母公司汇总抵销!$F$5:$F$65538,LEFT(IF(OR(MID(TRIM($A32),3,1)="：",MID(TRIM($A32),2,1)="、"),REPLACEB(TRIM($A32),1,6,""),TRIM($A32)),18),母公司汇总抵销!$J$5:$J$65538)</f>
        <v>0</v>
      </c>
      <c r="D32" s="247">
        <f>SUMIF(母公司汇总抵销!$I$5:$I$65538,LEFT(IF(OR(MID(TRIM($A32),3,1)="：",MID(TRIM($A32),2,1)="、"),REPLACEB(TRIM($A32),1,6,""),TRIM($A32)),18),母公司汇总抵销!$J$5:$J$65538)</f>
        <v>0</v>
      </c>
      <c r="E32" s="829">
        <f>SUMIF(母公司账项调整!$F$5:$F$65536,LEFT(IF(OR(MID(TRIM($A32),3,1)="：",MID(TRIM($A32),2,1)="、"),REPLACEB(TRIM($A32),1,6,""),TRIM($A32)),18),母公司账项调整!$J$5:$J$65536)</f>
        <v>0</v>
      </c>
      <c r="F32" s="247">
        <f>SUMIF(母公司账项调整!$I$5:$I$65536,LEFT(IF(OR(MID(TRIM($A32),3,1)="：",MID(TRIM($A32),2,1)="、"),REPLACEB(TRIM($A32),1,6,""),TRIM($A32)),18),母公司账项调整!$J$5:$J$65536)</f>
        <v>0</v>
      </c>
      <c r="G32" s="247">
        <f>SUMIF(母公司报表调整!$F$5:$F$65536,LEFT(IF(OR(MID(TRIM($A32),3,1)="：",MID(TRIM($A32),2,1)="、"),REPLACEB(TRIM($A32),1,6,""),TRIM($A32)),18),母公司报表调整!$J$5:$J$65536)</f>
        <v>0</v>
      </c>
      <c r="H32" s="247">
        <f>SUMIF(母公司报表调整!$I$5:$I$65536,LEFT(IF(OR(MID(TRIM($A32),3,1)="：",MID(TRIM($A32),2,1)="、"),REPLACEB(TRIM($A32),1,6,""),TRIM($A32)),18),母公司报表调整!$J$5:$J$65536)</f>
        <v>0</v>
      </c>
      <c r="I32" s="247">
        <f t="shared" ref="I32:I36" si="7">B32-E32-G32+F32+H32-C32+D32</f>
        <v>0</v>
      </c>
      <c r="J32" s="236"/>
      <c r="K32" s="371">
        <f t="shared" si="0"/>
        <v>0</v>
      </c>
    </row>
    <row r="33" spans="1:14" ht="15" customHeight="1">
      <c r="A33" s="105" t="str">
        <f>报表格式!L32</f>
        <v xml:space="preserve">        净敞口套期收益（损失以“-”号填列）</v>
      </c>
      <c r="B33" s="247">
        <f>母公司PL汇总!B33</f>
        <v>0</v>
      </c>
      <c r="C33" s="247">
        <f>SUMIF(母公司汇总抵销!$E$5:$E$65538,LEFT(IF(OR(MID(TRIM($A33),2,1)="：",MID(TRIM($A33),2,1)="、"),REPLACEB(TRIM($A33),1,4,""),TRIM($A33)),7),母公司汇总抵销!$J$5:$J$65538)</f>
        <v>0</v>
      </c>
      <c r="D33" s="247">
        <f>SUMIF(母公司汇总抵销!$H$5:$H$65538,LEFT(IF(OR(MID(TRIM($A33),2,1)="：",MID(TRIM($A33),2,1)="、"),REPLACEB(TRIM($A33),1,4,""),TRIM($A33)),7),母公司汇总抵销!$J$5:$J$65538)</f>
        <v>0</v>
      </c>
      <c r="E33" s="814">
        <f>SUMIF(母公司账项调整!$E$5:$E$65536,LEFT(IF(OR(MID(TRIM($A33),2,1)="：",MID(TRIM($A33),2,1)="、"),REPLACEB(TRIM($A33),1,4,""),TRIM($A33)),7),母公司账项调整!$J$5:$J$65536)</f>
        <v>0</v>
      </c>
      <c r="F33" s="236">
        <f>SUMIF(母公司账项调整!$H$5:$H$65536,LEFT(IF(OR(MID(TRIM($A33),2,1)="：",MID(TRIM($A33),2,1)="、"),REPLACEB(TRIM($A33),1,4,""),TRIM($A33)),7),母公司账项调整!$J$5:$J$65536)</f>
        <v>0</v>
      </c>
      <c r="G33" s="236">
        <f>SUMIF(母公司报表调整!$E$5:$E$65536,LEFT(IF(OR(MID(TRIM($A33),2,1)="：",MID(TRIM($A33),2,1)="、"),REPLACEB(TRIM($A33),1,4,""),TRIM($A33)),7),母公司报表调整!$J$5:$J$65536)</f>
        <v>0</v>
      </c>
      <c r="H33" s="236">
        <f>SUMIF(母公司报表调整!$H$5:$H$65536,LEFT(IF(OR(MID(TRIM($A33),2,1)="：",MID(TRIM($A33),2,1)="、"),REPLACEB(TRIM($A33),1,4,""),TRIM($A33)),7),母公司报表调整!$J$5:$J$65536)</f>
        <v>0</v>
      </c>
      <c r="I33" s="247">
        <f t="shared" si="7"/>
        <v>0</v>
      </c>
      <c r="J33" s="236"/>
      <c r="K33" s="371">
        <f t="shared" si="0"/>
        <v>0</v>
      </c>
    </row>
    <row r="34" spans="1:14" ht="15" customHeight="1">
      <c r="A34" s="105" t="str">
        <f>报表格式!L33</f>
        <v xml:space="preserve">        公允价值变动收益（损失以“－”号填列）</v>
      </c>
      <c r="B34" s="247">
        <f>母公司PL汇总!B34</f>
        <v>0</v>
      </c>
      <c r="C34" s="247">
        <f>SUMIF(母公司汇总抵销!$E$5:$E$65538,LEFT(IF(OR(MID(TRIM($A34),2,1)="：",MID(TRIM($A34),2,1)="、"),REPLACEB(TRIM($A34),1,4,""),TRIM($A34)),8),母公司汇总抵销!$J$5:$J$65538)</f>
        <v>0</v>
      </c>
      <c r="D34" s="247">
        <f>SUMIF(母公司汇总抵销!$H$5:$H$65538,LEFT(IF(OR(MID(TRIM($A34),2,1)="：",MID(TRIM($A34),2,1)="、"),REPLACEB(TRIM($A34),1,4,""),TRIM($A34)),8),母公司汇总抵销!$J$5:$J$65538)</f>
        <v>0</v>
      </c>
      <c r="E34" s="814">
        <f>SUMIF(母公司账项调整!$E$5:$E$65536,LEFT(IF(OR(MID(TRIM($A34),2,1)="：",MID(TRIM($A34),2,1)="、"),REPLACEB(TRIM($A34),1,4,""),TRIM($A34)),8),母公司账项调整!$J$5:$J$65536)</f>
        <v>0</v>
      </c>
      <c r="F34" s="236">
        <f>SUMIF(母公司账项调整!$H$5:$H$65536,LEFT(IF(OR(MID(TRIM($A34),2,1)="：",MID(TRIM($A34),2,1)="、"),REPLACEB(TRIM($A34),1,4,""),TRIM($A34)),8),母公司账项调整!$J$5:$J$65536)</f>
        <v>0</v>
      </c>
      <c r="G34" s="236">
        <f>SUMIF(母公司报表调整!$E$5:$E$65536,LEFT(IF(OR(MID(TRIM($A34),2,1)="：",MID(TRIM($A34),2,1)="、"),REPLACEB(TRIM($A34),1,4,""),TRIM($A34)),8),母公司报表调整!$J$5:$J$65536)</f>
        <v>0</v>
      </c>
      <c r="H34" s="236">
        <f>SUMIF(母公司报表调整!$H$5:$H$65536,LEFT(IF(OR(MID(TRIM($A34),2,1)="：",MID(TRIM($A34),2,1)="、"),REPLACEB(TRIM($A34),1,4,""),TRIM($A34)),8),母公司报表调整!$J$5:$J$65536)</f>
        <v>0</v>
      </c>
      <c r="I34" s="247">
        <f t="shared" si="7"/>
        <v>0</v>
      </c>
      <c r="J34" s="236"/>
      <c r="K34" s="371">
        <f t="shared" si="0"/>
        <v>0</v>
      </c>
    </row>
    <row r="35" spans="1:14" ht="15" customHeight="1">
      <c r="A35" s="105" t="str">
        <f>报表格式!L34</f>
        <v xml:space="preserve">        信用减值损失(损失以“-”号填列）</v>
      </c>
      <c r="B35" s="247">
        <f>母公司PL汇总!B35</f>
        <v>0</v>
      </c>
      <c r="C35" s="247">
        <f>SUMIF(母公司汇总抵销!$E$5:$E$65538,LEFT(IF(OR(MID(TRIM($A35),2,1)="：",MID(TRIM($A35),2,1)="、"),REPLACEB(TRIM($A35),1,4,""),TRIM($A35)),6),母公司汇总抵销!$J$5:$J$65538)</f>
        <v>0</v>
      </c>
      <c r="D35" s="247">
        <f>SUMIF(母公司汇总抵销!$H$5:$H$65538,LEFT(IF(OR(MID(TRIM($A35),2,1)="：",MID(TRIM($A35),2,1)="、"),REPLACEB(TRIM($A35),1,4,""),TRIM($A35)),6),母公司汇总抵销!$J$5:$J$65538)</f>
        <v>0</v>
      </c>
      <c r="E35" s="814">
        <f>SUMIF(母公司账项调整!$E$5:$E$65536,LEFT(IF(OR(MID(TRIM($A35),2,1)="：",MID(TRIM($A35),2,1)="、"),REPLACEB(TRIM($A35),1,4,""),TRIM($A35)),6),母公司账项调整!$J$5:$J$65536)</f>
        <v>0</v>
      </c>
      <c r="F35" s="236">
        <f>SUMIF(母公司账项调整!$H$5:$H$65536,LEFT(IF(OR(MID(TRIM($A35),2,1)="：",MID(TRIM($A35),2,1)="、"),REPLACEB(TRIM($A35),1,4,""),TRIM($A35)),6),母公司账项调整!$J$5:$J$65536)</f>
        <v>0</v>
      </c>
      <c r="G35" s="236">
        <f>SUMIF(母公司报表调整!$E$5:$E$65536,LEFT(IF(OR(MID(TRIM($A35),2,1)="：",MID(TRIM($A35),2,1)="、"),REPLACEB(TRIM($A35),1,4,""),TRIM($A35)),6),母公司报表调整!$J$5:$J$65536)</f>
        <v>0</v>
      </c>
      <c r="H35" s="236">
        <f>SUMIF(母公司报表调整!$H$5:$H$65536,LEFT(IF(OR(MID(TRIM($A35),2,1)="：",MID(TRIM($A35),2,1)="、"),REPLACEB(TRIM($A35),1,4,""),TRIM($A35)),6),母公司报表调整!$J$5:$J$65536)</f>
        <v>0</v>
      </c>
      <c r="I35" s="247">
        <f t="shared" si="7"/>
        <v>0</v>
      </c>
      <c r="J35" s="236"/>
      <c r="K35" s="371">
        <f t="shared" si="0"/>
        <v>0</v>
      </c>
    </row>
    <row r="36" spans="1:14" ht="15" customHeight="1">
      <c r="A36" s="105" t="str">
        <f>报表格式!L35</f>
        <v xml:space="preserve">        资产减值损失(损失以“-”号填列）</v>
      </c>
      <c r="B36" s="247">
        <f>母公司PL汇总!B36</f>
        <v>0</v>
      </c>
      <c r="C36" s="247">
        <f>SUMIF(母公司汇总抵销!$E$5:$E$65538,LEFT(IF(OR(MID(TRIM($A36),2,1)="：",MID(TRIM($A36),2,1)="、"),REPLACEB(TRIM($A36),1,4,""),TRIM($A36)),6),母公司汇总抵销!$J$5:$J$65538)</f>
        <v>0</v>
      </c>
      <c r="D36" s="247">
        <f>SUMIF(母公司汇总抵销!$H$5:$H$65538,LEFT(IF(OR(MID(TRIM($A36),2,1)="：",MID(TRIM($A36),2,1)="、"),REPLACEB(TRIM($A36),1,4,""),TRIM($A36)),6),母公司汇总抵销!$J$5:$J$65538)</f>
        <v>0</v>
      </c>
      <c r="E36" s="814">
        <f>SUMIF(母公司账项调整!$E$5:$E$65536,LEFT(IF(OR(MID(TRIM($A36),2,1)="：",MID(TRIM($A36),2,1)="、"),REPLACEB(TRIM($A36),1,4,""),TRIM($A36)),6),母公司账项调整!$J$5:$J$65536)</f>
        <v>0</v>
      </c>
      <c r="F36" s="236">
        <f>SUMIF(母公司账项调整!$H$5:$H$65536,LEFT(IF(OR(MID(TRIM($A36),2,1)="：",MID(TRIM($A36),2,1)="、"),REPLACEB(TRIM($A36),1,4,""),TRIM($A36)),6),母公司账项调整!$J$5:$J$65536)</f>
        <v>0</v>
      </c>
      <c r="G36" s="236">
        <f>SUMIF(母公司报表调整!$E$5:$E$65536,LEFT(IF(OR(MID(TRIM($A36),2,1)="：",MID(TRIM($A36),2,1)="、"),REPLACEB(TRIM($A36),1,4,""),TRIM($A36)),6),母公司报表调整!$J$5:$J$65536)</f>
        <v>0</v>
      </c>
      <c r="H36" s="236">
        <f>SUMIF(母公司报表调整!$H$5:$H$65536,LEFT(IF(OR(MID(TRIM($A36),2,1)="：",MID(TRIM($A36),2,1)="、"),REPLACEB(TRIM($A36),1,4,""),TRIM($A36)),6),母公司报表调整!$J$5:$J$65536)</f>
        <v>0</v>
      </c>
      <c r="I36" s="247">
        <f t="shared" si="7"/>
        <v>0</v>
      </c>
      <c r="J36" s="236"/>
      <c r="K36" s="371">
        <f t="shared" si="0"/>
        <v>0</v>
      </c>
    </row>
    <row r="37" spans="1:14" ht="15" customHeight="1">
      <c r="A37" s="105" t="str">
        <f>报表格式!L36</f>
        <v xml:space="preserve">        资产处置收益(损失以“-”号填列）</v>
      </c>
      <c r="B37" s="247">
        <f>母公司PL汇总!B37</f>
        <v>0</v>
      </c>
      <c r="C37" s="247">
        <f>SUMIF(母公司汇总抵销!$E$5:$E$65538,LEFT(IF(OR(MID(TRIM($A37),2,1)="：",MID(TRIM($A37),2,1)="、"),REPLACEB(TRIM($A37),1,4,""),TRIM($A37)),6),母公司汇总抵销!$J$5:$J$65538)</f>
        <v>0</v>
      </c>
      <c r="D37" s="247">
        <f>SUMIF(母公司汇总抵销!$H$5:$H$65538,LEFT(IF(OR(MID(TRIM($A37),2,1)="：",MID(TRIM($A37),2,1)="、"),REPLACEB(TRIM($A37),1,4,""),TRIM($A37)),6),母公司汇总抵销!$J$5:$J$65538)</f>
        <v>0</v>
      </c>
      <c r="E37" s="814">
        <f>SUMIF(母公司账项调整!$E$5:$E$65536,LEFT(IF(OR(MID(TRIM($A37),2,1)="：",MID(TRIM($A37),2,1)="、"),REPLACEB(TRIM($A37),1,4,""),TRIM($A37)),6),母公司账项调整!$J$5:$J$65536)</f>
        <v>0</v>
      </c>
      <c r="F37" s="236">
        <f>SUMIF(母公司账项调整!$H$5:$H$65536,LEFT(IF(OR(MID(TRIM($A37),2,1)="：",MID(TRIM($A37),2,1)="、"),REPLACEB(TRIM($A37),1,4,""),TRIM($A37)),6),母公司账项调整!$J$5:$J$65536)</f>
        <v>0</v>
      </c>
      <c r="G37" s="236">
        <f>SUMIF(母公司报表调整!$E$5:$E$65536,LEFT(IF(OR(MID(TRIM($A37),2,1)="：",MID(TRIM($A37),2,1)="、"),REPLACEB(TRIM($A37),1,4,""),TRIM($A37)),6),母公司报表调整!$J$5:$J$65536)</f>
        <v>0</v>
      </c>
      <c r="H37" s="236">
        <f>SUMIF(母公司报表调整!$H$5:$H$65536,LEFT(IF(OR(MID(TRIM($A37),2,1)="：",MID(TRIM($A37),2,1)="、"),REPLACEB(TRIM($A37),1,4,""),TRIM($A37)),6),母公司报表调整!$J$5:$J$65536)</f>
        <v>0</v>
      </c>
      <c r="I37" s="247">
        <f>B37-E37-G37+F37+H37-C37+D37</f>
        <v>0</v>
      </c>
      <c r="J37" s="236"/>
      <c r="K37" s="371">
        <f t="shared" si="0"/>
        <v>0</v>
      </c>
    </row>
    <row r="38" spans="1:14" s="647" customFormat="1" ht="15" customHeight="1">
      <c r="A38" s="94" t="str">
        <f>报表格式!L37</f>
        <v>二、营业利润（亏损以“－”号填列）</v>
      </c>
      <c r="B38" s="246">
        <f>SUM(B6)-SUM(B12,B22:B26)+SUM(B29:B30)+SUM(B33:B37)</f>
        <v>0</v>
      </c>
      <c r="C38" s="246">
        <f t="shared" ref="C38:K38" si="8">SUM(C6)-SUM(C12,C22:C26)+SUM(C29:C30)+SUM(C33:C37)</f>
        <v>0</v>
      </c>
      <c r="D38" s="246">
        <f t="shared" si="8"/>
        <v>0</v>
      </c>
      <c r="E38" s="246">
        <f t="shared" si="8"/>
        <v>0</v>
      </c>
      <c r="F38" s="246">
        <f t="shared" si="8"/>
        <v>0</v>
      </c>
      <c r="G38" s="246">
        <f t="shared" si="8"/>
        <v>0</v>
      </c>
      <c r="H38" s="246">
        <f t="shared" si="8"/>
        <v>0</v>
      </c>
      <c r="I38" s="246">
        <f t="shared" si="8"/>
        <v>0</v>
      </c>
      <c r="J38" s="246">
        <f t="shared" si="8"/>
        <v>0</v>
      </c>
      <c r="K38" s="246">
        <f t="shared" si="8"/>
        <v>0</v>
      </c>
    </row>
    <row r="39" spans="1:14" ht="15" customHeight="1">
      <c r="A39" s="105" t="str">
        <f>报表格式!L38</f>
        <v xml:space="preserve">    加：营业外收入</v>
      </c>
      <c r="B39" s="247">
        <f>母公司PL汇总!B39</f>
        <v>0</v>
      </c>
      <c r="C39" s="247">
        <f>SUMIF(母公司汇总抵销!$E$5:$E$65538,IF(OR(MID(TRIM($A39),2,1)="：",MID(TRIM($A39),2,1)="、"),REPLACEB(TRIM($A39),1,4,""),TRIM($A39)),母公司汇总抵销!$J$5:$J$65538)</f>
        <v>0</v>
      </c>
      <c r="D39" s="247">
        <f>SUMIF(母公司汇总抵销!$H$5:$H$65538,IF(OR(MID(TRIM($A39),2,1)="：",MID(TRIM($A39),2,1)="、"),REPLACEB(TRIM($A39),1,4,""),TRIM($A39)),母公司汇总抵销!$J$5:$J$65538)</f>
        <v>0</v>
      </c>
      <c r="E39" s="829">
        <f>SUMIF(母公司账项调整!$E$5:$E$65536,IF(OR(MID(TRIM($A39),2,1)="：",MID(TRIM($A39),2,1)="、"),REPLACEB(TRIM($A39),1,4,""),TRIM($A39)),母公司账项调整!$J$5:$J$65536)</f>
        <v>0</v>
      </c>
      <c r="F39" s="247">
        <f>SUMIF(母公司账项调整!$H$5:$H$65536,IF(OR(MID(TRIM($A39),2,1)="：",MID(TRIM($A39),2,1)="、"),REPLACEB(TRIM($A39),1,4,""),TRIM($A39)),母公司账项调整!$J$5:$J$65536)</f>
        <v>0</v>
      </c>
      <c r="G39" s="247">
        <f>SUMIF(母公司报表调整!$E$5:$E$65536,IF(OR(MID(TRIM($A39),2,1)="：",MID(TRIM($A39),2,1)="、"),REPLACEB(TRIM($A39),1,4,""),TRIM($A39)),母公司报表调整!$J$5:$J$65536)</f>
        <v>0</v>
      </c>
      <c r="H39" s="247">
        <f>SUMIF(母公司报表调整!$H$5:$H$65536,IF(OR(MID(TRIM($A39),2,1)="：",MID(TRIM($A39),2,1)="、"),REPLACEB(TRIM($A39),1,4,""),TRIM($A39)),母公司报表调整!$J$5:$J$65536)</f>
        <v>0</v>
      </c>
      <c r="I39" s="247">
        <f>B39-E39-G39+F39+H39-C39+D39</f>
        <v>0</v>
      </c>
      <c r="J39" s="236"/>
      <c r="K39" s="371">
        <f t="shared" si="0"/>
        <v>0</v>
      </c>
      <c r="N39" s="34"/>
    </row>
    <row r="40" spans="1:14" ht="15" customHeight="1">
      <c r="A40" s="105" t="str">
        <f>报表格式!L39</f>
        <v xml:space="preserve">    减：营业外支出</v>
      </c>
      <c r="B40" s="247">
        <f>母公司PL汇总!B40</f>
        <v>0</v>
      </c>
      <c r="C40" s="247">
        <f>SUMIF(母公司汇总抵销!$E$5:$E$65538,IF(OR(MID(TRIM($A40),2,1)="：",MID(TRIM($A40),2,1)="、"),REPLACEB(TRIM($A40),1,4,""),TRIM($A40)),母公司汇总抵销!$J$5:$J$65538)</f>
        <v>0</v>
      </c>
      <c r="D40" s="247">
        <f>SUMIF(母公司汇总抵销!$H$5:$H$65538,IF(OR(MID(TRIM($A40),2,1)="：",MID(TRIM($A40),2,1)="、"),REPLACEB(TRIM($A40),1,4,""),TRIM($A40)),母公司汇总抵销!$J$5:$J$65538)</f>
        <v>0</v>
      </c>
      <c r="E40" s="829">
        <f>SUMIF(母公司账项调整!$E$5:$E$65536,IF(OR(MID(TRIM($A40),2,1)="：",MID(TRIM($A40),2,1)="、"),REPLACEB(TRIM($A40),1,4,""),TRIM($A40)),母公司账项调整!$J$5:$J$65536)</f>
        <v>0</v>
      </c>
      <c r="F40" s="247">
        <f>SUMIF(母公司账项调整!$H$5:$H$65536,IF(OR(MID(TRIM($A40),2,1)="：",MID(TRIM($A40),2,1)="、"),REPLACEB(TRIM($A40),1,4,""),TRIM($A40)),母公司账项调整!$J$5:$J$65536)</f>
        <v>0</v>
      </c>
      <c r="G40" s="247">
        <f>SUMIF(母公司报表调整!$E$5:$E$65536,IF(OR(MID(TRIM($A40),2,1)="：",MID(TRIM($A40),2,1)="、"),REPLACEB(TRIM($A40),1,4,""),TRIM($A40)),母公司报表调整!$J$5:$J$65536)</f>
        <v>0</v>
      </c>
      <c r="H40" s="247">
        <f>SUMIF(母公司报表调整!$H$5:$H$65536,IF(OR(MID(TRIM($A40),2,1)="：",MID(TRIM($A40),2,1)="、"),REPLACEB(TRIM($A40),1,4,""),TRIM($A40)),母公司报表调整!$J$5:$J$65536)</f>
        <v>0</v>
      </c>
      <c r="I40" s="247">
        <f>B40+E40+G40-F40-H40+C40-D40</f>
        <v>0</v>
      </c>
      <c r="J40" s="236"/>
      <c r="K40" s="371">
        <f t="shared" si="0"/>
        <v>0</v>
      </c>
    </row>
    <row r="41" spans="1:14" s="647" customFormat="1" ht="15" customHeight="1">
      <c r="A41" s="94" t="str">
        <f>报表格式!L40</f>
        <v>三、利润总额（亏损总额以“－”号填列）</v>
      </c>
      <c r="B41" s="246">
        <f t="shared" ref="B41:J41" si="9">SUM(B38)+SUM(B39)-SUM(B40)</f>
        <v>0</v>
      </c>
      <c r="C41" s="246">
        <f t="shared" si="9"/>
        <v>0</v>
      </c>
      <c r="D41" s="246">
        <f t="shared" si="9"/>
        <v>0</v>
      </c>
      <c r="E41" s="830">
        <f t="shared" si="9"/>
        <v>0</v>
      </c>
      <c r="F41" s="246">
        <f t="shared" si="9"/>
        <v>0</v>
      </c>
      <c r="G41" s="246">
        <f t="shared" si="9"/>
        <v>0</v>
      </c>
      <c r="H41" s="246">
        <f t="shared" si="9"/>
        <v>0</v>
      </c>
      <c r="I41" s="246">
        <f t="shared" si="9"/>
        <v>0</v>
      </c>
      <c r="J41" s="246">
        <f t="shared" si="9"/>
        <v>0</v>
      </c>
      <c r="K41" s="371">
        <f t="shared" si="0"/>
        <v>0</v>
      </c>
    </row>
    <row r="42" spans="1:14" ht="15" customHeight="1">
      <c r="A42" s="105" t="str">
        <f>报表格式!L41</f>
        <v xml:space="preserve">    减：所得税费用</v>
      </c>
      <c r="B42" s="247">
        <f>母公司PL汇总!B42</f>
        <v>0</v>
      </c>
      <c r="C42" s="247">
        <f>SUMIF(母公司汇总抵销!$E$5:$E$65538,IF(OR(MID(TRIM($A42),2,1)="：",MID(TRIM($A42),2,1)="、"),REPLACEB(TRIM($A42),1,4,""),TRIM($A42)),母公司汇总抵销!$J$5:$J$65538)</f>
        <v>0</v>
      </c>
      <c r="D42" s="247">
        <f>SUMIF(母公司汇总抵销!$H$5:$H$65538,IF(OR(MID(TRIM($A42),2,1)="：",MID(TRIM($A42),2,1)="、"),REPLACEB(TRIM($A42),1,4,""),TRIM($A42)),母公司汇总抵销!$J$5:$J$65538)</f>
        <v>0</v>
      </c>
      <c r="E42" s="829">
        <f>SUMIF(母公司账项调整!$E$5:$E$65536,IF(OR(MID(TRIM($A42),2,1)="：",MID(TRIM($A42),2,1)="、"),REPLACEB(TRIM($A42),1,4,""),TRIM($A42)),母公司账项调整!$J$5:$J$65536)</f>
        <v>0</v>
      </c>
      <c r="F42" s="247">
        <f>SUMIF(母公司账项调整!$H$5:$H$65536,IF(OR(MID(TRIM($A42),2,1)="：",MID(TRIM($A42),2,1)="、"),REPLACEB(TRIM($A42),1,4,""),TRIM($A42)),母公司账项调整!$J$5:$J$65536)</f>
        <v>0</v>
      </c>
      <c r="G42" s="247">
        <f>SUMIF(母公司报表调整!$E$5:$E$65536,IF(OR(MID(TRIM($A42),2,1)="：",MID(TRIM($A42),2,1)="、"),REPLACEB(TRIM($A42),1,4,""),TRIM($A42)),母公司报表调整!$J$5:$J$65536)</f>
        <v>0</v>
      </c>
      <c r="H42" s="247">
        <f>SUMIF(母公司报表调整!$H$5:$H$65536,IF(OR(MID(TRIM($A42),2,1)="：",MID(TRIM($A42),2,1)="、"),REPLACEB(TRIM($A42),1,4,""),TRIM($A42)),母公司报表调整!$J$5:$J$65536)</f>
        <v>0</v>
      </c>
      <c r="I42" s="247">
        <f>B42+E42+G42-F42-H42+C42-D42</f>
        <v>0</v>
      </c>
      <c r="J42" s="236"/>
      <c r="K42" s="371">
        <f t="shared" si="0"/>
        <v>0</v>
      </c>
    </row>
    <row r="43" spans="1:14" ht="15" customHeight="1">
      <c r="A43" s="105">
        <f>报表格式!L42</f>
        <v>0</v>
      </c>
      <c r="B43" s="247">
        <f>母公司PL汇总!B43</f>
        <v>0</v>
      </c>
      <c r="C43" s="247">
        <f>SUMIF(母公司汇总抵销!$E$5:$E$65538,IF(OR(MID(TRIM($A43),2,1)="：",MID(TRIM($A43),2,1)="、"),REPLACEB(TRIM($A43),1,4,""),TRIM($A43)),母公司汇总抵销!$J$5:$J$65538)</f>
        <v>0</v>
      </c>
      <c r="D43" s="247">
        <f>SUMIF(母公司汇总抵销!$H$5:$H$65538,IF(OR(MID(TRIM($A43),2,1)="：",MID(TRIM($A43),2,1)="、"),REPLACEB(TRIM($A43),1,4,""),TRIM($A43)),母公司汇总抵销!$J$5:$J$65538)</f>
        <v>0</v>
      </c>
      <c r="E43" s="829">
        <f>SUMIF(母公司账项调整!$E$5:$E$65536,IF(OR(MID(TRIM($A43),2,1)="：",MID(TRIM($A43),2,1)="、"),REPLACEB(TRIM($A43),1,4,""),TRIM($A43)),母公司账项调整!$J$5:$J$65536)</f>
        <v>0</v>
      </c>
      <c r="F43" s="247">
        <f>SUMIF(母公司账项调整!$H$5:$H$65536,IF(OR(MID(TRIM($A43),2,1)="：",MID(TRIM($A43),2,1)="、"),REPLACEB(TRIM($A43),1,4,""),TRIM($A43)),母公司账项调整!$J$5:$J$65536)</f>
        <v>0</v>
      </c>
      <c r="G43" s="247">
        <f>SUMIF(母公司报表调整!$E$5:$E$65536,IF(OR(MID(TRIM($A43),2,1)="：",MID(TRIM($A43),2,1)="、"),REPLACEB(TRIM($A43),1,4,""),TRIM($A43)),母公司报表调整!$J$5:$J$65536)</f>
        <v>0</v>
      </c>
      <c r="H43" s="247">
        <f>SUMIF(母公司报表调整!$H$5:$H$65536,IF(OR(MID(TRIM($A43),2,1)="：",MID(TRIM($A43),2,1)="、"),REPLACEB(TRIM($A43),1,4,""),TRIM($A43)),母公司报表调整!$J$5:$J$65536)</f>
        <v>0</v>
      </c>
      <c r="I43" s="247">
        <f>B43+E43+G43-F43-H43+C43-D43</f>
        <v>0</v>
      </c>
      <c r="J43" s="236"/>
      <c r="K43" s="371">
        <f t="shared" si="0"/>
        <v>0</v>
      </c>
    </row>
    <row r="44" spans="1:14" s="647" customFormat="1" ht="15" customHeight="1">
      <c r="A44" s="94" t="str">
        <f>报表格式!L43</f>
        <v>四、净利润（净亏损以“－”号填列）</v>
      </c>
      <c r="B44" s="246">
        <f t="shared" ref="B44:J44" si="10">B41-B42-B43</f>
        <v>0</v>
      </c>
      <c r="C44" s="246">
        <f t="shared" si="10"/>
        <v>0</v>
      </c>
      <c r="D44" s="246">
        <f t="shared" si="10"/>
        <v>0</v>
      </c>
      <c r="E44" s="830">
        <f t="shared" si="10"/>
        <v>0</v>
      </c>
      <c r="F44" s="246">
        <f t="shared" si="10"/>
        <v>0</v>
      </c>
      <c r="G44" s="246">
        <f t="shared" si="10"/>
        <v>0</v>
      </c>
      <c r="H44" s="246">
        <f t="shared" si="10"/>
        <v>0</v>
      </c>
      <c r="I44" s="246">
        <f t="shared" si="10"/>
        <v>0</v>
      </c>
      <c r="J44" s="246">
        <f t="shared" si="10"/>
        <v>0</v>
      </c>
      <c r="K44" s="371">
        <f t="shared" si="0"/>
        <v>0</v>
      </c>
    </row>
    <row r="45" spans="1:14" ht="15" customHeight="1">
      <c r="A45" s="105" t="str">
        <f>报表格式!L44</f>
        <v xml:space="preserve"> （一）按经营持续性分类</v>
      </c>
      <c r="B45" s="247"/>
      <c r="C45" s="247"/>
      <c r="D45" s="247"/>
      <c r="E45" s="829"/>
      <c r="F45" s="247"/>
      <c r="G45" s="247"/>
      <c r="H45" s="247"/>
      <c r="I45" s="247"/>
      <c r="J45" s="236"/>
      <c r="K45" s="371"/>
    </row>
    <row r="46" spans="1:14" ht="15" customHeight="1">
      <c r="A46" s="105" t="str">
        <f>报表格式!L45</f>
        <v xml:space="preserve">     其中：持续经营净利润（净亏损以“-”号填列）</v>
      </c>
      <c r="B46" s="247">
        <f>母公司PL汇总!B46</f>
        <v>0</v>
      </c>
      <c r="C46" s="247"/>
      <c r="D46" s="247"/>
      <c r="E46" s="829"/>
      <c r="F46" s="247"/>
      <c r="G46" s="247"/>
      <c r="H46" s="247"/>
      <c r="I46" s="247">
        <f t="shared" ref="I46:I47" si="11">B46-E46-G46+F46+H46-C46+D46</f>
        <v>0</v>
      </c>
      <c r="J46" s="247">
        <f>J43-J44-J45</f>
        <v>0</v>
      </c>
      <c r="K46" s="371">
        <f>SUM(I46:J46)</f>
        <v>0</v>
      </c>
    </row>
    <row r="47" spans="1:14" ht="15" customHeight="1">
      <c r="A47" s="105" t="str">
        <f>报表格式!L46</f>
        <v xml:space="preserve">                 终止经营净利润（净亏损以“-”号填列）</v>
      </c>
      <c r="B47" s="247">
        <f>母公司PL汇总!B47</f>
        <v>0</v>
      </c>
      <c r="C47" s="247"/>
      <c r="D47" s="247"/>
      <c r="E47" s="829"/>
      <c r="F47" s="247"/>
      <c r="G47" s="247"/>
      <c r="H47" s="247"/>
      <c r="I47" s="247">
        <f t="shared" si="11"/>
        <v>0</v>
      </c>
      <c r="J47" s="247">
        <f>J44-J45-J46</f>
        <v>0</v>
      </c>
      <c r="K47" s="371">
        <f>SUM(I47:J47)</f>
        <v>0</v>
      </c>
    </row>
    <row r="48" spans="1:14" ht="15" customHeight="1">
      <c r="A48" s="105" t="str">
        <f>报表格式!L47</f>
        <v xml:space="preserve"> （二）按所有权归属分类</v>
      </c>
      <c r="B48" s="247"/>
      <c r="C48" s="247"/>
      <c r="D48" s="247"/>
      <c r="E48" s="829"/>
      <c r="F48" s="247"/>
      <c r="G48" s="247"/>
      <c r="H48" s="247"/>
      <c r="I48" s="247"/>
      <c r="J48" s="247"/>
      <c r="K48" s="371"/>
    </row>
    <row r="49" spans="1:11" ht="15" customHeight="1">
      <c r="A49" s="105" t="str">
        <f>报表格式!L48</f>
        <v xml:space="preserve">     其中：归属于母公司股东的净利润（净亏损以“-”号填列）</v>
      </c>
      <c r="B49" s="247">
        <f>母公司PL汇总!B49</f>
        <v>0</v>
      </c>
      <c r="C49" s="247">
        <f t="shared" ref="C49:J49" si="12">C44-C50</f>
        <v>0</v>
      </c>
      <c r="D49" s="247">
        <f t="shared" si="12"/>
        <v>0</v>
      </c>
      <c r="E49" s="829">
        <f t="shared" si="12"/>
        <v>0</v>
      </c>
      <c r="F49" s="247">
        <f t="shared" si="12"/>
        <v>0</v>
      </c>
      <c r="G49" s="247">
        <f t="shared" si="12"/>
        <v>0</v>
      </c>
      <c r="H49" s="247">
        <f t="shared" si="12"/>
        <v>0</v>
      </c>
      <c r="I49" s="247">
        <f t="shared" si="12"/>
        <v>0</v>
      </c>
      <c r="J49" s="247">
        <f t="shared" si="12"/>
        <v>0</v>
      </c>
      <c r="K49" s="371">
        <f t="shared" si="0"/>
        <v>0</v>
      </c>
    </row>
    <row r="50" spans="1:11" s="647" customFormat="1" ht="15" customHeight="1">
      <c r="A50" s="105" t="str">
        <f>报表格式!L49</f>
        <v xml:space="preserve">                少数股东损益（净亏损以“-”号填列）</v>
      </c>
      <c r="B50" s="247">
        <f>母公司PL汇总!B50</f>
        <v>0</v>
      </c>
      <c r="C50" s="247">
        <f>SUMIF(母公司汇总抵销!$E$5:$E$65538,LEFT(IF(OR(MID(TRIM($A50),2,1)="：",MID(TRIM($A50),2,1)="、"),REPLACEB(TRIM($A50),1,4,""),TRIM($A50)),6),母公司汇总抵销!$J$5:$J$65538)</f>
        <v>0</v>
      </c>
      <c r="D50" s="247">
        <f>SUMIF(母公司汇总抵销!$H$5:$H$65538,LEFT(IF(OR(MID(TRIM($A50),2,1)="：",MID(TRIM($A50),2,1)="、"),REPLACEB(TRIM($A50),1,4,""),TRIM($A50)),6),母公司汇总抵销!$J$5:$J$65538)</f>
        <v>0</v>
      </c>
      <c r="E50" s="814">
        <f>SUMIF(母公司账项调整!$E$5:$E$65536,LEFT(IF(OR(MID(TRIM($A50),2,1)="：",MID(TRIM($A50),2,1)="、"),REPLACEB(TRIM($A50),1,4,""),TRIM($A50)),6),母公司账项调整!$J$5:$J$65536)</f>
        <v>0</v>
      </c>
      <c r="F50" s="236">
        <f>SUMIF(母公司账项调整!$H$5:$H$65536,LEFT(IF(OR(MID(TRIM($A50),2,1)="：",MID(TRIM($A50),2,1)="、"),REPLACEB(TRIM($A50),1,4,""),TRIM($A50)),6),母公司账项调整!$J$5:$J$65536)</f>
        <v>0</v>
      </c>
      <c r="G50" s="236">
        <f>SUMIF(母公司报表调整!$E$5:$E$65536,LEFT(IF(OR(MID(TRIM($A50),2,1)="：",MID(TRIM($A50),2,1)="、"),REPLACEB(TRIM($A50),1,4,""),TRIM($A50)),6),母公司报表调整!$J$5:$J$65536)</f>
        <v>0</v>
      </c>
      <c r="H50" s="236">
        <f>SUMIF(母公司报表调整!$H$5:$H$65536,LEFT(IF(OR(MID(TRIM($A50),2,1)="：",MID(TRIM($A50),2,1)="、"),REPLACEB(TRIM($A50),1,4,""),TRIM($A50)),6),母公司报表调整!$J$5:$J$65536)</f>
        <v>0</v>
      </c>
      <c r="I50" s="247">
        <f>B50-E50-G50+F50+H50-C50+D50</f>
        <v>0</v>
      </c>
      <c r="J50" s="242"/>
      <c r="K50" s="371">
        <f t="shared" si="0"/>
        <v>0</v>
      </c>
    </row>
    <row r="51" spans="1:11" s="647" customFormat="1" ht="15" customHeight="1">
      <c r="A51" s="94" t="str">
        <f>报表格式!L50</f>
        <v>五、其他综合收益的税后净额</v>
      </c>
      <c r="B51" s="247">
        <f>母公司PL汇总!B51</f>
        <v>0</v>
      </c>
      <c r="C51" s="247">
        <f t="shared" ref="C51:H51" si="13">C52+C71</f>
        <v>0</v>
      </c>
      <c r="D51" s="247">
        <f t="shared" si="13"/>
        <v>0</v>
      </c>
      <c r="E51" s="829">
        <f t="shared" si="13"/>
        <v>0</v>
      </c>
      <c r="F51" s="247">
        <f t="shared" si="13"/>
        <v>0</v>
      </c>
      <c r="G51" s="247">
        <f t="shared" si="13"/>
        <v>0</v>
      </c>
      <c r="H51" s="247">
        <f t="shared" si="13"/>
        <v>0</v>
      </c>
      <c r="I51" s="247">
        <f t="shared" ref="I51:I71" si="14">B51-E51-G51+F51+H51-C51+D51</f>
        <v>0</v>
      </c>
      <c r="J51" s="242"/>
      <c r="K51" s="371">
        <f>SUM(I51:J51)</f>
        <v>0</v>
      </c>
    </row>
    <row r="52" spans="1:11" ht="15" customHeight="1">
      <c r="A52" s="105" t="str">
        <f>报表格式!L51</f>
        <v>归属于母公司股东的其他综合收益的税后净额</v>
      </c>
      <c r="B52" s="247">
        <f>母公司PL汇总!B52</f>
        <v>0</v>
      </c>
      <c r="C52" s="247">
        <f t="shared" ref="C52:H52" si="15">C53+C59</f>
        <v>0</v>
      </c>
      <c r="D52" s="247">
        <f t="shared" si="15"/>
        <v>0</v>
      </c>
      <c r="E52" s="829">
        <f t="shared" si="15"/>
        <v>0</v>
      </c>
      <c r="F52" s="247">
        <f t="shared" si="15"/>
        <v>0</v>
      </c>
      <c r="G52" s="247">
        <f t="shared" si="15"/>
        <v>0</v>
      </c>
      <c r="H52" s="247">
        <f t="shared" si="15"/>
        <v>0</v>
      </c>
      <c r="I52" s="247">
        <f t="shared" si="14"/>
        <v>0</v>
      </c>
      <c r="J52" s="242"/>
      <c r="K52" s="371">
        <f t="shared" ref="K52:K70" si="16">SUM(I52:J52)</f>
        <v>0</v>
      </c>
    </row>
    <row r="53" spans="1:11" ht="15" customHeight="1">
      <c r="A53" s="105" t="str">
        <f>报表格式!L52</f>
        <v xml:space="preserve">  （一）不能重分类进损益的其他综合收益</v>
      </c>
      <c r="B53" s="247">
        <f>母公司PL汇总!B53</f>
        <v>0</v>
      </c>
      <c r="C53" s="829">
        <f t="shared" ref="C53:H53" si="17">SUM(C54:C58)</f>
        <v>0</v>
      </c>
      <c r="D53" s="829">
        <f t="shared" si="17"/>
        <v>0</v>
      </c>
      <c r="E53" s="829">
        <f t="shared" si="17"/>
        <v>0</v>
      </c>
      <c r="F53" s="829">
        <f t="shared" si="17"/>
        <v>0</v>
      </c>
      <c r="G53" s="829">
        <f t="shared" si="17"/>
        <v>0</v>
      </c>
      <c r="H53" s="829">
        <f t="shared" si="17"/>
        <v>0</v>
      </c>
      <c r="I53" s="247">
        <f t="shared" si="14"/>
        <v>0</v>
      </c>
      <c r="J53" s="242"/>
      <c r="K53" s="371">
        <f t="shared" si="16"/>
        <v>0</v>
      </c>
    </row>
    <row r="54" spans="1:11" ht="15" customHeight="1">
      <c r="A54" s="784" t="str">
        <f>报表格式!L53</f>
        <v>1.重新计量设定受益计划变动额</v>
      </c>
      <c r="B54" s="247">
        <f>母公司PL汇总!B54</f>
        <v>0</v>
      </c>
      <c r="C54" s="829">
        <f>SUMIF(母公司汇总抵销!$E$5:$E$65538,IF(OR(MID(TRIM($A54),2,1)="：",MID(TRIM($A54),2,1)="、"),REPLACEB(TRIM($A54),1,4,""),TRIM($A54)),母公司汇总抵销!$J$5:$J$65538)</f>
        <v>0</v>
      </c>
      <c r="D54" s="829">
        <f>SUMIF(母公司汇总抵销!$H$5:$H$65538,IF(OR(MID(TRIM($A54),2,1)="：",MID(TRIM($A54),2,1)="、"),REPLACEB(TRIM($A54),1,4,""),TRIM($A54)),母公司汇总抵销!$J$5:$J$65538)</f>
        <v>0</v>
      </c>
      <c r="E54" s="829">
        <f>SUMIF(母公司账项调整!$E$5:$E$65536,IF(OR(MID(TRIM($A54),2,1)="：",MID(TRIM($A54),2,1)="、"),REPLACEB(TRIM($A54),1,4,""),TRIM($A54)),母公司账项调整!$J$5:$J$65536)</f>
        <v>0</v>
      </c>
      <c r="F54" s="829">
        <f>SUMIF(母公司账项调整!$H$5:$H$65536,IF(OR(MID(TRIM($A54),2,1)="：",MID(TRIM($A54),2,1)="、"),REPLACEB(TRIM($A54),1,4,""),TRIM($A54)),母公司账项调整!$J$5:$J$65536)</f>
        <v>0</v>
      </c>
      <c r="G54" s="829">
        <f>SUMIF(母公司报表调整!$E$5:$E$65536,IF(OR(MID(TRIM($A54),2,1)="：",MID(TRIM($A54),2,1)="、"),REPLACEB(TRIM($A54),1,4,""),TRIM($A54)),母公司报表调整!$J$5:$J$65536)</f>
        <v>0</v>
      </c>
      <c r="H54" s="829">
        <f>SUMIF(母公司报表调整!$H$5:$H$65536,IF(OR(MID(TRIM($A54),2,1)="：",MID(TRIM($A54),2,1)="、"),REPLACEB(TRIM($A54),1,4,""),TRIM($A54)),母公司报表调整!$J$5:$J$65536)</f>
        <v>0</v>
      </c>
      <c r="I54" s="247">
        <f t="shared" si="14"/>
        <v>0</v>
      </c>
      <c r="J54" s="242"/>
      <c r="K54" s="371">
        <f t="shared" si="16"/>
        <v>0</v>
      </c>
    </row>
    <row r="55" spans="1:11" ht="15" customHeight="1">
      <c r="A55" s="784" t="str">
        <f>报表格式!L54</f>
        <v>2.权益法下不能转损益的其他综合收益</v>
      </c>
      <c r="B55" s="247">
        <f>母公司PL汇总!B55</f>
        <v>0</v>
      </c>
      <c r="C55" s="829">
        <f>SUMIF(母公司汇总抵销!$E$5:$E$65538,IF(OR(MID(TRIM($A55),2,1)="：",MID(TRIM($A55),2,1)="、"),REPLACEB(TRIM($A55),1,4,""),TRIM($A55)),母公司汇总抵销!$J$5:$J$65538)</f>
        <v>0</v>
      </c>
      <c r="D55" s="829">
        <f>SUMIF(母公司汇总抵销!$H$5:$H$65538,IF(OR(MID(TRIM($A55),2,1)="：",MID(TRIM($A55),2,1)="、"),REPLACEB(TRIM($A55),1,4,""),TRIM($A55)),母公司汇总抵销!$J$5:$J$65538)</f>
        <v>0</v>
      </c>
      <c r="E55" s="829">
        <f>SUMIF(母公司账项调整!$E$5:$E$65536,IF(OR(MID(TRIM($A55),2,1)="：",MID(TRIM($A55),2,1)="、"),REPLACEB(TRIM($A55),1,4,""),TRIM($A55)),母公司账项调整!$J$5:$J$65536)</f>
        <v>0</v>
      </c>
      <c r="F55" s="829">
        <f>SUMIF(母公司账项调整!$H$5:$H$65536,IF(OR(MID(TRIM($A55),2,1)="：",MID(TRIM($A55),2,1)="、"),REPLACEB(TRIM($A55),1,4,""),TRIM($A55)),母公司账项调整!$J$5:$J$65536)</f>
        <v>0</v>
      </c>
      <c r="G55" s="829">
        <f>SUMIF(母公司报表调整!$E$5:$E$65536,IF(OR(MID(TRIM($A55),2,1)="：",MID(TRIM($A55),2,1)="、"),REPLACEB(TRIM($A55),1,4,""),TRIM($A55)),母公司报表调整!$J$5:$J$65536)</f>
        <v>0</v>
      </c>
      <c r="H55" s="829">
        <f>SUMIF(母公司报表调整!$H$5:$H$65536,IF(OR(MID(TRIM($A55),2,1)="：",MID(TRIM($A55),2,1)="、"),REPLACEB(TRIM($A55),1,4,""),TRIM($A55)),母公司报表调整!$J$5:$J$65536)</f>
        <v>0</v>
      </c>
      <c r="I55" s="247">
        <f t="shared" si="14"/>
        <v>0</v>
      </c>
      <c r="J55" s="242"/>
      <c r="K55" s="371">
        <f t="shared" si="16"/>
        <v>0</v>
      </c>
    </row>
    <row r="56" spans="1:11" ht="15" customHeight="1">
      <c r="A56" s="784" t="str">
        <f>报表格式!L55</f>
        <v xml:space="preserve">3.其他权益工具投资公允价值变动 </v>
      </c>
      <c r="B56" s="247">
        <f>母公司PL汇总!B56</f>
        <v>0</v>
      </c>
      <c r="C56" s="829">
        <f>SUMIF(母公司汇总抵销!$E$5:$E$65538,IF(OR(MID(TRIM($A56),2,1)="：",MID(TRIM($A56),2,1)="、"),REPLACEB(TRIM($A56),1,4,""),TRIM($A56)),母公司汇总抵销!$J$5:$J$65538)</f>
        <v>0</v>
      </c>
      <c r="D56" s="829">
        <f>SUMIF(母公司汇总抵销!$H$5:$H$65538,IF(OR(MID(TRIM($A56),2,1)="：",MID(TRIM($A56),2,1)="、"),REPLACEB(TRIM($A56),1,4,""),TRIM($A56)),母公司汇总抵销!$J$5:$J$65538)</f>
        <v>0</v>
      </c>
      <c r="E56" s="829">
        <f>SUMIF(母公司账项调整!$E$5:$E$65536,IF(OR(MID(TRIM($A56),2,1)="：",MID(TRIM($A56),2,1)="、"),REPLACEB(TRIM($A56),1,4,""),TRIM($A56)),母公司账项调整!$J$5:$J$65536)</f>
        <v>0</v>
      </c>
      <c r="F56" s="829">
        <f>SUMIF(母公司账项调整!$H$5:$H$65536,IF(OR(MID(TRIM($A56),2,1)="：",MID(TRIM($A56),2,1)="、"),REPLACEB(TRIM($A56),1,4,""),TRIM($A56)),母公司账项调整!$J$5:$J$65536)</f>
        <v>0</v>
      </c>
      <c r="G56" s="829">
        <f>SUMIF(母公司报表调整!$E$5:$E$65536,IF(OR(MID(TRIM($A56),2,1)="：",MID(TRIM($A56),2,1)="、"),REPLACEB(TRIM($A56),1,4,""),TRIM($A56)),母公司报表调整!$J$5:$J$65536)</f>
        <v>0</v>
      </c>
      <c r="H56" s="829">
        <f>SUMIF(母公司报表调整!$H$5:$H$65536,IF(OR(MID(TRIM($A56),2,1)="：",MID(TRIM($A56),2,1)="、"),REPLACEB(TRIM($A56),1,4,""),TRIM($A56)),母公司报表调整!$J$5:$J$65536)</f>
        <v>0</v>
      </c>
      <c r="I56" s="247">
        <f>B56-E56-G56+F56+H56-C56+D56</f>
        <v>0</v>
      </c>
      <c r="J56" s="242"/>
      <c r="K56" s="371">
        <f>SUM(I56:J56)</f>
        <v>0</v>
      </c>
    </row>
    <row r="57" spans="1:11" ht="15" customHeight="1">
      <c r="A57" s="784" t="str">
        <f>报表格式!L56</f>
        <v xml:space="preserve">4.企业自身信用风险公允价值变动 </v>
      </c>
      <c r="B57" s="247">
        <f>母公司PL汇总!B57</f>
        <v>0</v>
      </c>
      <c r="C57" s="829">
        <f>SUMIF(母公司汇总抵销!$E$5:$E$65538,IF(OR(MID(TRIM($A57),2,1)="：",MID(TRIM($A57),2,1)="、"),REPLACEB(TRIM($A57),1,4,""),TRIM($A57)),母公司汇总抵销!$J$5:$J$65538)</f>
        <v>0</v>
      </c>
      <c r="D57" s="829">
        <f>SUMIF(母公司汇总抵销!$H$5:$H$65538,IF(OR(MID(TRIM($A57),2,1)="：",MID(TRIM($A57),2,1)="、"),REPLACEB(TRIM($A57),1,4,""),TRIM($A57)),母公司汇总抵销!$J$5:$J$65538)</f>
        <v>0</v>
      </c>
      <c r="E57" s="829">
        <f>SUMIF(母公司账项调整!$E$5:$E$65536,IF(OR(MID(TRIM($A57),2,1)="：",MID(TRIM($A57),2,1)="、"),REPLACEB(TRIM($A57),1,4,""),TRIM($A57)),母公司账项调整!$J$5:$J$65536)</f>
        <v>0</v>
      </c>
      <c r="F57" s="829">
        <f>SUMIF(母公司账项调整!$H$5:$H$65536,IF(OR(MID(TRIM($A57),2,1)="：",MID(TRIM($A57),2,1)="、"),REPLACEB(TRIM($A57),1,4,""),TRIM($A57)),母公司账项调整!$J$5:$J$65536)</f>
        <v>0</v>
      </c>
      <c r="G57" s="829">
        <f>SUMIF(母公司报表调整!$E$5:$E$65536,IF(OR(MID(TRIM($A57),2,1)="：",MID(TRIM($A57),2,1)="、"),REPLACEB(TRIM($A57),1,4,""),TRIM($A57)),母公司报表调整!$J$5:$J$65536)</f>
        <v>0</v>
      </c>
      <c r="H57" s="829">
        <f>SUMIF(母公司报表调整!$H$5:$H$65536,IF(OR(MID(TRIM($A57),2,1)="：",MID(TRIM($A57),2,1)="、"),REPLACEB(TRIM($A57),1,4,""),TRIM($A57)),母公司报表调整!$J$5:$J$65536)</f>
        <v>0</v>
      </c>
      <c r="I57" s="247">
        <f>B57-E57-G57+F57+H57-C57+D57</f>
        <v>0</v>
      </c>
      <c r="J57" s="242"/>
      <c r="K57" s="371">
        <f>SUM(I57:J57)</f>
        <v>0</v>
      </c>
    </row>
    <row r="58" spans="1:11" ht="15" customHeight="1">
      <c r="A58" s="784" t="str">
        <f>报表格式!L57</f>
        <v>5.其他</v>
      </c>
      <c r="B58" s="247">
        <f>母公司PL汇总!B58</f>
        <v>0</v>
      </c>
      <c r="C58" s="829">
        <f>SUMIF(母公司汇总抵销!$E$5:$E$65538,IF(OR(MID(TRIM($A58),2,1)="：",MID(TRIM($A58),2,1)="、"),REPLACEB(TRIM($A58),1,4,""),TRIM($A58)),母公司汇总抵销!$J$5:$J$65538)</f>
        <v>0</v>
      </c>
      <c r="D58" s="829">
        <f>SUMIF(母公司汇总抵销!$H$5:$H$65538,IF(OR(MID(TRIM($A58),2,1)="：",MID(TRIM($A58),2,1)="、"),REPLACEB(TRIM($A58),1,4,""),TRIM($A58)),母公司汇总抵销!$J$5:$J$65538)</f>
        <v>0</v>
      </c>
      <c r="E58" s="829">
        <f>SUMIF(母公司账项调整!$E$5:$E$65536,IF(OR(MID(TRIM($A58),2,1)="：",MID(TRIM($A58),2,1)="、"),REPLACEB(TRIM($A58),1,4,""),TRIM($A58)),母公司账项调整!$J$5:$J$65536)</f>
        <v>0</v>
      </c>
      <c r="F58" s="829">
        <f>SUMIF(母公司账项调整!$H$5:$H$65536,IF(OR(MID(TRIM($A58),2,1)="：",MID(TRIM($A58),2,1)="、"),REPLACEB(TRIM($A58),1,4,""),TRIM($A58)),母公司账项调整!$J$5:$J$65536)</f>
        <v>0</v>
      </c>
      <c r="G58" s="829">
        <f>SUMIF(母公司报表调整!$E$5:$E$65536,IF(OR(MID(TRIM($A58),2,1)="：",MID(TRIM($A58),2,1)="、"),REPLACEB(TRIM($A58),1,4,""),TRIM($A58)),母公司报表调整!$J$5:$J$65536)</f>
        <v>0</v>
      </c>
      <c r="H58" s="829">
        <f>SUMIF(母公司报表调整!$H$5:$H$65536,IF(OR(MID(TRIM($A58),2,1)="：",MID(TRIM($A58),2,1)="、"),REPLACEB(TRIM($A58),1,4,""),TRIM($A58)),母公司报表调整!$J$5:$J$65536)</f>
        <v>0</v>
      </c>
      <c r="I58" s="247">
        <f t="shared" si="14"/>
        <v>0</v>
      </c>
      <c r="J58" s="242"/>
      <c r="K58" s="371">
        <f t="shared" si="16"/>
        <v>0</v>
      </c>
    </row>
    <row r="59" spans="1:11" ht="15" customHeight="1">
      <c r="A59" s="105" t="str">
        <f>报表格式!L58</f>
        <v xml:space="preserve">  （二）将重分类进损益的其他综合收益</v>
      </c>
      <c r="B59" s="247">
        <f>母公司PL汇总!B59</f>
        <v>0</v>
      </c>
      <c r="C59" s="829">
        <f t="shared" ref="C59:H59" si="18">SUM(C60:C70)</f>
        <v>0</v>
      </c>
      <c r="D59" s="829">
        <f t="shared" si="18"/>
        <v>0</v>
      </c>
      <c r="E59" s="829">
        <f t="shared" si="18"/>
        <v>0</v>
      </c>
      <c r="F59" s="829">
        <f t="shared" si="18"/>
        <v>0</v>
      </c>
      <c r="G59" s="829">
        <f t="shared" si="18"/>
        <v>0</v>
      </c>
      <c r="H59" s="829">
        <f t="shared" si="18"/>
        <v>0</v>
      </c>
      <c r="I59" s="247">
        <f t="shared" si="14"/>
        <v>0</v>
      </c>
      <c r="J59" s="242"/>
      <c r="K59" s="371">
        <f t="shared" si="16"/>
        <v>0</v>
      </c>
    </row>
    <row r="60" spans="1:11" ht="15" customHeight="1">
      <c r="A60" s="784" t="str">
        <f>报表格式!L59</f>
        <v>1.权益法下可转损益的其他综合收益</v>
      </c>
      <c r="B60" s="247">
        <f>母公司PL汇总!B60</f>
        <v>0</v>
      </c>
      <c r="C60" s="829">
        <f>SUMIF(母公司汇总抵销!$E$5:$E$65538,IF(OR(MID(TRIM($A60),2,1)="：",MID(TRIM($A60),2,1)="、"),REPLACEB(TRIM($A60),1,4,""),TRIM($A60)),母公司汇总抵销!$J$5:$J$65538)</f>
        <v>0</v>
      </c>
      <c r="D60" s="829">
        <f>SUMIF(母公司汇总抵销!$H$5:$H$65538,IF(OR(MID(TRIM($A60),2,1)="：",MID(TRIM($A60),2,1)="、"),REPLACEB(TRIM($A60),1,4,""),TRIM($A60)),母公司汇总抵销!$J$5:$J$65538)</f>
        <v>0</v>
      </c>
      <c r="E60" s="829">
        <f>SUMIF(母公司账项调整!$E$5:$E$65536,IF(OR(MID(TRIM($A60),2,1)="：",MID(TRIM($A60),2,1)="、"),REPLACEB(TRIM($A60),1,4,""),TRIM($A60)),母公司账项调整!$J$5:$J$65536)</f>
        <v>0</v>
      </c>
      <c r="F60" s="829">
        <f>SUMIF(母公司账项调整!$H$5:$H$65536,IF(OR(MID(TRIM($A60),2,1)="：",MID(TRIM($A60),2,1)="、"),REPLACEB(TRIM($A60),1,4,""),TRIM($A60)),母公司账项调整!$J$5:$J$65536)</f>
        <v>0</v>
      </c>
      <c r="G60" s="829">
        <f>SUMIF(母公司报表调整!$E$5:$E$65536,IF(OR(MID(TRIM($A60),2,1)="：",MID(TRIM($A60),2,1)="、"),REPLACEB(TRIM($A60),1,4,""),TRIM($A60)),母公司报表调整!$J$5:$J$65536)</f>
        <v>0</v>
      </c>
      <c r="H60" s="829">
        <f>SUMIF(母公司报表调整!$H$5:$H$65536,IF(OR(MID(TRIM($A60),2,1)="：",MID(TRIM($A60),2,1)="、"),REPLACEB(TRIM($A60),1,4,""),TRIM($A60)),母公司报表调整!$J$5:$J$65536)</f>
        <v>0</v>
      </c>
      <c r="I60" s="247">
        <f t="shared" si="14"/>
        <v>0</v>
      </c>
      <c r="J60" s="242"/>
      <c r="K60" s="371">
        <f t="shared" si="16"/>
        <v>0</v>
      </c>
    </row>
    <row r="61" spans="1:11" ht="15" customHeight="1">
      <c r="A61" s="784" t="str">
        <f>报表格式!L60</f>
        <v xml:space="preserve">2.其他债权投资公允价值变动 </v>
      </c>
      <c r="B61" s="247">
        <f>母公司PL汇总!B61</f>
        <v>0</v>
      </c>
      <c r="C61" s="829">
        <f>SUMIF(母公司汇总抵销!$E$5:$E$65538,IF(OR(MID(TRIM($A61),2,1)="：",MID(TRIM($A61),2,1)="、"),REPLACEB(TRIM($A61),1,4,""),TRIM($A61)),母公司汇总抵销!$J$5:$J$65538)</f>
        <v>0</v>
      </c>
      <c r="D61" s="829">
        <f>SUMIF(母公司汇总抵销!$H$5:$H$65538,IF(OR(MID(TRIM($A61),2,1)="：",MID(TRIM($A61),2,1)="、"),REPLACEB(TRIM($A61),1,4,""),TRIM($A61)),母公司汇总抵销!$J$5:$J$65538)</f>
        <v>0</v>
      </c>
      <c r="E61" s="829">
        <f>SUMIF(母公司账项调整!$E$5:$E$65536,IF(OR(MID(TRIM($A61),2,1)="：",MID(TRIM($A61),2,1)="、"),REPLACEB(TRIM($A61),1,4,""),TRIM($A61)),母公司账项调整!$J$5:$J$65536)</f>
        <v>0</v>
      </c>
      <c r="F61" s="829">
        <f>SUMIF(母公司账项调整!$H$5:$H$65536,IF(OR(MID(TRIM($A61),2,1)="：",MID(TRIM($A61),2,1)="、"),REPLACEB(TRIM($A61),1,4,""),TRIM($A61)),母公司账项调整!$J$5:$J$65536)</f>
        <v>0</v>
      </c>
      <c r="G61" s="829">
        <f>SUMIF(母公司报表调整!$E$5:$E$65536,IF(OR(MID(TRIM($A61),2,1)="：",MID(TRIM($A61),2,1)="、"),REPLACEB(TRIM($A61),1,4,""),TRIM($A61)),母公司报表调整!$J$5:$J$65536)</f>
        <v>0</v>
      </c>
      <c r="H61" s="829">
        <f>SUMIF(母公司报表调整!$H$5:$H$65536,IF(OR(MID(TRIM($A61),2,1)="：",MID(TRIM($A61),2,1)="、"),REPLACEB(TRIM($A61),1,4,""),TRIM($A61)),母公司报表调整!$J$5:$J$65536)</f>
        <v>0</v>
      </c>
      <c r="I61" s="247">
        <f t="shared" ref="I61:I64" si="19">B61-E61-G61+F61+H61-C61+D61</f>
        <v>0</v>
      </c>
      <c r="J61" s="242"/>
      <c r="K61" s="371">
        <f t="shared" ref="K61:K64" si="20">SUM(I61:J61)</f>
        <v>0</v>
      </c>
    </row>
    <row r="62" spans="1:11" ht="15" customHeight="1">
      <c r="A62" s="784" t="str">
        <f>报表格式!L61</f>
        <v>3.可供出售金融资产公允价值变动损益</v>
      </c>
      <c r="B62" s="247">
        <f>母公司PL汇总!B62</f>
        <v>0</v>
      </c>
      <c r="C62" s="829">
        <f>SUMIF(母公司汇总抵销!$E$5:$E$65538,IF(OR(MID(TRIM($A62),2,1)="：",MID(TRIM($A62),2,1)="、"),REPLACEB(TRIM($A62),1,4,""),TRIM($A62)),母公司汇总抵销!$J$5:$J$65538)</f>
        <v>0</v>
      </c>
      <c r="D62" s="829">
        <f>SUMIF(母公司汇总抵销!$H$5:$H$65538,IF(OR(MID(TRIM($A62),2,1)="：",MID(TRIM($A62),2,1)="、"),REPLACEB(TRIM($A62),1,4,""),TRIM($A62)),母公司汇总抵销!$J$5:$J$65538)</f>
        <v>0</v>
      </c>
      <c r="E62" s="829">
        <f>SUMIF(母公司账项调整!$E$5:$E$65536,IF(OR(MID(TRIM($A62),2,1)="：",MID(TRIM($A62),2,1)="、"),REPLACEB(TRIM($A62),1,4,""),TRIM($A62)),母公司账项调整!$J$5:$J$65536)</f>
        <v>0</v>
      </c>
      <c r="F62" s="829">
        <f>SUMIF(母公司账项调整!$H$5:$H$65536,IF(OR(MID(TRIM($A62),2,1)="：",MID(TRIM($A62),2,1)="、"),REPLACEB(TRIM($A62),1,4,""),TRIM($A62)),母公司账项调整!$J$5:$J$65536)</f>
        <v>0</v>
      </c>
      <c r="G62" s="829">
        <f>SUMIF(母公司报表调整!$E$5:$E$65536,IF(OR(MID(TRIM($A62),2,1)="：",MID(TRIM($A62),2,1)="、"),REPLACEB(TRIM($A62),1,4,""),TRIM($A62)),母公司报表调整!$J$5:$J$65536)</f>
        <v>0</v>
      </c>
      <c r="H62" s="829">
        <f>SUMIF(母公司报表调整!$H$5:$H$65536,IF(OR(MID(TRIM($A62),2,1)="：",MID(TRIM($A62),2,1)="、"),REPLACEB(TRIM($A62),1,4,""),TRIM($A62)),母公司报表调整!$J$5:$J$65536)</f>
        <v>0</v>
      </c>
      <c r="I62" s="247">
        <f t="shared" si="19"/>
        <v>0</v>
      </c>
      <c r="J62" s="242"/>
      <c r="K62" s="371">
        <f t="shared" si="20"/>
        <v>0</v>
      </c>
    </row>
    <row r="63" spans="1:11" ht="15" customHeight="1">
      <c r="A63" s="784" t="str">
        <f>报表格式!L62</f>
        <v xml:space="preserve">4.金融资产重分类计入其他综合收益的金额 </v>
      </c>
      <c r="B63" s="247">
        <f>母公司PL汇总!B63</f>
        <v>0</v>
      </c>
      <c r="C63" s="829">
        <f>SUMIF(母公司汇总抵销!$E$5:$E$65538,IF(OR(MID(TRIM($A63),2,1)="：",MID(TRIM($A63),2,1)="、"),REPLACEB(TRIM($A63),1,4,""),TRIM($A63)),母公司汇总抵销!$J$5:$J$65538)</f>
        <v>0</v>
      </c>
      <c r="D63" s="829">
        <f>SUMIF(母公司汇总抵销!$H$5:$H$65538,IF(OR(MID(TRIM($A63),2,1)="：",MID(TRIM($A63),2,1)="、"),REPLACEB(TRIM($A63),1,4,""),TRIM($A63)),母公司汇总抵销!$J$5:$J$65538)</f>
        <v>0</v>
      </c>
      <c r="E63" s="829">
        <f>SUMIF(母公司账项调整!$E$5:$E$65536,IF(OR(MID(TRIM($A63),2,1)="：",MID(TRIM($A63),2,1)="、"),REPLACEB(TRIM($A63),1,4,""),TRIM($A63)),母公司账项调整!$J$5:$J$65536)</f>
        <v>0</v>
      </c>
      <c r="F63" s="829">
        <f>SUMIF(母公司账项调整!$H$5:$H$65536,IF(OR(MID(TRIM($A63),2,1)="：",MID(TRIM($A63),2,1)="、"),REPLACEB(TRIM($A63),1,4,""),TRIM($A63)),母公司账项调整!$J$5:$J$65536)</f>
        <v>0</v>
      </c>
      <c r="G63" s="829">
        <f>SUMIF(母公司报表调整!$E$5:$E$65536,IF(OR(MID(TRIM($A63),2,1)="：",MID(TRIM($A63),2,1)="、"),REPLACEB(TRIM($A63),1,4,""),TRIM($A63)),母公司报表调整!$J$5:$J$65536)</f>
        <v>0</v>
      </c>
      <c r="H63" s="829">
        <f>SUMIF(母公司报表调整!$H$5:$H$65536,IF(OR(MID(TRIM($A63),2,1)="：",MID(TRIM($A63),2,1)="、"),REPLACEB(TRIM($A63),1,4,""),TRIM($A63)),母公司报表调整!$J$5:$J$65536)</f>
        <v>0</v>
      </c>
      <c r="I63" s="247">
        <f t="shared" si="19"/>
        <v>0</v>
      </c>
      <c r="J63" s="242"/>
      <c r="K63" s="371">
        <f t="shared" si="20"/>
        <v>0</v>
      </c>
    </row>
    <row r="64" spans="1:11" ht="15" customHeight="1">
      <c r="A64" s="784" t="str">
        <f>报表格式!L63</f>
        <v>5.持有至到期投资重分类为可供出售金融资产损益</v>
      </c>
      <c r="B64" s="247">
        <f>母公司PL汇总!B64</f>
        <v>0</v>
      </c>
      <c r="C64" s="829">
        <f>SUMIF(母公司汇总抵销!$E$5:$E$65538,IF(OR(MID(TRIM($A64),2,1)="：",MID(TRIM($A64),2,1)="、"),REPLACEB(TRIM($A64),1,4,""),TRIM($A64)),母公司汇总抵销!$J$5:$J$65538)</f>
        <v>0</v>
      </c>
      <c r="D64" s="829">
        <f>SUMIF(母公司汇总抵销!$H$5:$H$65538,IF(OR(MID(TRIM($A64),2,1)="：",MID(TRIM($A64),2,1)="、"),REPLACEB(TRIM($A64),1,4,""),TRIM($A64)),母公司汇总抵销!$J$5:$J$65538)</f>
        <v>0</v>
      </c>
      <c r="E64" s="829">
        <f>SUMIF(母公司账项调整!$E$5:$E$65536,IF(OR(MID(TRIM($A64),2,1)="：",MID(TRIM($A64),2,1)="、"),REPLACEB(TRIM($A64),1,4,""),TRIM($A64)),母公司账项调整!$J$5:$J$65536)</f>
        <v>0</v>
      </c>
      <c r="F64" s="829">
        <f>SUMIF(母公司账项调整!$H$5:$H$65536,IF(OR(MID(TRIM($A64),2,1)="：",MID(TRIM($A64),2,1)="、"),REPLACEB(TRIM($A64),1,4,""),TRIM($A64)),母公司账项调整!$J$5:$J$65536)</f>
        <v>0</v>
      </c>
      <c r="G64" s="829">
        <f>SUMIF(母公司报表调整!$E$5:$E$65536,IF(OR(MID(TRIM($A64),2,1)="：",MID(TRIM($A64),2,1)="、"),REPLACEB(TRIM($A64),1,4,""),TRIM($A64)),母公司报表调整!$J$5:$J$65536)</f>
        <v>0</v>
      </c>
      <c r="H64" s="829">
        <f>SUMIF(母公司报表调整!$H$5:$H$65536,IF(OR(MID(TRIM($A64),2,1)="：",MID(TRIM($A64),2,1)="、"),REPLACEB(TRIM($A64),1,4,""),TRIM($A64)),母公司报表调整!$J$5:$J$65536)</f>
        <v>0</v>
      </c>
      <c r="I64" s="247">
        <f t="shared" si="19"/>
        <v>0</v>
      </c>
      <c r="J64" s="242"/>
      <c r="K64" s="371">
        <f t="shared" si="20"/>
        <v>0</v>
      </c>
    </row>
    <row r="65" spans="1:11" ht="15" customHeight="1">
      <c r="A65" s="784" t="str">
        <f>报表格式!L64</f>
        <v>6.其他债权投资信用减值准备</v>
      </c>
      <c r="B65" s="247">
        <f>母公司PL汇总!B65</f>
        <v>0</v>
      </c>
      <c r="C65" s="829">
        <f>SUMIF(母公司汇总抵销!$E$5:$E$65538,IF(OR(MID(TRIM($A65),2,1)="：",MID(TRIM($A65),2,1)="、"),REPLACEB(TRIM($A65),1,4,""),TRIM($A65)),母公司汇总抵销!$J$5:$J$65538)</f>
        <v>0</v>
      </c>
      <c r="D65" s="829">
        <f>SUMIF(母公司汇总抵销!$H$5:$H$65538,IF(OR(MID(TRIM($A65),2,1)="：",MID(TRIM($A65),2,1)="、"),REPLACEB(TRIM($A65),1,4,""),TRIM($A65)),母公司汇总抵销!$J$5:$J$65538)</f>
        <v>0</v>
      </c>
      <c r="E65" s="829">
        <f>SUMIF(母公司账项调整!$E$5:$E$65536,IF(OR(MID(TRIM($A65),2,1)="：",MID(TRIM($A65),2,1)="、"),REPLACEB(TRIM($A65),1,4,""),TRIM($A65)),母公司账项调整!$J$5:$J$65536)</f>
        <v>0</v>
      </c>
      <c r="F65" s="829">
        <f>SUMIF(母公司账项调整!$H$5:$H$65536,IF(OR(MID(TRIM($A65),2,1)="：",MID(TRIM($A65),2,1)="、"),REPLACEB(TRIM($A65),1,4,""),TRIM($A65)),母公司账项调整!$J$5:$J$65536)</f>
        <v>0</v>
      </c>
      <c r="G65" s="829">
        <f>SUMIF(母公司报表调整!$E$5:$E$65536,IF(OR(MID(TRIM($A65),2,1)="：",MID(TRIM($A65),2,1)="、"),REPLACEB(TRIM($A65),1,4,""),TRIM($A65)),母公司报表调整!$J$5:$J$65536)</f>
        <v>0</v>
      </c>
      <c r="H65" s="829">
        <f>SUMIF(母公司报表调整!$H$5:$H$65536,IF(OR(MID(TRIM($A65),2,1)="：",MID(TRIM($A65),2,1)="、"),REPLACEB(TRIM($A65),1,4,""),TRIM($A65)),母公司报表调整!$J$5:$J$65536)</f>
        <v>0</v>
      </c>
      <c r="I65" s="247">
        <f>B65-E65-G65+F65+H65-C65+D65</f>
        <v>0</v>
      </c>
      <c r="J65" s="242"/>
      <c r="K65" s="371">
        <f>SUM(I65:J65)</f>
        <v>0</v>
      </c>
    </row>
    <row r="66" spans="1:11" ht="15" customHeight="1">
      <c r="A66" s="784" t="str">
        <f>报表格式!L65</f>
        <v>7.现金流量套期储备</v>
      </c>
      <c r="B66" s="247">
        <f>母公司PL汇总!B66</f>
        <v>0</v>
      </c>
      <c r="C66" s="829">
        <f>SUMIF(母公司汇总抵销!$E$5:$E$65538,IF(OR(MID(TRIM($A66),2,1)="：",MID(TRIM($A66),2,1)="、"),REPLACEB(TRIM($A66),1,4,""),TRIM($A66)),母公司汇总抵销!$J$5:$J$65538)</f>
        <v>0</v>
      </c>
      <c r="D66" s="829">
        <f>SUMIF(母公司汇总抵销!$H$5:$H$65538,IF(OR(MID(TRIM($A66),2,1)="：",MID(TRIM($A66),2,1)="、"),REPLACEB(TRIM($A66),1,4,""),TRIM($A66)),母公司汇总抵销!$J$5:$J$65538)</f>
        <v>0</v>
      </c>
      <c r="E66" s="829">
        <f>SUMIF(母公司账项调整!$E$5:$E$65536,IF(OR(MID(TRIM($A66),2,1)="：",MID(TRIM($A66),2,1)="、"),REPLACEB(TRIM($A66),1,4,""),TRIM($A66)),母公司账项调整!$J$5:$J$65536)</f>
        <v>0</v>
      </c>
      <c r="F66" s="829">
        <f>SUMIF(母公司账项调整!$H$5:$H$65536,IF(OR(MID(TRIM($A66),2,1)="：",MID(TRIM($A66),2,1)="、"),REPLACEB(TRIM($A66),1,4,""),TRIM($A66)),母公司账项调整!$J$5:$J$65536)</f>
        <v>0</v>
      </c>
      <c r="G66" s="829">
        <f>SUMIF(母公司报表调整!$E$5:$E$65536,IF(OR(MID(TRIM($A66),2,1)="：",MID(TRIM($A66),2,1)="、"),REPLACEB(TRIM($A66),1,4,""),TRIM($A66)),母公司报表调整!$J$5:$J$65536)</f>
        <v>0</v>
      </c>
      <c r="H66" s="829">
        <f>SUMIF(母公司报表调整!$H$5:$H$65536,IF(OR(MID(TRIM($A66),2,1)="：",MID(TRIM($A66),2,1)="、"),REPLACEB(TRIM($A66),1,4,""),TRIM($A66)),母公司报表调整!$J$5:$J$65536)</f>
        <v>0</v>
      </c>
      <c r="I66" s="247">
        <f t="shared" si="14"/>
        <v>0</v>
      </c>
      <c r="J66" s="242"/>
      <c r="K66" s="371">
        <f t="shared" si="16"/>
        <v>0</v>
      </c>
    </row>
    <row r="67" spans="1:11" ht="15" customHeight="1">
      <c r="A67" s="784" t="str">
        <f>报表格式!L66</f>
        <v>8.外币财务报表折算差额</v>
      </c>
      <c r="B67" s="247">
        <f>母公司PL汇总!B67</f>
        <v>0</v>
      </c>
      <c r="C67" s="829">
        <f>SUMIF(母公司汇总抵销!$E$5:$E$65538,IF(OR(MID(TRIM($A67),2,1)="：",MID(TRIM($A67),2,1)="、"),REPLACEB(TRIM($A67),1,4,""),TRIM($A67)),母公司汇总抵销!$J$5:$J$65538)</f>
        <v>0</v>
      </c>
      <c r="D67" s="829">
        <f>SUMIF(母公司汇总抵销!$H$5:$H$65538,IF(OR(MID(TRIM($A67),2,1)="：",MID(TRIM($A67),2,1)="、"),REPLACEB(TRIM($A67),1,4,""),TRIM($A67)),母公司汇总抵销!$J$5:$J$65538)</f>
        <v>0</v>
      </c>
      <c r="E67" s="829">
        <f>SUMIF(母公司账项调整!$E$5:$E$65536,IF(OR(MID(TRIM($A67),2,1)="：",MID(TRIM($A67),2,1)="、"),REPLACEB(TRIM($A67),1,4,""),TRIM($A67)),母公司账项调整!$J$5:$J$65536)</f>
        <v>0</v>
      </c>
      <c r="F67" s="829">
        <f>SUMIF(母公司账项调整!$H$5:$H$65536,IF(OR(MID(TRIM($A67),2,1)="：",MID(TRIM($A67),2,1)="、"),REPLACEB(TRIM($A67),1,4,""),TRIM($A67)),母公司账项调整!$J$5:$J$65536)</f>
        <v>0</v>
      </c>
      <c r="G67" s="829">
        <f>SUMIF(母公司报表调整!$E$5:$E$65536,IF(OR(MID(TRIM($A67),2,1)="：",MID(TRIM($A67),2,1)="、"),REPLACEB(TRIM($A67),1,4,""),TRIM($A67)),母公司报表调整!$J$5:$J$65536)</f>
        <v>0</v>
      </c>
      <c r="H67" s="829">
        <f>SUMIF(母公司报表调整!$H$5:$H$65536,IF(OR(MID(TRIM($A67),2,1)="：",MID(TRIM($A67),2,1)="、"),REPLACEB(TRIM($A67),1,4,""),TRIM($A67)),母公司报表调整!$J$5:$J$65536)</f>
        <v>0</v>
      </c>
      <c r="I67" s="247">
        <f t="shared" si="14"/>
        <v>0</v>
      </c>
      <c r="J67" s="242"/>
      <c r="K67" s="371">
        <f t="shared" si="16"/>
        <v>0</v>
      </c>
    </row>
    <row r="68" spans="1:11" ht="15" customHeight="1">
      <c r="A68" s="784" t="str">
        <f>报表格式!L67</f>
        <v>9.自用房地产或作为存货的房地产转换为以公允价值计量的投资性房地产在转换日公允价值大于账面价值部分</v>
      </c>
      <c r="B68" s="247">
        <f>母公司PL汇总!B68</f>
        <v>0</v>
      </c>
      <c r="C68" s="829">
        <f>SUMIF(母公司汇总抵销!$E$5:$E$65538,IF(OR(MID(TRIM($A68),2,1)="：",MID(TRIM($A68),2,1)="、"),REPLACEB(TRIM($A68),1,4,""),TRIM($A68)),母公司汇总抵销!$J$5:$J$65538)</f>
        <v>0</v>
      </c>
      <c r="D68" s="829">
        <f>SUMIF(母公司汇总抵销!$H$5:$H$65538,IF(OR(MID(TRIM($A68),2,1)="：",MID(TRIM($A68),2,1)="、"),REPLACEB(TRIM($A68),1,4,""),TRIM($A68)),母公司汇总抵销!$J$5:$J$65538)</f>
        <v>0</v>
      </c>
      <c r="E68" s="829">
        <f>SUMIF(母公司账项调整!$E$5:$E$65536,IF(OR(MID(TRIM($A68),2,1)="：",MID(TRIM($A68),2,1)="、"),REPLACEB(TRIM($A68),1,4,""),TRIM($A68)),母公司账项调整!$J$5:$J$65536)</f>
        <v>0</v>
      </c>
      <c r="F68" s="829">
        <f>SUMIF(母公司账项调整!$H$5:$H$65536,IF(OR(MID(TRIM($A68),2,1)="：",MID(TRIM($A68),2,1)="、"),REPLACEB(TRIM($A68),1,4,""),TRIM($A68)),母公司账项调整!$J$5:$J$65536)</f>
        <v>0</v>
      </c>
      <c r="G68" s="829">
        <f>SUMIF(母公司报表调整!$E$5:$E$65536,IF(OR(MID(TRIM($A68),2,1)="：",MID(TRIM($A68),2,1)="、"),REPLACEB(TRIM($A68),1,4,""),TRIM($A68)),母公司报表调整!$J$5:$J$65536)</f>
        <v>0</v>
      </c>
      <c r="H68" s="829">
        <f>SUMIF(母公司报表调整!$H$5:$H$65536,IF(OR(MID(TRIM($A68),2,1)="：",MID(TRIM($A68),2,1)="、"),REPLACEB(TRIM($A68),1,4,""),TRIM($A68)),母公司报表调整!$J$5:$J$65536)</f>
        <v>0</v>
      </c>
      <c r="I68" s="247">
        <f t="shared" si="14"/>
        <v>0</v>
      </c>
      <c r="J68" s="242"/>
      <c r="K68" s="371">
        <f t="shared" si="16"/>
        <v>0</v>
      </c>
    </row>
    <row r="69" spans="1:11" ht="15" customHeight="1">
      <c r="A69" s="784" t="str">
        <f>报表格式!L68</f>
        <v>10.多次交易分步处置子公司股权构成一揽子交易的，丧失控制权之前各次交易处置价款与对应净资产账面价值份额的差额</v>
      </c>
      <c r="B69" s="247">
        <f>母公司PL汇总!B69</f>
        <v>0</v>
      </c>
      <c r="C69" s="829">
        <f>SUMIF(母公司汇总抵销!$E$5:$E$65538,IF(OR(MID(TRIM($A69),2,1)="：",MID(TRIM($A69),2,1)="、"),REPLACEB(TRIM($A69),1,4,""),TRIM($A69)),母公司汇总抵销!$J$5:$J$65538)</f>
        <v>0</v>
      </c>
      <c r="D69" s="829">
        <f>SUMIF(母公司汇总抵销!$H$5:$H$65538,IF(OR(MID(TRIM($A69),2,1)="：",MID(TRIM($A69),2,1)="、"),REPLACEB(TRIM($A69),1,4,""),TRIM($A69)),母公司汇总抵销!$J$5:$J$65538)</f>
        <v>0</v>
      </c>
      <c r="E69" s="829">
        <f>SUMIF(母公司账项调整!$E$5:$E$65536,IF(OR(MID(TRIM($A69),2,1)="：",MID(TRIM($A69),2,1)="、"),REPLACEB(TRIM($A69),1,4,""),TRIM($A69)),母公司账项调整!$J$5:$J$65536)</f>
        <v>0</v>
      </c>
      <c r="F69" s="829">
        <f>SUMIF(母公司账项调整!$H$5:$H$65536,IF(OR(MID(TRIM($A69),2,1)="：",MID(TRIM($A69),2,1)="、"),REPLACEB(TRIM($A69),1,4,""),TRIM($A69)),母公司账项调整!$J$5:$J$65536)</f>
        <v>0</v>
      </c>
      <c r="G69" s="829">
        <f>SUMIF(母公司报表调整!$E$5:$E$65536,IF(OR(MID(TRIM($A69),2,1)="：",MID(TRIM($A69),2,1)="、"),REPLACEB(TRIM($A69),1,4,""),TRIM($A69)),母公司报表调整!$J$5:$J$65536)</f>
        <v>0</v>
      </c>
      <c r="H69" s="829">
        <f>SUMIF(母公司报表调整!$H$5:$H$65536,IF(OR(MID(TRIM($A69),2,1)="：",MID(TRIM($A69),2,1)="、"),REPLACEB(TRIM($A69),1,4,""),TRIM($A69)),母公司报表调整!$J$5:$J$65536)</f>
        <v>0</v>
      </c>
      <c r="I69" s="247">
        <f t="shared" si="14"/>
        <v>0</v>
      </c>
      <c r="J69" s="242"/>
      <c r="K69" s="371">
        <f t="shared" si="16"/>
        <v>0</v>
      </c>
    </row>
    <row r="70" spans="1:11" ht="15" customHeight="1">
      <c r="A70" s="784" t="str">
        <f>报表格式!L69</f>
        <v>11.其他</v>
      </c>
      <c r="B70" s="247">
        <f>母公司PL汇总!B70</f>
        <v>0</v>
      </c>
      <c r="C70" s="829">
        <f>SUMIF(母公司汇总抵销!$E$5:$E$65538,IF(OR(MID(TRIM($A70),2,1)="：",MID(TRIM($A70),2,1)="、"),REPLACEB(TRIM($A70),1,4,""),TRIM($A70)),母公司汇总抵销!$J$5:$J$65538)</f>
        <v>0</v>
      </c>
      <c r="D70" s="829">
        <f>SUMIF(母公司汇总抵销!$H$5:$H$65538,IF(OR(MID(TRIM($A70),2,1)="：",MID(TRIM($A70),2,1)="、"),REPLACEB(TRIM($A70),1,4,""),TRIM($A70)),母公司汇总抵销!$J$5:$J$65538)</f>
        <v>0</v>
      </c>
      <c r="E70" s="829">
        <f>SUMIF(母公司账项调整!$E$5:$E$65536,IF(OR(MID(TRIM($A70),2,1)="：",MID(TRIM($A70),2,1)="、"),REPLACEB(TRIM($A70),1,4,""),TRIM($A70)),母公司账项调整!$J$5:$J$65536)</f>
        <v>0</v>
      </c>
      <c r="F70" s="829">
        <f>SUMIF(母公司账项调整!$H$5:$H$65536,IF(OR(MID(TRIM($A70),2,1)="：",MID(TRIM($A70),2,1)="、"),REPLACEB(TRIM($A70),1,4,""),TRIM($A70)),母公司账项调整!$J$5:$J$65536)</f>
        <v>0</v>
      </c>
      <c r="G70" s="829">
        <f>SUMIF(母公司报表调整!$E$5:$E$65536,IF(OR(MID(TRIM($A70),2,1)="：",MID(TRIM($A70),2,1)="、"),REPLACEB(TRIM($A70),1,4,""),TRIM($A70)),母公司报表调整!$J$5:$J$65536)</f>
        <v>0</v>
      </c>
      <c r="H70" s="829">
        <f>SUMIF(母公司报表调整!$H$5:$H$65536,IF(OR(MID(TRIM($A70),2,1)="：",MID(TRIM($A70),2,1)="、"),REPLACEB(TRIM($A70),1,4,""),TRIM($A70)),母公司报表调整!$J$5:$J$65536)</f>
        <v>0</v>
      </c>
      <c r="I70" s="829">
        <f t="shared" si="14"/>
        <v>0</v>
      </c>
      <c r="J70" s="242"/>
      <c r="K70" s="371">
        <f t="shared" si="16"/>
        <v>0</v>
      </c>
    </row>
    <row r="71" spans="1:11" ht="15" customHeight="1">
      <c r="A71" s="105" t="str">
        <f>报表格式!L70</f>
        <v>归属于少数股东的其他综合收益的税后净额</v>
      </c>
      <c r="B71" s="247">
        <f>母公司PL汇总!B71</f>
        <v>0</v>
      </c>
      <c r="C71" s="247">
        <f>SUMIF(母公司汇总抵销!$E$5:$E$65538,IF(OR(MID(TRIM($A71),2,1)="：",MID(TRIM($A71),2,1)="、"),REPLACEB(TRIM($A71),1,4,""),TRIM($A71)),母公司汇总抵销!$J$5:$J$65538)</f>
        <v>0</v>
      </c>
      <c r="D71" s="247">
        <f>SUMIF(母公司汇总抵销!$H$5:$H$65538,IF(OR(MID(TRIM($A71),2,1)="：",MID(TRIM($A71),2,1)="、"),REPLACEB(TRIM($A71),1,4,""),TRIM($A71)),母公司汇总抵销!$J$5:$J$65538)</f>
        <v>0</v>
      </c>
      <c r="E71" s="829">
        <f>SUMIF(母公司账项调整!$E$5:$E$65536,IF(OR(MID(TRIM($A71),2,1)="：",MID(TRIM($A71),2,1)="、"),REPLACEB(TRIM($A71),1,4,""),TRIM($A71)),母公司账项调整!$J$5:$J$65536)</f>
        <v>0</v>
      </c>
      <c r="F71" s="247">
        <f>SUMIF(母公司账项调整!$H$5:$H$65536,IF(OR(MID(TRIM($A71),2,1)="：",MID(TRIM($A71),2,1)="、"),REPLACEB(TRIM($A71),1,4,""),TRIM($A71)),母公司账项调整!$J$5:$J$65536)</f>
        <v>0</v>
      </c>
      <c r="G71" s="247">
        <f>SUMIF(母公司报表调整!$E$5:$E$65536,IF(OR(MID(TRIM($A71),2,1)="：",MID(TRIM($A71),2,1)="、"),REPLACEB(TRIM($A71),1,4,""),TRIM($A71)),母公司报表调整!$J$5:$J$65536)</f>
        <v>0</v>
      </c>
      <c r="H71" s="247">
        <f>SUMIF(母公司报表调整!$H$5:$H$65536,IF(OR(MID(TRIM($A71),2,1)="：",MID(TRIM($A71),2,1)="、"),REPLACEB(TRIM($A71),1,4,""),TRIM($A71)),母公司报表调整!$J$5:$J$65536)</f>
        <v>0</v>
      </c>
      <c r="I71" s="829">
        <f t="shared" si="14"/>
        <v>0</v>
      </c>
      <c r="J71" s="242"/>
      <c r="K71" s="371">
        <f>SUM(I71:J71)</f>
        <v>0</v>
      </c>
    </row>
    <row r="72" spans="1:11" ht="15" customHeight="1">
      <c r="A72" s="94" t="str">
        <f>报表格式!L71</f>
        <v>六、综合收益总额</v>
      </c>
      <c r="B72" s="246">
        <f>母公司PL汇总!B72</f>
        <v>0</v>
      </c>
      <c r="C72" s="246">
        <f t="shared" ref="C72:J72" si="21">C44+C51</f>
        <v>0</v>
      </c>
      <c r="D72" s="246">
        <f t="shared" si="21"/>
        <v>0</v>
      </c>
      <c r="E72" s="830">
        <f t="shared" si="21"/>
        <v>0</v>
      </c>
      <c r="F72" s="246">
        <f t="shared" si="21"/>
        <v>0</v>
      </c>
      <c r="G72" s="246">
        <f t="shared" si="21"/>
        <v>0</v>
      </c>
      <c r="H72" s="246">
        <f t="shared" si="21"/>
        <v>0</v>
      </c>
      <c r="I72" s="830">
        <f t="shared" si="21"/>
        <v>0</v>
      </c>
      <c r="J72" s="246">
        <f t="shared" si="21"/>
        <v>0</v>
      </c>
      <c r="K72" s="753">
        <f>SUM(I72:J72)</f>
        <v>0</v>
      </c>
    </row>
    <row r="73" spans="1:11" ht="15" customHeight="1">
      <c r="A73" s="105" t="str">
        <f>报表格式!L72</f>
        <v xml:space="preserve">     归属于母公司股东的综合收益总额</v>
      </c>
      <c r="B73" s="247">
        <f>母公司PL汇总!B73</f>
        <v>0</v>
      </c>
      <c r="C73" s="247">
        <f t="shared" ref="C73:J73" si="22">C49+C52</f>
        <v>0</v>
      </c>
      <c r="D73" s="247">
        <f t="shared" si="22"/>
        <v>0</v>
      </c>
      <c r="E73" s="829">
        <f t="shared" si="22"/>
        <v>0</v>
      </c>
      <c r="F73" s="247">
        <f t="shared" si="22"/>
        <v>0</v>
      </c>
      <c r="G73" s="247">
        <f t="shared" si="22"/>
        <v>0</v>
      </c>
      <c r="H73" s="247">
        <f t="shared" si="22"/>
        <v>0</v>
      </c>
      <c r="I73" s="829">
        <f t="shared" si="22"/>
        <v>0</v>
      </c>
      <c r="J73" s="247">
        <f t="shared" si="22"/>
        <v>0</v>
      </c>
      <c r="K73" s="371">
        <f>SUM(I73:J73)</f>
        <v>0</v>
      </c>
    </row>
    <row r="74" spans="1:11" ht="15" customHeight="1">
      <c r="A74" s="105" t="str">
        <f>报表格式!L73</f>
        <v xml:space="preserve">     归属于少数股东的综合收益总额</v>
      </c>
      <c r="B74" s="247">
        <f>母公司PL汇总!B74</f>
        <v>0</v>
      </c>
      <c r="C74" s="247">
        <f t="shared" ref="C74:H74" si="23">C50+C71</f>
        <v>0</v>
      </c>
      <c r="D74" s="247">
        <f t="shared" si="23"/>
        <v>0</v>
      </c>
      <c r="E74" s="829">
        <f t="shared" si="23"/>
        <v>0</v>
      </c>
      <c r="F74" s="247">
        <f t="shared" si="23"/>
        <v>0</v>
      </c>
      <c r="G74" s="247">
        <f t="shared" si="23"/>
        <v>0</v>
      </c>
      <c r="H74" s="247">
        <f t="shared" si="23"/>
        <v>0</v>
      </c>
      <c r="I74" s="829">
        <f>B74-E74-G74+F74+H74-C74+D74</f>
        <v>0</v>
      </c>
      <c r="J74" s="242"/>
      <c r="K74" s="371">
        <f>SUM(I74:J74)</f>
        <v>0</v>
      </c>
    </row>
    <row r="75" spans="1:11" ht="15" customHeight="1">
      <c r="A75" s="94" t="str">
        <f>报表格式!L74</f>
        <v>七、每股收益</v>
      </c>
      <c r="B75" s="247"/>
      <c r="C75" s="247"/>
      <c r="D75" s="247"/>
      <c r="E75" s="829"/>
      <c r="F75" s="247"/>
      <c r="G75" s="247"/>
      <c r="H75" s="247"/>
      <c r="I75" s="829"/>
      <c r="J75" s="242"/>
      <c r="K75" s="371"/>
    </row>
    <row r="76" spans="1:11" ht="15" customHeight="1">
      <c r="A76" s="105" t="str">
        <f>报表格式!L75</f>
        <v xml:space="preserve">   （一）基本每股收益</v>
      </c>
      <c r="B76" s="247">
        <f>母公司PL汇总!B76</f>
        <v>0</v>
      </c>
      <c r="C76" s="247">
        <f>SUMIF(母公司汇总抵销!$E$5:$E$65538,IF(OR(MID(TRIM($A76),2,1)="：",MID(TRIM($A76),2,1)="、"),REPLACEB(TRIM($A76),1,4,""),TRIM($A76)),母公司汇总抵销!$J$5:$J$65538)</f>
        <v>0</v>
      </c>
      <c r="D76" s="247">
        <f>SUMIF(母公司汇总抵销!$H$5:$H$65538,IF(OR(MID(TRIM($A76),2,1)="：",MID(TRIM($A76),2,1)="、"),REPLACEB(TRIM($A76),1,4,""),TRIM($A76)),母公司汇总抵销!$J$5:$J$65538)</f>
        <v>0</v>
      </c>
      <c r="E76" s="829">
        <f>SUMIF(母公司账项调整!$E$5:$E$65536,IF(OR(MID(TRIM($A76),2,1)="：",MID(TRIM($A76),2,1)="、"),REPLACEB(TRIM($A76),1,4,""),TRIM($A76)),母公司账项调整!$J$5:$J$65536)</f>
        <v>0</v>
      </c>
      <c r="F76" s="247">
        <f>SUMIF(母公司账项调整!$H$5:$H$65536,IF(OR(MID(TRIM($A76),2,1)="：",MID(TRIM($A76),2,1)="、"),REPLACEB(TRIM($A76),1,4,""),TRIM($A76)),母公司账项调整!$J$5:$J$65536)</f>
        <v>0</v>
      </c>
      <c r="G76" s="247">
        <f>SUMIF(母公司报表调整!$E$5:$E$65536,IF(OR(MID(TRIM($A76),2,1)="：",MID(TRIM($A76),2,1)="、"),REPLACEB(TRIM($A76),1,4,""),TRIM($A76)),母公司报表调整!$J$5:$J$65536)</f>
        <v>0</v>
      </c>
      <c r="H76" s="247">
        <f>SUMIF(母公司报表调整!$H$5:$H$65536,IF(OR(MID(TRIM($A76),2,1)="：",MID(TRIM($A76),2,1)="、"),REPLACEB(TRIM($A76),1,4,""),TRIM($A76)),母公司报表调整!$J$5:$J$65536)</f>
        <v>0</v>
      </c>
      <c r="I76" s="829">
        <f>B76-E76-G76+F76+H76-C76+D76</f>
        <v>0</v>
      </c>
      <c r="J76" s="242"/>
      <c r="K76" s="371">
        <f>SUM(I76:J76)</f>
        <v>0</v>
      </c>
    </row>
    <row r="77" spans="1:11" ht="15" customHeight="1">
      <c r="A77" s="800" t="str">
        <f>报表格式!L76</f>
        <v xml:space="preserve">   （二）稀释每股收益</v>
      </c>
      <c r="B77" s="236">
        <f>母公司PL汇总!B77</f>
        <v>0</v>
      </c>
      <c r="C77" s="236">
        <f>SUMIF(母公司汇总抵销!$E$5:$E$65538,IF(OR(MID(TRIM($A77),2,1)="：",MID(TRIM($A77),2,1)="、"),REPLACEB(TRIM($A77),1,4,""),TRIM($A77)),母公司汇总抵销!$J$5:$J$65538)</f>
        <v>0</v>
      </c>
      <c r="D77" s="236">
        <f>SUMIF(母公司汇总抵销!$H$5:$H$65538,IF(OR(MID(TRIM($A77),2,1)="：",MID(TRIM($A77),2,1)="、"),REPLACEB(TRIM($A77),1,4,""),TRIM($A77)),母公司汇总抵销!$J$5:$J$65538)</f>
        <v>0</v>
      </c>
      <c r="E77" s="814">
        <f>SUMIF(母公司账项调整!$E$5:$E$65536,IF(OR(MID(TRIM($A77),2,1)="：",MID(TRIM($A77),2,1)="、"),REPLACEB(TRIM($A77),1,4,""),TRIM($A77)),母公司账项调整!$J$5:$J$65536)</f>
        <v>0</v>
      </c>
      <c r="F77" s="236">
        <f>SUMIF(母公司账项调整!$H$5:$H$65536,IF(OR(MID(TRIM($A77),2,1)="：",MID(TRIM($A77),2,1)="、"),REPLACEB(TRIM($A77),1,4,""),TRIM($A77)),母公司账项调整!$J$5:$J$65536)</f>
        <v>0</v>
      </c>
      <c r="G77" s="236">
        <f>SUMIF(母公司报表调整!$E$5:$E$65536,IF(OR(MID(TRIM($A77),2,1)="：",MID(TRIM($A77),2,1)="、"),REPLACEB(TRIM($A77),1,4,""),TRIM($A77)),母公司报表调整!$J$5:$J$65536)</f>
        <v>0</v>
      </c>
      <c r="H77" s="236">
        <f>SUMIF(母公司报表调整!$H$5:$H$65536,IF(OR(MID(TRIM($A77),2,1)="：",MID(TRIM($A77),2,1)="、"),REPLACEB(TRIM($A77),1,4,""),TRIM($A77)),母公司报表调整!$J$5:$J$65536)</f>
        <v>0</v>
      </c>
      <c r="I77" s="829">
        <f>B77-E77-G77+F77+H77-C77+D77</f>
        <v>0</v>
      </c>
      <c r="J77" s="242"/>
      <c r="K77" s="237">
        <f>SUM(I77:J77)</f>
        <v>0</v>
      </c>
    </row>
    <row r="78" spans="1:11" ht="15" customHeight="1">
      <c r="A78" s="801" t="str">
        <f>报表格式!L77</f>
        <v>八、利润分配</v>
      </c>
      <c r="B78" s="236"/>
      <c r="C78" s="236"/>
      <c r="D78" s="236"/>
      <c r="E78" s="814"/>
      <c r="F78" s="236"/>
      <c r="G78" s="236"/>
      <c r="H78" s="236"/>
      <c r="I78" s="814"/>
      <c r="J78" s="242"/>
      <c r="K78" s="242"/>
    </row>
    <row r="79" spans="1:11" ht="15" customHeight="1">
      <c r="A79" s="800" t="str">
        <f>报表格式!L78</f>
        <v xml:space="preserve">   （一）年初未分配利润</v>
      </c>
      <c r="B79" s="236">
        <f>母公司PL汇总!B79</f>
        <v>0</v>
      </c>
      <c r="C79" s="236">
        <f>SUMIF(母公司汇总抵销!$E$5:$E$65538,IF(OR(MID(TRIM($A79),1,1)="（",MID(TRIM($A79),2,1)="、"),REPLACEB(TRIM($A79),1,6,""),TRIM($A79)),母公司汇总抵销!$J$5:$J$65538)</f>
        <v>0</v>
      </c>
      <c r="D79" s="236">
        <f>SUMIF(母公司汇总抵销!$H$5:$H$65538,IF(OR(MID(TRIM($A79),1,1)="（",MID(TRIM($A79),2,1)="、"),REPLACEB(TRIM($A79),1,6,""),TRIM($A79)),母公司汇总抵销!$J$5:$J$65538)</f>
        <v>0</v>
      </c>
      <c r="E79" s="814">
        <f>SUMIF(母公司账项调整!$E$5:$E$65536,IF(OR(MID(TRIM($A79),1,1)="（",MID(TRIM($A79),2,1)="、"),REPLACEB(TRIM($A79),1,6,""),TRIM($A79)),母公司账项调整!$J$5:$J$65536)</f>
        <v>0</v>
      </c>
      <c r="F79" s="236">
        <f>SUMIF(母公司账项调整!$H$5:$H$65536,IF(OR(MID(TRIM($A79),1,1)="（",MID(TRIM($A79),2,1)="、"),REPLACEB(TRIM($A79),1,6,""),TRIM($A79)),母公司账项调整!$J$5:$J$65536)</f>
        <v>0</v>
      </c>
      <c r="G79" s="236">
        <f>SUMIF(母公司报表调整!$E$5:$E$65536,IF(OR(MID(TRIM($A79),1,1)="（",MID(TRIM($A79),2,1)="、"),REPLACEB(TRIM($A79),1,6,""),TRIM($A79)),母公司报表调整!$J$5:$J$65536)</f>
        <v>0</v>
      </c>
      <c r="H79" s="236">
        <f>SUMIF(母公司报表调整!$H$5:$H$65536,IF(OR(MID(TRIM($A79),1,1)="（",MID(TRIM($A79),2,1)="、"),REPLACEB(TRIM($A79),1,6,""),TRIM($A79)),母公司报表调整!$J$5:$J$65536)</f>
        <v>0</v>
      </c>
      <c r="I79" s="829">
        <f>B79-E79-G79+F79+H79-C79+D79</f>
        <v>0</v>
      </c>
      <c r="J79" s="242"/>
      <c r="K79" s="237">
        <f t="shared" ref="K79:K88" si="24">SUM(I79:J79)</f>
        <v>0</v>
      </c>
    </row>
    <row r="80" spans="1:11" ht="15" customHeight="1">
      <c r="A80" s="800" t="str">
        <f>报表格式!L79</f>
        <v xml:space="preserve">   （二）可供分配的利润</v>
      </c>
      <c r="B80" s="236">
        <f>母公司PL汇总!B80</f>
        <v>0</v>
      </c>
      <c r="C80" s="236">
        <f>C49+C79</f>
        <v>0</v>
      </c>
      <c r="D80" s="236">
        <f t="shared" ref="D80:J80" si="25">D49+D79</f>
        <v>0</v>
      </c>
      <c r="E80" s="814">
        <f t="shared" si="25"/>
        <v>0</v>
      </c>
      <c r="F80" s="236">
        <f t="shared" si="25"/>
        <v>0</v>
      </c>
      <c r="G80" s="236">
        <f t="shared" si="25"/>
        <v>0</v>
      </c>
      <c r="H80" s="236">
        <f t="shared" si="25"/>
        <v>0</v>
      </c>
      <c r="I80" s="814">
        <f t="shared" si="25"/>
        <v>0</v>
      </c>
      <c r="J80" s="236">
        <f t="shared" si="25"/>
        <v>0</v>
      </c>
      <c r="K80" s="237">
        <f t="shared" si="24"/>
        <v>0</v>
      </c>
    </row>
    <row r="81" spans="1:11" ht="15" customHeight="1">
      <c r="A81" s="800" t="str">
        <f>报表格式!L80</f>
        <v xml:space="preserve">    1、提取法定盈余公积</v>
      </c>
      <c r="B81" s="236">
        <f>母公司PL汇总!B81</f>
        <v>0</v>
      </c>
      <c r="C81" s="247">
        <f>SUMIF(母公司汇总抵销!$E$5:$E$65538,IF(OR(MID(TRIM($A81),2,1)="：",MID(TRIM($A81),2,1)="."),REPLACEB(TRIM($A81),1,4,""),TRIM($A81)),母公司汇总抵销!$J$5:$J$65538)</f>
        <v>0</v>
      </c>
      <c r="D81" s="247">
        <f>SUMIF(母公司汇总抵销!$H$5:$H$65538,IF(OR(MID(TRIM($A81),2,1)="：",MID(TRIM($A81),2,1)="."),REPLACEB(TRIM($A81),1,4,""),TRIM($A81)),母公司汇总抵销!$J$5:$J$65538)</f>
        <v>0</v>
      </c>
      <c r="E81" s="829">
        <f>SUMIF(母公司账项调整!$E$5:$E$65536,IF(OR(MID(TRIM($A81),2,1)="：",MID(TRIM($A81),2,1)="."),REPLACEB(TRIM($A81),1,4,""),TRIM($A81)),母公司账项调整!$J$5:$J$65536)</f>
        <v>0</v>
      </c>
      <c r="F81" s="247">
        <f>SUMIF(母公司账项调整!$H$5:$H$65536,IF(OR(MID(TRIM($A81),2,1)="：",MID(TRIM($A81),2,1)="."),REPLACEB(TRIM($A81),1,4,""),TRIM($A81)),母公司账项调整!$J$5:$J$65536)</f>
        <v>0</v>
      </c>
      <c r="G81" s="247">
        <f>SUMIF(母公司报表调整!$E$5:$E$65536,IF(OR(MID(TRIM($A81),2,1)="：",MID(TRIM($A81),2,1)="."),REPLACEB(TRIM($A81),1,4,""),TRIM($A81)),母公司报表调整!$J$5:$J$65536)</f>
        <v>0</v>
      </c>
      <c r="H81" s="247">
        <f>SUMIF(母公司报表调整!$H$5:$H$65536,IF(OR(MID(TRIM($A81),2,1)="：",MID(TRIM($A81),2,1)="."),REPLACEB(TRIM($A81),1,4,""),TRIM($A81)),母公司报表调整!$J$5:$J$65536)</f>
        <v>0</v>
      </c>
      <c r="I81" s="829">
        <f>B81-E81-G81+F81+H81-C81+D81</f>
        <v>0</v>
      </c>
      <c r="J81" s="242"/>
      <c r="K81" s="237">
        <f t="shared" si="24"/>
        <v>0</v>
      </c>
    </row>
    <row r="82" spans="1:11" ht="15" customHeight="1">
      <c r="A82" s="800" t="str">
        <f>报表格式!L81</f>
        <v xml:space="preserve">    2、其他</v>
      </c>
      <c r="B82" s="236">
        <f>母公司PL汇总!B82</f>
        <v>0</v>
      </c>
      <c r="C82" s="247">
        <f>SUMIF(母公司汇总抵销!$E$5:$E$65538,IF(OR(MID(TRIM($A82),2,1)="：",MID(TRIM($A82),2,1)="."),REPLACEB(TRIM($A82),1,4,""),TRIM($A82)),母公司汇总抵销!$J$5:$J$65538)</f>
        <v>0</v>
      </c>
      <c r="D82" s="247">
        <f>SUMIF(母公司汇总抵销!$H$5:$H$65538,IF(OR(MID(TRIM($A82),2,1)="：",MID(TRIM($A82),2,1)="."),REPLACEB(TRIM($A82),1,4,""),TRIM($A82)),母公司汇总抵销!$J$5:$J$65538)</f>
        <v>0</v>
      </c>
      <c r="E82" s="829">
        <f>SUMIF(母公司账项调整!$E$5:$E$65536,IF(OR(MID(TRIM($A82),2,1)="：",MID(TRIM($A82),2,1)="."),REPLACEB(TRIM($A82),1,4,""),TRIM($A82)),母公司账项调整!$J$5:$J$65536)</f>
        <v>0</v>
      </c>
      <c r="F82" s="247">
        <f>SUMIF(母公司账项调整!$H$5:$H$65536,IF(OR(MID(TRIM($A82),2,1)="：",MID(TRIM($A82),2,1)="."),REPLACEB(TRIM($A82),1,4,""),TRIM($A82)),母公司账项调整!$J$5:$J$65536)</f>
        <v>0</v>
      </c>
      <c r="G82" s="247">
        <f>SUMIF(母公司报表调整!$E$5:$E$65536,IF(OR(MID(TRIM($A82),2,1)="：",MID(TRIM($A82),2,1)="."),REPLACEB(TRIM($A82),1,4,""),TRIM($A82)),母公司报表调整!$J$5:$J$65536)</f>
        <v>0</v>
      </c>
      <c r="H82" s="247">
        <f>SUMIF(母公司报表调整!$H$5:$H$65536,IF(OR(MID(TRIM($A82),2,1)="：",MID(TRIM($A82),2,1)="."),REPLACEB(TRIM($A82),1,4,""),TRIM($A82)),母公司报表调整!$J$5:$J$65536)</f>
        <v>0</v>
      </c>
      <c r="I82" s="829">
        <f>B82-E82-G82+F82+H82-C82+D82</f>
        <v>0</v>
      </c>
      <c r="J82" s="242"/>
      <c r="K82" s="237">
        <f t="shared" si="24"/>
        <v>0</v>
      </c>
    </row>
    <row r="83" spans="1:11" ht="15" customHeight="1">
      <c r="A83" s="800" t="str">
        <f>报表格式!L82</f>
        <v xml:space="preserve">   （三）可供投资者分配的利润</v>
      </c>
      <c r="B83" s="236">
        <f>母公司PL汇总!B83</f>
        <v>0</v>
      </c>
      <c r="C83" s="236">
        <f>C80-C81-C82</f>
        <v>0</v>
      </c>
      <c r="D83" s="236">
        <f t="shared" ref="D83:J83" si="26">D80-D81-D82</f>
        <v>0</v>
      </c>
      <c r="E83" s="814">
        <f t="shared" si="26"/>
        <v>0</v>
      </c>
      <c r="F83" s="236">
        <f t="shared" si="26"/>
        <v>0</v>
      </c>
      <c r="G83" s="236">
        <f t="shared" si="26"/>
        <v>0</v>
      </c>
      <c r="H83" s="236">
        <f t="shared" si="26"/>
        <v>0</v>
      </c>
      <c r="I83" s="814">
        <f t="shared" si="26"/>
        <v>0</v>
      </c>
      <c r="J83" s="236">
        <f t="shared" si="26"/>
        <v>0</v>
      </c>
      <c r="K83" s="237">
        <f t="shared" si="24"/>
        <v>0</v>
      </c>
    </row>
    <row r="84" spans="1:11" ht="15" customHeight="1">
      <c r="A84" s="800" t="str">
        <f>报表格式!L83</f>
        <v xml:space="preserve">    1、应付优先股股利</v>
      </c>
      <c r="B84" s="236">
        <f>母公司PL汇总!B84</f>
        <v>0</v>
      </c>
      <c r="C84" s="247">
        <f>SUMIF(母公司汇总抵销!$E$5:$E$65538,IF(OR(MID(TRIM($A84),2,1)="：",MID(TRIM($A84),2,1)="."),REPLACEB(TRIM($A84),1,4,""),TRIM($A84)),母公司汇总抵销!$J$5:$J$65538)</f>
        <v>0</v>
      </c>
      <c r="D84" s="247">
        <f>SUMIF(母公司汇总抵销!$H$5:$H$65538,IF(OR(MID(TRIM($A84),2,1)="：",MID(TRIM($A84),2,1)="."),REPLACEB(TRIM($A84),1,4,""),TRIM($A84)),母公司汇总抵销!$J$5:$J$65538)</f>
        <v>0</v>
      </c>
      <c r="E84" s="829">
        <f>SUMIF(母公司账项调整!$E$5:$E$65536,IF(OR(MID(TRIM($A84),2,1)="：",MID(TRIM($A84),2,1)="."),REPLACEB(TRIM($A84),1,4,""),TRIM($A84)),母公司账项调整!$J$5:$J$65536)</f>
        <v>0</v>
      </c>
      <c r="F84" s="247">
        <f>SUMIF(母公司账项调整!$H$5:$H$65536,IF(OR(MID(TRIM($A84),2,1)="：",MID(TRIM($A84),2,1)="."),REPLACEB(TRIM($A84),1,4,""),TRIM($A84)),母公司账项调整!$J$5:$J$65536)</f>
        <v>0</v>
      </c>
      <c r="G84" s="247">
        <f>SUMIF(母公司报表调整!$E$5:$E$65536,IF(OR(MID(TRIM($A84),2,1)="：",MID(TRIM($A84),2,1)="."),REPLACEB(TRIM($A84),1,4,""),TRIM($A84)),母公司报表调整!$J$5:$J$65536)</f>
        <v>0</v>
      </c>
      <c r="H84" s="247">
        <f>SUMIF(母公司报表调整!$H$5:$H$65536,IF(OR(MID(TRIM($A84),2,1)="：",MID(TRIM($A84),2,1)="."),REPLACEB(TRIM($A84),1,4,""),TRIM($A84)),母公司报表调整!$J$5:$J$65536)</f>
        <v>0</v>
      </c>
      <c r="I84" s="829">
        <f t="shared" ref="I84:I88" si="27">B84-E84-G84+F84+H84-C84+D84</f>
        <v>0</v>
      </c>
      <c r="J84" s="242"/>
      <c r="K84" s="237">
        <f t="shared" si="24"/>
        <v>0</v>
      </c>
    </row>
    <row r="85" spans="1:11" ht="15" customHeight="1">
      <c r="A85" s="800" t="str">
        <f>报表格式!L84</f>
        <v xml:space="preserve">    2、提取任意盈余公积</v>
      </c>
      <c r="B85" s="236">
        <f>母公司PL汇总!B85</f>
        <v>0</v>
      </c>
      <c r="C85" s="247">
        <f>SUMIF(母公司汇总抵销!$E$5:$E$65538,IF(OR(MID(TRIM($A85),2,1)="：",MID(TRIM($A85),2,1)="."),REPLACEB(TRIM($A85),1,4,""),TRIM($A85)),母公司汇总抵销!$J$5:$J$65538)</f>
        <v>0</v>
      </c>
      <c r="D85" s="247">
        <f>SUMIF(母公司汇总抵销!$H$5:$H$65538,IF(OR(MID(TRIM($A85),2,1)="：",MID(TRIM($A85),2,1)="."),REPLACEB(TRIM($A85),1,4,""),TRIM($A85)),母公司汇总抵销!$J$5:$J$65538)</f>
        <v>0</v>
      </c>
      <c r="E85" s="829">
        <f>SUMIF(母公司账项调整!$E$5:$E$65536,IF(OR(MID(TRIM($A85),2,1)="：",MID(TRIM($A85),2,1)="."),REPLACEB(TRIM($A85),1,4,""),TRIM($A85)),母公司账项调整!$J$5:$J$65536)</f>
        <v>0</v>
      </c>
      <c r="F85" s="247">
        <f>SUMIF(母公司账项调整!$H$5:$H$65536,IF(OR(MID(TRIM($A85),2,1)="：",MID(TRIM($A85),2,1)="."),REPLACEB(TRIM($A85),1,4,""),TRIM($A85)),母公司账项调整!$J$5:$J$65536)</f>
        <v>0</v>
      </c>
      <c r="G85" s="247">
        <f>SUMIF(母公司报表调整!$E$5:$E$65536,IF(OR(MID(TRIM($A85),2,1)="：",MID(TRIM($A85),2,1)="."),REPLACEB(TRIM($A85),1,4,""),TRIM($A85)),母公司报表调整!$J$5:$J$65536)</f>
        <v>0</v>
      </c>
      <c r="H85" s="247">
        <f>SUMIF(母公司报表调整!$H$5:$H$65536,IF(OR(MID(TRIM($A85),2,1)="：",MID(TRIM($A85),2,1)="."),REPLACEB(TRIM($A85),1,4,""),TRIM($A85)),母公司报表调整!$J$5:$J$65536)</f>
        <v>0</v>
      </c>
      <c r="I85" s="829">
        <f t="shared" si="27"/>
        <v>0</v>
      </c>
      <c r="J85" s="242"/>
      <c r="K85" s="237">
        <f t="shared" si="24"/>
        <v>0</v>
      </c>
    </row>
    <row r="86" spans="1:11" ht="15" customHeight="1">
      <c r="A86" s="800" t="str">
        <f>报表格式!L85</f>
        <v xml:space="preserve">    3、应付普通股股利（应付利润）</v>
      </c>
      <c r="B86" s="236">
        <f>母公司PL汇总!B86</f>
        <v>0</v>
      </c>
      <c r="C86" s="247">
        <f>SUMIF(母公司汇总抵销!$E$5:$E$65538,IF(OR(MID(TRIM($A86),2,1)="：",MID(TRIM($A86),2,1)="."),REPLACEB(TRIM($A86),1,4,""),TRIM($A86)),母公司汇总抵销!$J$5:$J$65538)</f>
        <v>0</v>
      </c>
      <c r="D86" s="247">
        <f>SUMIF(母公司汇总抵销!$H$5:$H$65538,IF(OR(MID(TRIM($A86),2,1)="：",MID(TRIM($A86),2,1)="."),REPLACEB(TRIM($A86),1,4,""),TRIM($A86)),母公司汇总抵销!$J$5:$J$65538)</f>
        <v>0</v>
      </c>
      <c r="E86" s="829">
        <f>SUMIF(母公司账项调整!$E$5:$E$65536,IF(OR(MID(TRIM($A86),2,1)="：",MID(TRIM($A86),2,1)="."),REPLACEB(TRIM($A86),1,4,""),TRIM($A86)),母公司账项调整!$J$5:$J$65536)</f>
        <v>0</v>
      </c>
      <c r="F86" s="247">
        <f>SUMIF(母公司账项调整!$H$5:$H$65536,IF(OR(MID(TRIM($A86),2,1)="：",MID(TRIM($A86),2,1)="."),REPLACEB(TRIM($A86),1,4,""),TRIM($A86)),母公司账项调整!$J$5:$J$65536)</f>
        <v>0</v>
      </c>
      <c r="G86" s="247">
        <f>SUMIF(母公司报表调整!$E$5:$E$65536,IF(OR(MID(TRIM($A86),2,1)="：",MID(TRIM($A86),2,1)="."),REPLACEB(TRIM($A86),1,4,""),TRIM($A86)),母公司报表调整!$J$5:$J$65536)</f>
        <v>0</v>
      </c>
      <c r="H86" s="247">
        <f>SUMIF(母公司报表调整!$H$5:$H$65536,IF(OR(MID(TRIM($A86),2,1)="：",MID(TRIM($A86),2,1)="."),REPLACEB(TRIM($A86),1,4,""),TRIM($A86)),母公司报表调整!$J$5:$J$65536)</f>
        <v>0</v>
      </c>
      <c r="I86" s="829">
        <f t="shared" si="27"/>
        <v>0</v>
      </c>
      <c r="J86" s="242"/>
      <c r="K86" s="237">
        <f t="shared" si="24"/>
        <v>0</v>
      </c>
    </row>
    <row r="87" spans="1:11" ht="15" customHeight="1">
      <c r="A87" s="800" t="str">
        <f>报表格式!L86</f>
        <v xml:space="preserve">    4、转作资本（或股本）的普通股股利</v>
      </c>
      <c r="B87" s="236">
        <f>母公司PL汇总!B87</f>
        <v>0</v>
      </c>
      <c r="C87" s="247">
        <f>SUMIF(母公司汇总抵销!$E$5:$E$65538,IF(OR(MID(TRIM($A87),2,1)="：",MID(TRIM($A87),2,1)="."),REPLACEB(TRIM($A87),1,4,""),TRIM($A87)),母公司汇总抵销!$J$5:$J$65538)</f>
        <v>0</v>
      </c>
      <c r="D87" s="247">
        <f>SUMIF(母公司汇总抵销!$H$5:$H$65538,IF(OR(MID(TRIM($A87),2,1)="：",MID(TRIM($A87),2,1)="."),REPLACEB(TRIM($A87),1,4,""),TRIM($A87)),母公司汇总抵销!$J$5:$J$65538)</f>
        <v>0</v>
      </c>
      <c r="E87" s="829">
        <f>SUMIF(母公司账项调整!$E$5:$E$65536,IF(OR(MID(TRIM($A87),2,1)="：",MID(TRIM($A87),2,1)="."),REPLACEB(TRIM($A87),1,4,""),TRIM($A87)),母公司账项调整!$J$5:$J$65536)</f>
        <v>0</v>
      </c>
      <c r="F87" s="247">
        <f>SUMIF(母公司账项调整!$H$5:$H$65536,IF(OR(MID(TRIM($A87),2,1)="：",MID(TRIM($A87),2,1)="."),REPLACEB(TRIM($A87),1,4,""),TRIM($A87)),母公司账项调整!$J$5:$J$65536)</f>
        <v>0</v>
      </c>
      <c r="G87" s="247">
        <f>SUMIF(母公司报表调整!$E$5:$E$65536,IF(OR(MID(TRIM($A87),2,1)="：",MID(TRIM($A87),2,1)="."),REPLACEB(TRIM($A87),1,4,""),TRIM($A87)),母公司报表调整!$J$5:$J$65536)</f>
        <v>0</v>
      </c>
      <c r="H87" s="247">
        <f>SUMIF(母公司报表调整!$H$5:$H$65536,IF(OR(MID(TRIM($A87),2,1)="：",MID(TRIM($A87),2,1)="."),REPLACEB(TRIM($A87),1,4,""),TRIM($A87)),母公司报表调整!$J$5:$J$65536)</f>
        <v>0</v>
      </c>
      <c r="I87" s="829">
        <f t="shared" si="27"/>
        <v>0</v>
      </c>
      <c r="J87" s="242"/>
      <c r="K87" s="237">
        <f t="shared" si="24"/>
        <v>0</v>
      </c>
    </row>
    <row r="88" spans="1:11" ht="15" customHeight="1">
      <c r="A88" s="800" t="str">
        <f>报表格式!L87</f>
        <v xml:space="preserve">    5、其他</v>
      </c>
      <c r="B88" s="236">
        <f>母公司PL汇总!B88</f>
        <v>0</v>
      </c>
      <c r="C88" s="247">
        <f>SUMIF(母公司汇总抵销!$E$5:$E$65538,IF(OR(MID(TRIM($A88),2,1)="：",MID(TRIM($A88),2,1)="."),REPLACEB(TRIM($A88),1,4,""),TRIM($A88)),母公司汇总抵销!$J$5:$J$65538)</f>
        <v>0</v>
      </c>
      <c r="D88" s="247">
        <f>SUMIF(母公司汇总抵销!$H$5:$H$65538,IF(OR(MID(TRIM($A88),2,1)="：",MID(TRIM($A88),2,1)="."),REPLACEB(TRIM($A88),1,4,""),TRIM($A88)),母公司汇总抵销!$J$5:$J$65538)</f>
        <v>0</v>
      </c>
      <c r="E88" s="829">
        <f>SUMIF(母公司账项调整!$E$5:$E$65536,IF(OR(MID(TRIM($A88),2,1)="：",MID(TRIM($A88),2,1)="."),REPLACEB(TRIM($A88),1,4,""),TRIM($A88)),母公司账项调整!$J$5:$J$65536)</f>
        <v>0</v>
      </c>
      <c r="F88" s="247">
        <f>SUMIF(母公司账项调整!$H$5:$H$65536,IF(OR(MID(TRIM($A88),2,1)="：",MID(TRIM($A88),2,1)="."),REPLACEB(TRIM($A88),1,4,""),TRIM($A88)),母公司账项调整!$J$5:$J$65536)</f>
        <v>0</v>
      </c>
      <c r="G88" s="247">
        <f>SUMIF(母公司报表调整!$E$5:$E$65536,IF(OR(MID(TRIM($A88),2,1)="：",MID(TRIM($A88),2,1)="."),REPLACEB(TRIM($A88),1,4,""),TRIM($A88)),母公司报表调整!$J$5:$J$65536)</f>
        <v>0</v>
      </c>
      <c r="H88" s="247">
        <f>SUMIF(母公司报表调整!$H$5:$H$65536,IF(OR(MID(TRIM($A88),2,1)="：",MID(TRIM($A88),2,1)="."),REPLACEB(TRIM($A88),1,4,""),TRIM($A88)),母公司报表调整!$J$5:$J$65536)</f>
        <v>0</v>
      </c>
      <c r="I88" s="829">
        <f t="shared" si="27"/>
        <v>0</v>
      </c>
      <c r="J88" s="242"/>
      <c r="K88" s="237">
        <f t="shared" si="24"/>
        <v>0</v>
      </c>
    </row>
    <row r="89" spans="1:11" s="647" customFormat="1" ht="15" customHeight="1">
      <c r="A89" s="802" t="str">
        <f>报表格式!L88</f>
        <v>九、未分配利润</v>
      </c>
      <c r="B89" s="936">
        <f>母公司PL汇总!B89</f>
        <v>0</v>
      </c>
      <c r="C89" s="936">
        <f>C83-SUM(C84:C88)</f>
        <v>0</v>
      </c>
      <c r="D89" s="936">
        <f t="shared" ref="D89:J89" si="28">D83-SUM(D84:D88)</f>
        <v>0</v>
      </c>
      <c r="E89" s="936">
        <f t="shared" si="28"/>
        <v>0</v>
      </c>
      <c r="F89" s="936">
        <f t="shared" si="28"/>
        <v>0</v>
      </c>
      <c r="G89" s="936">
        <f t="shared" si="28"/>
        <v>0</v>
      </c>
      <c r="H89" s="936">
        <f t="shared" si="28"/>
        <v>0</v>
      </c>
      <c r="I89" s="936">
        <f t="shared" si="28"/>
        <v>0</v>
      </c>
      <c r="J89" s="936">
        <f t="shared" si="28"/>
        <v>0</v>
      </c>
      <c r="K89" s="943">
        <f>SUM(I89:J89)</f>
        <v>0</v>
      </c>
    </row>
    <row r="90" spans="1:11" s="847" customFormat="1">
      <c r="A90" s="845"/>
      <c r="B90" s="846">
        <f>母公司TB负债!B58</f>
        <v>0</v>
      </c>
      <c r="C90" s="833">
        <f>SUM(C6,C12,C22:C26,C29:C30,C33:C37,C39:C40,C42:C43,C50,C54:C58,C60:C71,C76:C77,C79,C81:C82,C84:C88)</f>
        <v>0</v>
      </c>
      <c r="D90" s="833">
        <f t="shared" ref="D90:H90" si="29">SUM(D6,D12,D22:D26,D29:D30,D33:D37,D39:D40,D42:D43,D50,D54:D58,D60:D71,D76:D77,D79,D81:D82,D84:D88)</f>
        <v>0</v>
      </c>
      <c r="E90" s="833">
        <f t="shared" si="29"/>
        <v>0</v>
      </c>
      <c r="F90" s="833">
        <f t="shared" si="29"/>
        <v>0</v>
      </c>
      <c r="G90" s="833">
        <f t="shared" si="29"/>
        <v>0</v>
      </c>
      <c r="H90" s="833">
        <f t="shared" si="29"/>
        <v>0</v>
      </c>
      <c r="I90" s="833"/>
      <c r="J90" s="833">
        <f>SUM(J6,J12,J22:J24,J26,J30,J31,J32:J33,J39,J40,J42:J43,J50,J54:J58,J60:J70,J71,J79,J81:J82,J84:J88)</f>
        <v>0</v>
      </c>
      <c r="K90" s="834">
        <f>母公司TB负债!K58</f>
        <v>0</v>
      </c>
    </row>
    <row r="91" spans="1:11">
      <c r="A91" s="326"/>
      <c r="B91" s="831">
        <f>B90-B89</f>
        <v>0</v>
      </c>
      <c r="C91" s="327"/>
      <c r="D91" s="327"/>
      <c r="E91" s="328"/>
      <c r="F91" s="328"/>
      <c r="G91" s="328"/>
      <c r="H91" s="328"/>
      <c r="I91" s="327"/>
      <c r="J91" s="328"/>
      <c r="K91" s="831">
        <f>K90-K89</f>
        <v>0</v>
      </c>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0" priority="1" stopIfTrue="1" operator="equal">
      <formula>"报表未调平!"</formula>
    </cfRule>
  </conditionalFormatting>
  <printOptions horizontalCentered="1" verticalCentered="1"/>
  <pageMargins left="0.35433070866141736" right="0.35433070866141736" top="0.43307086614173229" bottom="0.31" header="0.19685039370078741" footer="0.19685039370078741"/>
  <pageSetup paperSize="9" scale="58" orientation="portrait" r:id="rId1"/>
  <headerFooter alignWithMargins="0"/>
  <ignoredErrors>
    <ignoredError sqref="L30:L31 K6 J40 L38:L40 L34" unlocked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I98"/>
  <sheetViews>
    <sheetView showZeros="0" workbookViewId="0">
      <pane xSplit="2" ySplit="5" topLeftCell="C6" activePane="bottomRight" state="frozen"/>
      <selection activeCell="H6" sqref="H6"/>
      <selection pane="topRight" activeCell="H6" sqref="H6"/>
      <selection pane="bottomLeft" activeCell="H6" sqref="H6"/>
      <selection pane="bottomRight" activeCell="K41" sqref="K41"/>
    </sheetView>
  </sheetViews>
  <sheetFormatPr defaultColWidth="7" defaultRowHeight="13.5" outlineLevelCol="1"/>
  <cols>
    <col min="1" max="1" width="45.625" style="33" customWidth="1"/>
    <col min="2" max="2" width="14.375" style="33" customWidth="1"/>
    <col min="3" max="3" width="15.25" style="33" customWidth="1"/>
    <col min="4" max="5" width="0.625" style="33" customWidth="1"/>
    <col min="6" max="6" width="14.875" style="33" customWidth="1"/>
    <col min="7" max="8" width="11.625" style="33" hidden="1" customWidth="1" outlineLevel="1"/>
    <col min="9" max="9" width="14.75" style="33" customWidth="1" collapsed="1"/>
    <col min="10" max="10" width="9.125" style="33" bestFit="1" customWidth="1"/>
    <col min="11" max="11" width="8" style="33" customWidth="1"/>
    <col min="12" max="12" width="6.75" style="33" bestFit="1" customWidth="1"/>
    <col min="13" max="16384" width="7" style="33"/>
  </cols>
  <sheetData>
    <row r="1" spans="1:9" s="32" customFormat="1" ht="19.5" customHeight="1">
      <c r="A1" s="29" t="s">
        <v>657</v>
      </c>
      <c r="B1" s="30"/>
      <c r="C1" s="30"/>
      <c r="D1" s="30"/>
      <c r="E1" s="30"/>
      <c r="F1" s="30"/>
      <c r="G1" s="30"/>
      <c r="H1" s="30"/>
      <c r="I1" s="30"/>
    </row>
    <row r="2" spans="1:9" s="32" customFormat="1" ht="15" customHeight="1">
      <c r="A2" s="88" t="str">
        <f>CONCATENATE("客户名称：",说明!E23)</f>
        <v>客户名称：</v>
      </c>
      <c r="B2" s="192" t="str">
        <f>CONCATENATE("编制：",说明!E36)</f>
        <v>编制：</v>
      </c>
      <c r="F2" s="88" t="str">
        <f>CONCATENATE("复核：",说明!E37)</f>
        <v>复核：</v>
      </c>
      <c r="G2" s="91"/>
      <c r="H2" s="92"/>
      <c r="I2" s="89" t="s">
        <v>294</v>
      </c>
    </row>
    <row r="3" spans="1:9" s="32" customFormat="1" ht="17.25" customHeight="1">
      <c r="A3" s="91" t="str">
        <f>CONCATENATE("会计时点：",TEXT(说明!E32,"yyyy.mm.dd"))</f>
        <v>会计时点：2019.12.31</v>
      </c>
      <c r="B3" s="194" t="str">
        <f ca="1">CONCATENATE("日期：",TEXT(NOW(),"yyyy.mm.dd"))</f>
        <v>日期：2019.12.31</v>
      </c>
      <c r="F3" s="89" t="s">
        <v>295</v>
      </c>
      <c r="G3" s="91"/>
      <c r="H3" s="91"/>
      <c r="I3" s="89" t="s">
        <v>296</v>
      </c>
    </row>
    <row r="4" spans="1:9" s="32" customFormat="1" ht="12.75">
      <c r="A4" s="1183" t="str">
        <f>IF(AND((ROUND(I62,2)=ROUND(I98,2)),ROUND(I31,2)=ROUND(I85,2)),"报表项目","现金流量表未调平!")</f>
        <v>报表项目</v>
      </c>
      <c r="B4" s="1174" t="s">
        <v>127</v>
      </c>
      <c r="C4" s="1181" t="s">
        <v>656</v>
      </c>
      <c r="D4" s="1181"/>
      <c r="E4" s="1181"/>
      <c r="F4" s="1181" t="s">
        <v>298</v>
      </c>
      <c r="G4" s="1181" t="s">
        <v>299</v>
      </c>
      <c r="H4" s="1181" t="s">
        <v>300</v>
      </c>
      <c r="I4" s="1170" t="s">
        <v>556</v>
      </c>
    </row>
    <row r="5" spans="1:9" s="32" customFormat="1" ht="14.25" customHeight="1">
      <c r="A5" s="1184"/>
      <c r="B5" s="1175"/>
      <c r="C5" s="1182"/>
      <c r="D5" s="1182"/>
      <c r="E5" s="1182"/>
      <c r="F5" s="1182"/>
      <c r="G5" s="1182"/>
      <c r="H5" s="1182"/>
      <c r="I5" s="1171"/>
    </row>
    <row r="6" spans="1:9">
      <c r="A6" s="412" t="str">
        <f>报表格式!Q5</f>
        <v>一、经营活动产生的现金流量</v>
      </c>
      <c r="B6" s="414"/>
      <c r="C6" s="507"/>
      <c r="D6" s="507"/>
      <c r="E6" s="507"/>
      <c r="F6" s="507"/>
      <c r="G6" s="507"/>
      <c r="H6" s="507"/>
      <c r="I6" s="508"/>
    </row>
    <row r="7" spans="1:9">
      <c r="A7" s="463" t="str">
        <f>报表格式!Q6</f>
        <v xml:space="preserve">     销售商品、提供劳务收到的现金</v>
      </c>
      <c r="B7" s="393">
        <f>母公司CF汇总!B7</f>
        <v>0</v>
      </c>
      <c r="C7" s="509"/>
      <c r="D7" s="509"/>
      <c r="E7" s="509"/>
      <c r="F7" s="509"/>
      <c r="G7" s="509">
        <f>SUM(B7:F7)</f>
        <v>0</v>
      </c>
      <c r="H7" s="509"/>
      <c r="I7" s="510">
        <f>SUM(G7:H7)</f>
        <v>0</v>
      </c>
    </row>
    <row r="8" spans="1:9">
      <c r="A8" s="914" t="str">
        <f>报表格式!Q7</f>
        <v xml:space="preserve">     客户存款和同业存放款项净增加额</v>
      </c>
      <c r="B8" s="393">
        <f>母公司CF汇总!B8</f>
        <v>0</v>
      </c>
      <c r="C8" s="509"/>
      <c r="D8" s="509"/>
      <c r="E8" s="509"/>
      <c r="F8" s="509"/>
      <c r="G8" s="509">
        <f t="shared" ref="G8:G17" si="0">SUM(B8:F8)</f>
        <v>0</v>
      </c>
      <c r="H8" s="509"/>
      <c r="I8" s="510">
        <f t="shared" ref="I8:I17" si="1">SUM(G8:H8)</f>
        <v>0</v>
      </c>
    </row>
    <row r="9" spans="1:9">
      <c r="A9" s="914" t="str">
        <f>报表格式!Q8</f>
        <v xml:space="preserve">     向中央银行借款净增加额</v>
      </c>
      <c r="B9" s="393">
        <f>母公司CF汇总!B9</f>
        <v>0</v>
      </c>
      <c r="C9" s="509"/>
      <c r="D9" s="509"/>
      <c r="E9" s="509"/>
      <c r="F9" s="509"/>
      <c r="G9" s="509">
        <f t="shared" si="0"/>
        <v>0</v>
      </c>
      <c r="H9" s="509"/>
      <c r="I9" s="510">
        <f t="shared" si="1"/>
        <v>0</v>
      </c>
    </row>
    <row r="10" spans="1:9">
      <c r="A10" s="914" t="str">
        <f>报表格式!Q9</f>
        <v xml:space="preserve">     向其他金融机构拆入资金净增加额</v>
      </c>
      <c r="B10" s="393">
        <f>母公司CF汇总!B10</f>
        <v>0</v>
      </c>
      <c r="C10" s="509"/>
      <c r="D10" s="509"/>
      <c r="E10" s="509"/>
      <c r="F10" s="509"/>
      <c r="G10" s="509">
        <f t="shared" si="0"/>
        <v>0</v>
      </c>
      <c r="H10" s="509"/>
      <c r="I10" s="510">
        <f t="shared" si="1"/>
        <v>0</v>
      </c>
    </row>
    <row r="11" spans="1:9">
      <c r="A11" s="914" t="str">
        <f>报表格式!Q10</f>
        <v xml:space="preserve">     收到原保险合同保费取得的现金</v>
      </c>
      <c r="B11" s="393">
        <f>母公司CF汇总!B11</f>
        <v>0</v>
      </c>
      <c r="C11" s="509"/>
      <c r="D11" s="509"/>
      <c r="E11" s="509"/>
      <c r="F11" s="509"/>
      <c r="G11" s="509">
        <f t="shared" si="0"/>
        <v>0</v>
      </c>
      <c r="H11" s="509"/>
      <c r="I11" s="510">
        <f t="shared" si="1"/>
        <v>0</v>
      </c>
    </row>
    <row r="12" spans="1:9">
      <c r="A12" s="914" t="str">
        <f>报表格式!Q11</f>
        <v xml:space="preserve">     收到再保险业务现金净额</v>
      </c>
      <c r="B12" s="393">
        <f>母公司CF汇总!B12</f>
        <v>0</v>
      </c>
      <c r="C12" s="509"/>
      <c r="D12" s="509"/>
      <c r="E12" s="509"/>
      <c r="F12" s="509"/>
      <c r="G12" s="509">
        <f t="shared" si="0"/>
        <v>0</v>
      </c>
      <c r="H12" s="509"/>
      <c r="I12" s="510">
        <f t="shared" si="1"/>
        <v>0</v>
      </c>
    </row>
    <row r="13" spans="1:9">
      <c r="A13" s="914" t="str">
        <f>报表格式!Q12</f>
        <v xml:space="preserve">     保户储金及投资款净增加额</v>
      </c>
      <c r="B13" s="393">
        <f>母公司CF汇总!B13</f>
        <v>0</v>
      </c>
      <c r="C13" s="509"/>
      <c r="D13" s="509"/>
      <c r="E13" s="509"/>
      <c r="F13" s="509"/>
      <c r="G13" s="509">
        <f t="shared" si="0"/>
        <v>0</v>
      </c>
      <c r="H13" s="509"/>
      <c r="I13" s="510">
        <f t="shared" si="1"/>
        <v>0</v>
      </c>
    </row>
    <row r="14" spans="1:9">
      <c r="A14" s="914" t="str">
        <f>报表格式!Q13</f>
        <v xml:space="preserve">     收取利息、手续费及佣金的现金</v>
      </c>
      <c r="B14" s="393">
        <f>母公司CF汇总!B14</f>
        <v>0</v>
      </c>
      <c r="C14" s="509"/>
      <c r="D14" s="509"/>
      <c r="E14" s="509"/>
      <c r="F14" s="509"/>
      <c r="G14" s="509">
        <f t="shared" si="0"/>
        <v>0</v>
      </c>
      <c r="H14" s="509"/>
      <c r="I14" s="510">
        <f t="shared" si="1"/>
        <v>0</v>
      </c>
    </row>
    <row r="15" spans="1:9">
      <c r="A15" s="914" t="str">
        <f>报表格式!Q14</f>
        <v xml:space="preserve">     拆入资金净增加额</v>
      </c>
      <c r="B15" s="393">
        <f>母公司CF汇总!B15</f>
        <v>0</v>
      </c>
      <c r="C15" s="509"/>
      <c r="D15" s="509"/>
      <c r="E15" s="509"/>
      <c r="F15" s="509"/>
      <c r="G15" s="509">
        <f t="shared" si="0"/>
        <v>0</v>
      </c>
      <c r="H15" s="509"/>
      <c r="I15" s="510">
        <f t="shared" si="1"/>
        <v>0</v>
      </c>
    </row>
    <row r="16" spans="1:9">
      <c r="A16" s="914" t="str">
        <f>报表格式!Q15</f>
        <v xml:space="preserve">     回购业务资金净增加额</v>
      </c>
      <c r="B16" s="393">
        <f>母公司CF汇总!B16</f>
        <v>0</v>
      </c>
      <c r="C16" s="509"/>
      <c r="D16" s="509"/>
      <c r="E16" s="509"/>
      <c r="F16" s="509"/>
      <c r="G16" s="509">
        <f t="shared" si="0"/>
        <v>0</v>
      </c>
      <c r="H16" s="509"/>
      <c r="I16" s="510">
        <f t="shared" si="1"/>
        <v>0</v>
      </c>
    </row>
    <row r="17" spans="1:9">
      <c r="A17" s="914" t="str">
        <f>报表格式!Q16</f>
        <v xml:space="preserve">     收到的税费返还</v>
      </c>
      <c r="B17" s="393">
        <f>母公司CF汇总!B17</f>
        <v>0</v>
      </c>
      <c r="C17" s="509"/>
      <c r="D17" s="509"/>
      <c r="E17" s="509"/>
      <c r="F17" s="509"/>
      <c r="G17" s="509">
        <f t="shared" si="0"/>
        <v>0</v>
      </c>
      <c r="H17" s="509"/>
      <c r="I17" s="510">
        <f t="shared" si="1"/>
        <v>0</v>
      </c>
    </row>
    <row r="18" spans="1:9">
      <c r="A18" s="463" t="str">
        <f>报表格式!Q17</f>
        <v xml:space="preserve">     收到的其他与经营活动有关的现金</v>
      </c>
      <c r="B18" s="393">
        <f>母公司CF汇总!B18</f>
        <v>0</v>
      </c>
      <c r="C18" s="509"/>
      <c r="D18" s="509"/>
      <c r="E18" s="509"/>
      <c r="F18" s="509"/>
      <c r="G18" s="509">
        <f t="shared" ref="G18:G63" si="2">SUM(B18:F18)</f>
        <v>0</v>
      </c>
      <c r="H18" s="509"/>
      <c r="I18" s="510">
        <f t="shared" ref="I18:I64" si="3">SUM(G18:H18)</f>
        <v>0</v>
      </c>
    </row>
    <row r="19" spans="1:9">
      <c r="A19" s="463">
        <f>报表格式!Q18</f>
        <v>0</v>
      </c>
      <c r="B19" s="393">
        <f>母公司CF汇总!B19</f>
        <v>0</v>
      </c>
      <c r="C19" s="509"/>
      <c r="D19" s="509"/>
      <c r="E19" s="509"/>
      <c r="F19" s="509"/>
      <c r="G19" s="509">
        <f t="shared" si="2"/>
        <v>0</v>
      </c>
      <c r="H19" s="509"/>
      <c r="I19" s="510">
        <f t="shared" si="3"/>
        <v>0</v>
      </c>
    </row>
    <row r="20" spans="1:9">
      <c r="A20" s="397" t="str">
        <f>报表格式!Q20</f>
        <v xml:space="preserve">     经营活动现金流入小计</v>
      </c>
      <c r="B20" s="393">
        <f>SUM(B7:B19)</f>
        <v>0</v>
      </c>
      <c r="C20" s="393">
        <f t="shared" ref="C20:H20" si="4">SUM(C7:C19)</f>
        <v>0</v>
      </c>
      <c r="D20" s="393">
        <f t="shared" si="4"/>
        <v>0</v>
      </c>
      <c r="E20" s="393">
        <f t="shared" si="4"/>
        <v>0</v>
      </c>
      <c r="F20" s="393">
        <f t="shared" si="4"/>
        <v>0</v>
      </c>
      <c r="G20" s="393">
        <f t="shared" si="4"/>
        <v>0</v>
      </c>
      <c r="H20" s="393">
        <f t="shared" si="4"/>
        <v>0</v>
      </c>
      <c r="I20" s="510">
        <f t="shared" si="3"/>
        <v>0</v>
      </c>
    </row>
    <row r="21" spans="1:9">
      <c r="A21" s="463" t="str">
        <f>报表格式!Q21</f>
        <v xml:space="preserve">     购买商品、接受劳务支付的现金</v>
      </c>
      <c r="B21" s="393">
        <f>母公司CF汇总!B21</f>
        <v>0</v>
      </c>
      <c r="C21" s="509"/>
      <c r="D21" s="509"/>
      <c r="E21" s="509"/>
      <c r="F21" s="509"/>
      <c r="G21" s="509">
        <f t="shared" si="2"/>
        <v>0</v>
      </c>
      <c r="H21" s="509"/>
      <c r="I21" s="510">
        <f t="shared" si="3"/>
        <v>0</v>
      </c>
    </row>
    <row r="22" spans="1:9">
      <c r="A22" s="914" t="str">
        <f>报表格式!Q22</f>
        <v xml:space="preserve">     客户贷款及垫款净增加额</v>
      </c>
      <c r="B22" s="393">
        <f>母公司CF汇总!B22</f>
        <v>0</v>
      </c>
      <c r="C22" s="509"/>
      <c r="D22" s="509"/>
      <c r="E22" s="509"/>
      <c r="F22" s="509"/>
      <c r="G22" s="509">
        <f t="shared" ref="G22:G26" si="5">SUM(B22:F22)</f>
        <v>0</v>
      </c>
      <c r="H22" s="509"/>
      <c r="I22" s="510">
        <f t="shared" ref="I22:I26" si="6">SUM(G22:H22)</f>
        <v>0</v>
      </c>
    </row>
    <row r="23" spans="1:9">
      <c r="A23" s="914" t="str">
        <f>报表格式!Q23</f>
        <v xml:space="preserve">     存放中央银行和同业款项净增加额</v>
      </c>
      <c r="B23" s="393">
        <f>母公司CF汇总!B23</f>
        <v>0</v>
      </c>
      <c r="C23" s="509"/>
      <c r="D23" s="509"/>
      <c r="E23" s="509"/>
      <c r="F23" s="509"/>
      <c r="G23" s="509">
        <f t="shared" si="5"/>
        <v>0</v>
      </c>
      <c r="H23" s="509"/>
      <c r="I23" s="510">
        <f t="shared" si="6"/>
        <v>0</v>
      </c>
    </row>
    <row r="24" spans="1:9">
      <c r="A24" s="914" t="str">
        <f>报表格式!Q24</f>
        <v xml:space="preserve">     支付原保险合同赔付款项的现金</v>
      </c>
      <c r="B24" s="393">
        <f>母公司CF汇总!B24</f>
        <v>0</v>
      </c>
      <c r="C24" s="509"/>
      <c r="D24" s="509"/>
      <c r="E24" s="509"/>
      <c r="F24" s="509"/>
      <c r="G24" s="509">
        <f t="shared" si="5"/>
        <v>0</v>
      </c>
      <c r="H24" s="509"/>
      <c r="I24" s="510">
        <f t="shared" si="6"/>
        <v>0</v>
      </c>
    </row>
    <row r="25" spans="1:9">
      <c r="A25" s="914" t="str">
        <f>报表格式!Q25</f>
        <v xml:space="preserve">     支付利息、手续费及佣金的现金</v>
      </c>
      <c r="B25" s="393">
        <f>母公司CF汇总!B25</f>
        <v>0</v>
      </c>
      <c r="C25" s="509"/>
      <c r="D25" s="509"/>
      <c r="E25" s="509"/>
      <c r="F25" s="509"/>
      <c r="G25" s="509">
        <f t="shared" si="5"/>
        <v>0</v>
      </c>
      <c r="H25" s="509"/>
      <c r="I25" s="510">
        <f t="shared" si="6"/>
        <v>0</v>
      </c>
    </row>
    <row r="26" spans="1:9">
      <c r="A26" s="914" t="str">
        <f>报表格式!Q26</f>
        <v xml:space="preserve">     支付保单红利的现金</v>
      </c>
      <c r="B26" s="393">
        <f>母公司CF汇总!B26</f>
        <v>0</v>
      </c>
      <c r="C26" s="509"/>
      <c r="D26" s="509"/>
      <c r="E26" s="509"/>
      <c r="F26" s="509"/>
      <c r="G26" s="509">
        <f t="shared" si="5"/>
        <v>0</v>
      </c>
      <c r="H26" s="509"/>
      <c r="I26" s="510">
        <f t="shared" si="6"/>
        <v>0</v>
      </c>
    </row>
    <row r="27" spans="1:9">
      <c r="A27" s="463" t="str">
        <f>报表格式!Q27</f>
        <v xml:space="preserve">     支付给职工以及为职工支付的现金</v>
      </c>
      <c r="B27" s="393">
        <f>母公司CF汇总!B27</f>
        <v>0</v>
      </c>
      <c r="C27" s="509"/>
      <c r="D27" s="509"/>
      <c r="E27" s="509"/>
      <c r="F27" s="509"/>
      <c r="G27" s="509">
        <f t="shared" si="2"/>
        <v>0</v>
      </c>
      <c r="H27" s="509"/>
      <c r="I27" s="510">
        <f t="shared" si="3"/>
        <v>0</v>
      </c>
    </row>
    <row r="28" spans="1:9">
      <c r="A28" s="463" t="str">
        <f>报表格式!Q28</f>
        <v xml:space="preserve">     支付各项税费</v>
      </c>
      <c r="B28" s="393">
        <f>母公司CF汇总!B28</f>
        <v>0</v>
      </c>
      <c r="C28" s="509"/>
      <c r="D28" s="509"/>
      <c r="E28" s="509"/>
      <c r="F28" s="509"/>
      <c r="G28" s="509">
        <f t="shared" si="2"/>
        <v>0</v>
      </c>
      <c r="H28" s="509"/>
      <c r="I28" s="510">
        <f t="shared" si="3"/>
        <v>0</v>
      </c>
    </row>
    <row r="29" spans="1:9">
      <c r="A29" s="463" t="str">
        <f>报表格式!Q29</f>
        <v xml:space="preserve">     支付的其他与经营活动有关的现金</v>
      </c>
      <c r="B29" s="393">
        <f>母公司CF汇总!B29</f>
        <v>0</v>
      </c>
      <c r="C29" s="509"/>
      <c r="D29" s="509"/>
      <c r="E29" s="509"/>
      <c r="F29" s="509"/>
      <c r="G29" s="509">
        <f t="shared" si="2"/>
        <v>0</v>
      </c>
      <c r="H29" s="509"/>
      <c r="I29" s="510">
        <f t="shared" si="3"/>
        <v>0</v>
      </c>
    </row>
    <row r="30" spans="1:9">
      <c r="A30" s="397" t="str">
        <f>报表格式!Q31</f>
        <v xml:space="preserve">     经营活动现金流出小计</v>
      </c>
      <c r="B30" s="393">
        <f>SUM(B21:B29)</f>
        <v>0</v>
      </c>
      <c r="C30" s="393">
        <f t="shared" ref="C30:H30" si="7">SUM(C21:C29)</f>
        <v>0</v>
      </c>
      <c r="D30" s="393">
        <f t="shared" si="7"/>
        <v>0</v>
      </c>
      <c r="E30" s="393">
        <f t="shared" si="7"/>
        <v>0</v>
      </c>
      <c r="F30" s="393">
        <f t="shared" si="7"/>
        <v>0</v>
      </c>
      <c r="G30" s="393">
        <f t="shared" si="7"/>
        <v>0</v>
      </c>
      <c r="H30" s="393">
        <f t="shared" si="7"/>
        <v>0</v>
      </c>
      <c r="I30" s="510">
        <f t="shared" si="3"/>
        <v>0</v>
      </c>
    </row>
    <row r="31" spans="1:9" s="647" customFormat="1">
      <c r="A31" s="397" t="str">
        <f>报表格式!Q32</f>
        <v xml:space="preserve">     经营活动产生的现金流量净额</v>
      </c>
      <c r="B31" s="399">
        <f>B20-B30</f>
        <v>0</v>
      </c>
      <c r="C31" s="399">
        <f t="shared" ref="C31:H31" si="8">C20-C30</f>
        <v>0</v>
      </c>
      <c r="D31" s="399">
        <f t="shared" si="8"/>
        <v>0</v>
      </c>
      <c r="E31" s="399">
        <f t="shared" si="8"/>
        <v>0</v>
      </c>
      <c r="F31" s="399">
        <f t="shared" si="8"/>
        <v>0</v>
      </c>
      <c r="G31" s="399">
        <f t="shared" si="8"/>
        <v>0</v>
      </c>
      <c r="H31" s="399">
        <f t="shared" si="8"/>
        <v>0</v>
      </c>
      <c r="I31" s="649">
        <f t="shared" si="3"/>
        <v>0</v>
      </c>
    </row>
    <row r="32" spans="1:9">
      <c r="A32" s="502" t="str">
        <f>报表格式!Q33</f>
        <v>二、投资活动产生的现金流量</v>
      </c>
      <c r="B32" s="393"/>
      <c r="C32" s="509"/>
      <c r="D32" s="509"/>
      <c r="E32" s="509"/>
      <c r="F32" s="509"/>
      <c r="G32" s="509"/>
      <c r="H32" s="509"/>
      <c r="I32" s="510"/>
    </row>
    <row r="33" spans="1:9">
      <c r="A33" s="463" t="str">
        <f>报表格式!Q34</f>
        <v xml:space="preserve">     收回投资所收到的现金</v>
      </c>
      <c r="B33" s="393">
        <f>母公司CF汇总!B33</f>
        <v>0</v>
      </c>
      <c r="C33" s="509"/>
      <c r="D33" s="509"/>
      <c r="E33" s="509"/>
      <c r="F33" s="509"/>
      <c r="G33" s="509">
        <f t="shared" si="2"/>
        <v>0</v>
      </c>
      <c r="H33" s="509"/>
      <c r="I33" s="510">
        <f t="shared" si="3"/>
        <v>0</v>
      </c>
    </row>
    <row r="34" spans="1:9">
      <c r="A34" s="463" t="str">
        <f>报表格式!Q35</f>
        <v xml:space="preserve">     取得投资收益所收到的现金</v>
      </c>
      <c r="B34" s="393">
        <f>母公司CF汇总!B34</f>
        <v>0</v>
      </c>
      <c r="C34" s="509"/>
      <c r="D34" s="509"/>
      <c r="E34" s="509"/>
      <c r="F34" s="509"/>
      <c r="G34" s="509">
        <f t="shared" si="2"/>
        <v>0</v>
      </c>
      <c r="H34" s="509"/>
      <c r="I34" s="510">
        <f t="shared" si="3"/>
        <v>0</v>
      </c>
    </row>
    <row r="35" spans="1:9">
      <c r="A35" s="463" t="str">
        <f>报表格式!Q36</f>
        <v xml:space="preserve">     处置固定资产、无形资产和其他长期资产而收到的现金净额</v>
      </c>
      <c r="B35" s="393">
        <f>母公司CF汇总!B35</f>
        <v>0</v>
      </c>
      <c r="C35" s="509"/>
      <c r="D35" s="509"/>
      <c r="E35" s="509"/>
      <c r="F35" s="509"/>
      <c r="G35" s="509">
        <f t="shared" si="2"/>
        <v>0</v>
      </c>
      <c r="H35" s="509"/>
      <c r="I35" s="510">
        <f t="shared" si="3"/>
        <v>0</v>
      </c>
    </row>
    <row r="36" spans="1:9">
      <c r="A36" s="463" t="str">
        <f>报表格式!Q37</f>
        <v xml:space="preserve">     处置子公司及其他营业单位收到的现金净额</v>
      </c>
      <c r="B36" s="393">
        <f>母公司CF汇总!B36</f>
        <v>0</v>
      </c>
      <c r="C36" s="509"/>
      <c r="D36" s="509"/>
      <c r="E36" s="509"/>
      <c r="F36" s="509"/>
      <c r="G36" s="509">
        <f t="shared" si="2"/>
        <v>0</v>
      </c>
      <c r="H36" s="509"/>
      <c r="I36" s="510">
        <f t="shared" si="3"/>
        <v>0</v>
      </c>
    </row>
    <row r="37" spans="1:9">
      <c r="A37" s="463" t="str">
        <f>报表格式!Q38</f>
        <v xml:space="preserve">     收到其他与投资活动有关的现金</v>
      </c>
      <c r="B37" s="393">
        <f>母公司CF汇总!B37</f>
        <v>0</v>
      </c>
      <c r="C37" s="509"/>
      <c r="D37" s="509"/>
      <c r="E37" s="509"/>
      <c r="F37" s="509"/>
      <c r="G37" s="509">
        <f t="shared" si="2"/>
        <v>0</v>
      </c>
      <c r="H37" s="509"/>
      <c r="I37" s="510">
        <f t="shared" si="3"/>
        <v>0</v>
      </c>
    </row>
    <row r="38" spans="1:9">
      <c r="A38" s="397" t="str">
        <f>报表格式!Q40</f>
        <v xml:space="preserve">     投资活动现金流入小计</v>
      </c>
      <c r="B38" s="393">
        <f>SUM(B33:B37)</f>
        <v>0</v>
      </c>
      <c r="C38" s="393">
        <f t="shared" ref="C38:H38" si="9">SUM(C33:C37)</f>
        <v>0</v>
      </c>
      <c r="D38" s="393">
        <f t="shared" si="9"/>
        <v>0</v>
      </c>
      <c r="E38" s="393">
        <f t="shared" si="9"/>
        <v>0</v>
      </c>
      <c r="F38" s="393">
        <f t="shared" si="9"/>
        <v>0</v>
      </c>
      <c r="G38" s="393">
        <f t="shared" si="9"/>
        <v>0</v>
      </c>
      <c r="H38" s="393">
        <f t="shared" si="9"/>
        <v>0</v>
      </c>
      <c r="I38" s="510">
        <f t="shared" si="3"/>
        <v>0</v>
      </c>
    </row>
    <row r="39" spans="1:9">
      <c r="A39" s="463" t="str">
        <f>报表格式!Q41</f>
        <v xml:space="preserve">     购置固定资产、无形资产和其他长期资产所支付现金 </v>
      </c>
      <c r="B39" s="393">
        <f>母公司CF汇总!B39</f>
        <v>0</v>
      </c>
      <c r="C39" s="509"/>
      <c r="D39" s="509"/>
      <c r="E39" s="509"/>
      <c r="F39" s="509"/>
      <c r="G39" s="509">
        <f t="shared" si="2"/>
        <v>0</v>
      </c>
      <c r="H39" s="509"/>
      <c r="I39" s="510">
        <f t="shared" si="3"/>
        <v>0</v>
      </c>
    </row>
    <row r="40" spans="1:9">
      <c r="A40" s="463" t="str">
        <f>报表格式!Q42</f>
        <v xml:space="preserve">     投资所支付的现金</v>
      </c>
      <c r="B40" s="393">
        <f>母公司CF汇总!B40</f>
        <v>0</v>
      </c>
      <c r="C40" s="509"/>
      <c r="D40" s="509"/>
      <c r="E40" s="509"/>
      <c r="F40" s="509"/>
      <c r="G40" s="509">
        <f t="shared" si="2"/>
        <v>0</v>
      </c>
      <c r="H40" s="509"/>
      <c r="I40" s="510">
        <f t="shared" si="3"/>
        <v>0</v>
      </c>
    </row>
    <row r="41" spans="1:9">
      <c r="A41" s="914" t="str">
        <f>报表格式!Q43</f>
        <v xml:space="preserve">     质押贷款净增加额</v>
      </c>
      <c r="B41" s="393">
        <f>母公司CF汇总!B41</f>
        <v>0</v>
      </c>
      <c r="C41" s="509"/>
      <c r="D41" s="509"/>
      <c r="E41" s="509"/>
      <c r="F41" s="509"/>
      <c r="G41" s="509">
        <f t="shared" ref="G41" si="10">SUM(B41:F41)</f>
        <v>0</v>
      </c>
      <c r="H41" s="509"/>
      <c r="I41" s="510">
        <f t="shared" ref="I41" si="11">SUM(G41:H41)</f>
        <v>0</v>
      </c>
    </row>
    <row r="42" spans="1:9">
      <c r="A42" s="463" t="str">
        <f>报表格式!Q44</f>
        <v xml:space="preserve">     取得子公司及其他营业单位支付的现金净额</v>
      </c>
      <c r="B42" s="393">
        <f>母公司CF汇总!B42</f>
        <v>0</v>
      </c>
      <c r="C42" s="509"/>
      <c r="D42" s="509"/>
      <c r="E42" s="509"/>
      <c r="F42" s="509"/>
      <c r="G42" s="509">
        <f t="shared" si="2"/>
        <v>0</v>
      </c>
      <c r="H42" s="509"/>
      <c r="I42" s="510">
        <f t="shared" si="3"/>
        <v>0</v>
      </c>
    </row>
    <row r="43" spans="1:9">
      <c r="A43" s="463" t="str">
        <f>报表格式!Q45</f>
        <v xml:space="preserve">     支付其他与投资活动有关的现金</v>
      </c>
      <c r="B43" s="393">
        <f>母公司CF汇总!B43</f>
        <v>0</v>
      </c>
      <c r="C43" s="509"/>
      <c r="D43" s="509"/>
      <c r="E43" s="509"/>
      <c r="F43" s="509"/>
      <c r="G43" s="509">
        <f t="shared" si="2"/>
        <v>0</v>
      </c>
      <c r="H43" s="509"/>
      <c r="I43" s="510">
        <f t="shared" si="3"/>
        <v>0</v>
      </c>
    </row>
    <row r="44" spans="1:9">
      <c r="A44" s="397" t="str">
        <f>报表格式!Q47</f>
        <v xml:space="preserve">      投资活动现金流出小计</v>
      </c>
      <c r="B44" s="393">
        <f>SUM(B39:B43)</f>
        <v>0</v>
      </c>
      <c r="C44" s="393">
        <f t="shared" ref="C44:H44" si="12">SUM(C39:C43)</f>
        <v>0</v>
      </c>
      <c r="D44" s="393">
        <f t="shared" si="12"/>
        <v>0</v>
      </c>
      <c r="E44" s="393">
        <f t="shared" si="12"/>
        <v>0</v>
      </c>
      <c r="F44" s="393">
        <f t="shared" si="12"/>
        <v>0</v>
      </c>
      <c r="G44" s="393">
        <f t="shared" si="12"/>
        <v>0</v>
      </c>
      <c r="H44" s="393">
        <f t="shared" si="12"/>
        <v>0</v>
      </c>
      <c r="I44" s="510">
        <f t="shared" si="3"/>
        <v>0</v>
      </c>
    </row>
    <row r="45" spans="1:9" s="647" customFormat="1">
      <c r="A45" s="397" t="str">
        <f>报表格式!Q48</f>
        <v xml:space="preserve">     投资活动产生的现金流量净额</v>
      </c>
      <c r="B45" s="399">
        <f>B38-B44</f>
        <v>0</v>
      </c>
      <c r="C45" s="399">
        <f t="shared" ref="C45:H45" si="13">C38-C44</f>
        <v>0</v>
      </c>
      <c r="D45" s="399">
        <f t="shared" si="13"/>
        <v>0</v>
      </c>
      <c r="E45" s="399">
        <f t="shared" si="13"/>
        <v>0</v>
      </c>
      <c r="F45" s="399">
        <f t="shared" si="13"/>
        <v>0</v>
      </c>
      <c r="G45" s="399">
        <f t="shared" si="13"/>
        <v>0</v>
      </c>
      <c r="H45" s="399">
        <f t="shared" si="13"/>
        <v>0</v>
      </c>
      <c r="I45" s="649">
        <f t="shared" si="3"/>
        <v>0</v>
      </c>
    </row>
    <row r="46" spans="1:9">
      <c r="A46" s="502" t="str">
        <f>报表格式!Q49</f>
        <v>三、筹资活动产生的现金流量</v>
      </c>
      <c r="B46" s="393"/>
      <c r="C46" s="509"/>
      <c r="D46" s="509"/>
      <c r="E46" s="509"/>
      <c r="F46" s="509"/>
      <c r="G46" s="509"/>
      <c r="H46" s="509"/>
      <c r="I46" s="510"/>
    </row>
    <row r="47" spans="1:9">
      <c r="A47" s="463" t="str">
        <f>报表格式!Q50</f>
        <v xml:space="preserve">     吸收投资所收到的现金</v>
      </c>
      <c r="B47" s="393">
        <f>母公司CF汇总!B47</f>
        <v>0</v>
      </c>
      <c r="C47" s="509"/>
      <c r="D47" s="509"/>
      <c r="E47" s="509"/>
      <c r="F47" s="509"/>
      <c r="G47" s="509">
        <f t="shared" si="2"/>
        <v>0</v>
      </c>
      <c r="H47" s="509"/>
      <c r="I47" s="510">
        <f t="shared" si="3"/>
        <v>0</v>
      </c>
    </row>
    <row r="48" spans="1:9">
      <c r="A48" s="396" t="str">
        <f>报表格式!Q51</f>
        <v xml:space="preserve">     其中：子公司吸收少数股东投资收到的现金</v>
      </c>
      <c r="B48" s="393">
        <f>母公司CF汇总!B48</f>
        <v>0</v>
      </c>
      <c r="C48" s="509"/>
      <c r="D48" s="509"/>
      <c r="E48" s="509"/>
      <c r="F48" s="509"/>
      <c r="G48" s="509">
        <f t="shared" si="2"/>
        <v>0</v>
      </c>
      <c r="H48" s="509"/>
      <c r="I48" s="510">
        <f t="shared" si="3"/>
        <v>0</v>
      </c>
    </row>
    <row r="49" spans="1:9">
      <c r="A49" s="463" t="str">
        <f>报表格式!Q52</f>
        <v xml:space="preserve">     取得借款收到的现金</v>
      </c>
      <c r="B49" s="393">
        <f>母公司CF汇总!B49</f>
        <v>0</v>
      </c>
      <c r="C49" s="509"/>
      <c r="D49" s="509"/>
      <c r="E49" s="509"/>
      <c r="F49" s="509"/>
      <c r="G49" s="509">
        <f t="shared" si="2"/>
        <v>0</v>
      </c>
      <c r="H49" s="509"/>
      <c r="I49" s="510">
        <f t="shared" si="3"/>
        <v>0</v>
      </c>
    </row>
    <row r="50" spans="1:9">
      <c r="A50" s="463" t="str">
        <f>报表格式!Q53</f>
        <v xml:space="preserve">     收到的其他与筹资活动有关的现金</v>
      </c>
      <c r="B50" s="393">
        <f>母公司CF汇总!B50</f>
        <v>0</v>
      </c>
      <c r="C50" s="509"/>
      <c r="D50" s="509"/>
      <c r="E50" s="509"/>
      <c r="F50" s="509"/>
      <c r="G50" s="509">
        <f>SUM(B50:F50)</f>
        <v>0</v>
      </c>
      <c r="H50" s="509"/>
      <c r="I50" s="510">
        <f>SUM(G50:H50)</f>
        <v>0</v>
      </c>
    </row>
    <row r="51" spans="1:9">
      <c r="A51" s="463">
        <f>报表格式!Q54</f>
        <v>0</v>
      </c>
      <c r="B51" s="393">
        <f>母公司CF汇总!B51</f>
        <v>0</v>
      </c>
      <c r="C51" s="509"/>
      <c r="D51" s="509"/>
      <c r="E51" s="509"/>
      <c r="F51" s="509"/>
      <c r="G51" s="509">
        <f t="shared" si="2"/>
        <v>0</v>
      </c>
      <c r="H51" s="509"/>
      <c r="I51" s="510">
        <f t="shared" si="3"/>
        <v>0</v>
      </c>
    </row>
    <row r="52" spans="1:9">
      <c r="A52" s="397" t="str">
        <f>报表格式!Q55</f>
        <v xml:space="preserve">     筹资活动现金流入小计</v>
      </c>
      <c r="B52" s="393">
        <f>SUM(B47:B51)-B48</f>
        <v>0</v>
      </c>
      <c r="C52" s="393">
        <f t="shared" ref="C52:H52" si="14">SUM(C47:C51)-C48</f>
        <v>0</v>
      </c>
      <c r="D52" s="393">
        <f t="shared" si="14"/>
        <v>0</v>
      </c>
      <c r="E52" s="393">
        <f t="shared" si="14"/>
        <v>0</v>
      </c>
      <c r="F52" s="393">
        <f t="shared" si="14"/>
        <v>0</v>
      </c>
      <c r="G52" s="393">
        <f t="shared" si="14"/>
        <v>0</v>
      </c>
      <c r="H52" s="393">
        <f t="shared" si="14"/>
        <v>0</v>
      </c>
      <c r="I52" s="510">
        <f t="shared" si="3"/>
        <v>0</v>
      </c>
    </row>
    <row r="53" spans="1:9">
      <c r="A53" s="463" t="str">
        <f>报表格式!Q56</f>
        <v xml:space="preserve">     偿还债务支付的现金</v>
      </c>
      <c r="B53" s="393">
        <f>母公司CF汇总!B53</f>
        <v>0</v>
      </c>
      <c r="C53" s="509"/>
      <c r="D53" s="509"/>
      <c r="E53" s="509"/>
      <c r="F53" s="509"/>
      <c r="G53" s="509">
        <f t="shared" si="2"/>
        <v>0</v>
      </c>
      <c r="H53" s="509"/>
      <c r="I53" s="510">
        <f t="shared" si="3"/>
        <v>0</v>
      </c>
    </row>
    <row r="54" spans="1:9">
      <c r="A54" s="463" t="str">
        <f>报表格式!Q57</f>
        <v xml:space="preserve">     分配股利、利润或偿付利息支付的现金</v>
      </c>
      <c r="B54" s="393">
        <f>母公司CF汇总!B54</f>
        <v>0</v>
      </c>
      <c r="C54" s="509"/>
      <c r="D54" s="509"/>
      <c r="E54" s="509"/>
      <c r="F54" s="509"/>
      <c r="G54" s="509">
        <f t="shared" si="2"/>
        <v>0</v>
      </c>
      <c r="H54" s="509"/>
      <c r="I54" s="510">
        <f t="shared" si="3"/>
        <v>0</v>
      </c>
    </row>
    <row r="55" spans="1:9">
      <c r="A55" s="396" t="str">
        <f>报表格式!Q58</f>
        <v xml:space="preserve">      其中：子公司支付给少数股东的股利、利润</v>
      </c>
      <c r="B55" s="393">
        <f>母公司CF汇总!B55</f>
        <v>0</v>
      </c>
      <c r="C55" s="509"/>
      <c r="D55" s="509"/>
      <c r="E55" s="509"/>
      <c r="F55" s="509"/>
      <c r="G55" s="509">
        <f t="shared" si="2"/>
        <v>0</v>
      </c>
      <c r="H55" s="509"/>
      <c r="I55" s="510">
        <f t="shared" si="3"/>
        <v>0</v>
      </c>
    </row>
    <row r="56" spans="1:9">
      <c r="A56" s="463" t="str">
        <f>报表格式!Q59</f>
        <v xml:space="preserve">     支付其他与筹资活动有关的现金</v>
      </c>
      <c r="B56" s="393">
        <f>母公司CF汇总!B56</f>
        <v>0</v>
      </c>
      <c r="C56" s="509"/>
      <c r="D56" s="509"/>
      <c r="E56" s="509"/>
      <c r="F56" s="509"/>
      <c r="G56" s="509">
        <f t="shared" si="2"/>
        <v>0</v>
      </c>
      <c r="H56" s="509"/>
      <c r="I56" s="510">
        <f t="shared" si="3"/>
        <v>0</v>
      </c>
    </row>
    <row r="57" spans="1:9">
      <c r="A57" s="396">
        <f>报表格式!Q60</f>
        <v>0</v>
      </c>
      <c r="B57" s="393">
        <f>母公司CF汇总!B57</f>
        <v>0</v>
      </c>
      <c r="C57" s="509"/>
      <c r="D57" s="509"/>
      <c r="E57" s="509"/>
      <c r="F57" s="509"/>
      <c r="G57" s="509">
        <f t="shared" si="2"/>
        <v>0</v>
      </c>
      <c r="H57" s="509"/>
      <c r="I57" s="510">
        <f t="shared" si="3"/>
        <v>0</v>
      </c>
    </row>
    <row r="58" spans="1:9">
      <c r="A58" s="397" t="str">
        <f>报表格式!Q61</f>
        <v xml:space="preserve">     筹资活动现金流出小计</v>
      </c>
      <c r="B58" s="393">
        <f>SUM(B53:B54,B56)</f>
        <v>0</v>
      </c>
      <c r="C58" s="393">
        <f>SUM(C53:C54,C56)</f>
        <v>0</v>
      </c>
      <c r="D58" s="393">
        <f>SUM(D53:D54,D57)</f>
        <v>0</v>
      </c>
      <c r="E58" s="393">
        <f>SUM(E53:E54,E57)</f>
        <v>0</v>
      </c>
      <c r="F58" s="393">
        <f>SUM(F53:F54,F56)</f>
        <v>0</v>
      </c>
      <c r="G58" s="393">
        <f>SUM(G53:G54,G57)</f>
        <v>0</v>
      </c>
      <c r="H58" s="393">
        <f>SUM(H53:H54,H57)</f>
        <v>0</v>
      </c>
      <c r="I58" s="510">
        <f t="shared" si="3"/>
        <v>0</v>
      </c>
    </row>
    <row r="59" spans="1:9" s="647" customFormat="1">
      <c r="A59" s="397" t="str">
        <f>报表格式!Q62</f>
        <v xml:space="preserve">     筹资活动产生的现金流量净额</v>
      </c>
      <c r="B59" s="399">
        <f t="shared" ref="B59:H59" si="15">B52-B58</f>
        <v>0</v>
      </c>
      <c r="C59" s="399">
        <f t="shared" si="15"/>
        <v>0</v>
      </c>
      <c r="D59" s="399">
        <f t="shared" si="15"/>
        <v>0</v>
      </c>
      <c r="E59" s="399">
        <f t="shared" si="15"/>
        <v>0</v>
      </c>
      <c r="F59" s="399">
        <f t="shared" si="15"/>
        <v>0</v>
      </c>
      <c r="G59" s="399">
        <f t="shared" si="15"/>
        <v>0</v>
      </c>
      <c r="H59" s="399">
        <f t="shared" si="15"/>
        <v>0</v>
      </c>
      <c r="I59" s="649">
        <f t="shared" si="3"/>
        <v>0</v>
      </c>
    </row>
    <row r="60" spans="1:9">
      <c r="A60" s="463"/>
      <c r="B60" s="393"/>
      <c r="C60" s="509"/>
      <c r="D60" s="509"/>
      <c r="E60" s="509"/>
      <c r="F60" s="509"/>
      <c r="G60" s="509">
        <f t="shared" si="2"/>
        <v>0</v>
      </c>
      <c r="H60" s="509"/>
      <c r="I60" s="510"/>
    </row>
    <row r="61" spans="1:9">
      <c r="A61" s="644" t="str">
        <f>报表格式!Q63</f>
        <v>四、汇率变动对现金及现金等价物的影响</v>
      </c>
      <c r="B61" s="393">
        <f>母公司CF汇总!B61</f>
        <v>0</v>
      </c>
      <c r="C61" s="509"/>
      <c r="D61" s="509"/>
      <c r="E61" s="509"/>
      <c r="F61" s="509"/>
      <c r="G61" s="509">
        <f t="shared" si="2"/>
        <v>0</v>
      </c>
      <c r="H61" s="509"/>
      <c r="I61" s="510">
        <f t="shared" si="3"/>
        <v>0</v>
      </c>
    </row>
    <row r="62" spans="1:9" s="647" customFormat="1">
      <c r="A62" s="644" t="str">
        <f>报表格式!Q64</f>
        <v>五、现金及现金等价物净增加额</v>
      </c>
      <c r="B62" s="399">
        <f t="shared" ref="B62:H62" si="16">SUM(B31,B45,B59,B61)</f>
        <v>0</v>
      </c>
      <c r="C62" s="399">
        <f t="shared" si="16"/>
        <v>0</v>
      </c>
      <c r="D62" s="399">
        <f t="shared" si="16"/>
        <v>0</v>
      </c>
      <c r="E62" s="399">
        <f t="shared" si="16"/>
        <v>0</v>
      </c>
      <c r="F62" s="399">
        <f t="shared" si="16"/>
        <v>0</v>
      </c>
      <c r="G62" s="399">
        <f t="shared" si="16"/>
        <v>0</v>
      </c>
      <c r="H62" s="399">
        <f t="shared" si="16"/>
        <v>0</v>
      </c>
      <c r="I62" s="649">
        <f t="shared" si="3"/>
        <v>0</v>
      </c>
    </row>
    <row r="63" spans="1:9">
      <c r="A63" s="463" t="str">
        <f>报表格式!Q65</f>
        <v xml:space="preserve">    加：期初现金及现金等价物余额</v>
      </c>
      <c r="B63" s="393">
        <f>母公司CF汇总!B63</f>
        <v>0</v>
      </c>
      <c r="C63" s="509"/>
      <c r="D63" s="509"/>
      <c r="E63" s="509"/>
      <c r="F63" s="509"/>
      <c r="G63" s="509">
        <f t="shared" si="2"/>
        <v>0</v>
      </c>
      <c r="H63" s="509"/>
      <c r="I63" s="510">
        <f t="shared" si="3"/>
        <v>0</v>
      </c>
    </row>
    <row r="64" spans="1:9">
      <c r="A64" s="511" t="str">
        <f>报表格式!Q66</f>
        <v>六、期末现金及现金等价物余额</v>
      </c>
      <c r="B64" s="505">
        <f>SUM(B62:B63)</f>
        <v>0</v>
      </c>
      <c r="C64" s="505">
        <f t="shared" ref="C64:H64" si="17">SUM(C62:C63)</f>
        <v>0</v>
      </c>
      <c r="D64" s="505">
        <f t="shared" si="17"/>
        <v>0</v>
      </c>
      <c r="E64" s="505">
        <f t="shared" si="17"/>
        <v>0</v>
      </c>
      <c r="F64" s="505">
        <f t="shared" si="17"/>
        <v>0</v>
      </c>
      <c r="G64" s="505">
        <f t="shared" si="17"/>
        <v>0</v>
      </c>
      <c r="H64" s="505">
        <f t="shared" si="17"/>
        <v>0</v>
      </c>
      <c r="I64" s="650">
        <f t="shared" si="3"/>
        <v>0</v>
      </c>
    </row>
    <row r="65" spans="1:9">
      <c r="A65" s="514"/>
      <c r="B65" s="515"/>
      <c r="C65" s="516"/>
      <c r="D65" s="516"/>
      <c r="E65" s="516"/>
      <c r="F65" s="516"/>
      <c r="G65" s="516"/>
      <c r="H65" s="516"/>
      <c r="I65" s="516"/>
    </row>
    <row r="66" spans="1:9">
      <c r="A66" s="517"/>
      <c r="B66" s="503"/>
      <c r="C66" s="518"/>
      <c r="D66" s="518"/>
      <c r="E66" s="518"/>
      <c r="F66" s="518"/>
      <c r="G66" s="518"/>
      <c r="H66" s="518"/>
      <c r="I66" s="518"/>
    </row>
    <row r="67" spans="1:9">
      <c r="A67" s="519" t="str">
        <f>报表格式!U4</f>
        <v>补充资料</v>
      </c>
      <c r="B67" s="520"/>
      <c r="C67" s="521"/>
      <c r="D67" s="521"/>
      <c r="E67" s="521"/>
      <c r="F67" s="521"/>
      <c r="G67" s="521"/>
      <c r="H67" s="521"/>
      <c r="I67" s="521"/>
    </row>
    <row r="68" spans="1:9">
      <c r="A68" s="513" t="str">
        <f>报表格式!U5</f>
        <v>1、将净利润调节为经营活动现金流量：</v>
      </c>
      <c r="B68" s="414"/>
      <c r="C68" s="507"/>
      <c r="D68" s="507"/>
      <c r="E68" s="507"/>
      <c r="F68" s="507"/>
      <c r="G68" s="507"/>
      <c r="H68" s="507"/>
      <c r="I68" s="508"/>
    </row>
    <row r="69" spans="1:9">
      <c r="A69" s="463" t="str">
        <f>报表格式!U6</f>
        <v xml:space="preserve">     净利润</v>
      </c>
      <c r="B69" s="393">
        <f>母公司CF汇总!B69</f>
        <v>0</v>
      </c>
      <c r="C69" s="509"/>
      <c r="D69" s="509"/>
      <c r="E69" s="509"/>
      <c r="F69" s="509"/>
      <c r="G69" s="509">
        <f>SUM(B69:F69)</f>
        <v>0</v>
      </c>
      <c r="H69" s="509"/>
      <c r="I69" s="510">
        <f>SUM(G69:H69)</f>
        <v>0</v>
      </c>
    </row>
    <row r="70" spans="1:9">
      <c r="A70" s="463" t="str">
        <f>报表格式!U9</f>
        <v>加：资产减值损失</v>
      </c>
      <c r="B70" s="393">
        <f>母公司CF汇总!B70</f>
        <v>0</v>
      </c>
      <c r="C70" s="509"/>
      <c r="D70" s="509"/>
      <c r="E70" s="509"/>
      <c r="F70" s="509"/>
      <c r="G70" s="509">
        <f t="shared" ref="G70:G97" si="18">SUM(B70:F70)</f>
        <v>0</v>
      </c>
      <c r="H70" s="509"/>
      <c r="I70" s="510">
        <f t="shared" ref="I70:I97" si="19">SUM(G70:H70)</f>
        <v>0</v>
      </c>
    </row>
    <row r="71" spans="1:9">
      <c r="A71" s="463" t="str">
        <f>报表格式!U10</f>
        <v xml:space="preserve">     信用减值损失</v>
      </c>
      <c r="B71" s="393">
        <f>母公司CF汇总!B71</f>
        <v>0</v>
      </c>
      <c r="C71" s="509"/>
      <c r="D71" s="509"/>
      <c r="E71" s="509"/>
      <c r="F71" s="509"/>
      <c r="G71" s="509">
        <f t="shared" si="18"/>
        <v>0</v>
      </c>
      <c r="H71" s="509"/>
      <c r="I71" s="510">
        <f t="shared" si="19"/>
        <v>0</v>
      </c>
    </row>
    <row r="72" spans="1:9">
      <c r="A72" s="463" t="str">
        <f>报表格式!U11</f>
        <v xml:space="preserve">     固定资产折旧、油气资产折耗、生产性生物资产折旧</v>
      </c>
      <c r="B72" s="393">
        <f>母公司CF汇总!B72</f>
        <v>0</v>
      </c>
      <c r="C72" s="509"/>
      <c r="D72" s="509"/>
      <c r="E72" s="509"/>
      <c r="F72" s="509"/>
      <c r="G72" s="509">
        <f t="shared" si="18"/>
        <v>0</v>
      </c>
      <c r="H72" s="509"/>
      <c r="I72" s="510">
        <f t="shared" si="19"/>
        <v>0</v>
      </c>
    </row>
    <row r="73" spans="1:9">
      <c r="A73" s="463" t="str">
        <f>报表格式!U12</f>
        <v xml:space="preserve">     无形资产摊销</v>
      </c>
      <c r="B73" s="393">
        <f>母公司CF汇总!B73</f>
        <v>0</v>
      </c>
      <c r="C73" s="509"/>
      <c r="D73" s="509"/>
      <c r="E73" s="509"/>
      <c r="F73" s="509"/>
      <c r="G73" s="509">
        <f t="shared" si="18"/>
        <v>0</v>
      </c>
      <c r="H73" s="509"/>
      <c r="I73" s="510">
        <f t="shared" si="19"/>
        <v>0</v>
      </c>
    </row>
    <row r="74" spans="1:9">
      <c r="A74" s="463" t="str">
        <f>报表格式!U13</f>
        <v xml:space="preserve">     长期待摊费用摊销</v>
      </c>
      <c r="B74" s="393">
        <f>母公司CF汇总!B74</f>
        <v>0</v>
      </c>
      <c r="C74" s="509"/>
      <c r="D74" s="509"/>
      <c r="E74" s="509"/>
      <c r="F74" s="509"/>
      <c r="G74" s="509">
        <f t="shared" si="18"/>
        <v>0</v>
      </c>
      <c r="H74" s="509"/>
      <c r="I74" s="510">
        <f t="shared" si="19"/>
        <v>0</v>
      </c>
    </row>
    <row r="75" spans="1:9">
      <c r="A75" s="463" t="str">
        <f>报表格式!U14</f>
        <v xml:space="preserve">     处置固定资产、无形资产和其他长期资产的损失（收益以“－”号填列）</v>
      </c>
      <c r="B75" s="393">
        <f>母公司CF汇总!B75</f>
        <v>0</v>
      </c>
      <c r="C75" s="509"/>
      <c r="D75" s="509"/>
      <c r="E75" s="509"/>
      <c r="F75" s="509"/>
      <c r="G75" s="509">
        <f t="shared" si="18"/>
        <v>0</v>
      </c>
      <c r="H75" s="509"/>
      <c r="I75" s="510">
        <f t="shared" si="19"/>
        <v>0</v>
      </c>
    </row>
    <row r="76" spans="1:9">
      <c r="A76" s="463" t="str">
        <f>报表格式!U15</f>
        <v xml:space="preserve">     固定资产报废损失（收益以“－”号填列）</v>
      </c>
      <c r="B76" s="393">
        <f>母公司CF汇总!B76</f>
        <v>0</v>
      </c>
      <c r="C76" s="509"/>
      <c r="D76" s="509"/>
      <c r="E76" s="509"/>
      <c r="F76" s="509"/>
      <c r="G76" s="509">
        <f t="shared" si="18"/>
        <v>0</v>
      </c>
      <c r="H76" s="509"/>
      <c r="I76" s="510">
        <f t="shared" si="19"/>
        <v>0</v>
      </c>
    </row>
    <row r="77" spans="1:9">
      <c r="A77" s="463" t="str">
        <f>报表格式!U16</f>
        <v xml:space="preserve">     公允价值变动损失（收益以“－”号填列）</v>
      </c>
      <c r="B77" s="393">
        <f>母公司CF汇总!B77</f>
        <v>0</v>
      </c>
      <c r="C77" s="509"/>
      <c r="D77" s="509"/>
      <c r="E77" s="509"/>
      <c r="F77" s="509"/>
      <c r="G77" s="509">
        <f t="shared" si="18"/>
        <v>0</v>
      </c>
      <c r="H77" s="509"/>
      <c r="I77" s="510">
        <f t="shared" si="19"/>
        <v>0</v>
      </c>
    </row>
    <row r="78" spans="1:9">
      <c r="A78" s="463" t="str">
        <f>报表格式!U17</f>
        <v xml:space="preserve">     财务费用（收益以“－”号填列）</v>
      </c>
      <c r="B78" s="393">
        <f>母公司CF汇总!B78</f>
        <v>0</v>
      </c>
      <c r="C78" s="509"/>
      <c r="D78" s="509"/>
      <c r="E78" s="509"/>
      <c r="F78" s="509"/>
      <c r="G78" s="509">
        <f t="shared" si="18"/>
        <v>0</v>
      </c>
      <c r="H78" s="509"/>
      <c r="I78" s="510">
        <f t="shared" si="19"/>
        <v>0</v>
      </c>
    </row>
    <row r="79" spans="1:9">
      <c r="A79" s="463" t="str">
        <f>报表格式!U18</f>
        <v xml:space="preserve">     投资损失（收益以“－”号填列）</v>
      </c>
      <c r="B79" s="393">
        <f>母公司CF汇总!B79</f>
        <v>0</v>
      </c>
      <c r="C79" s="509"/>
      <c r="D79" s="509"/>
      <c r="E79" s="509"/>
      <c r="F79" s="509"/>
      <c r="G79" s="509">
        <f t="shared" si="18"/>
        <v>0</v>
      </c>
      <c r="H79" s="509"/>
      <c r="I79" s="510">
        <f t="shared" si="19"/>
        <v>0</v>
      </c>
    </row>
    <row r="80" spans="1:9">
      <c r="A80" s="463" t="str">
        <f>报表格式!U19</f>
        <v xml:space="preserve">     递延所得税资产减少（增加以“－”号填列）</v>
      </c>
      <c r="B80" s="393">
        <f>母公司CF汇总!B80</f>
        <v>0</v>
      </c>
      <c r="C80" s="509"/>
      <c r="D80" s="509"/>
      <c r="E80" s="509"/>
      <c r="F80" s="509"/>
      <c r="G80" s="509">
        <f t="shared" si="18"/>
        <v>0</v>
      </c>
      <c r="H80" s="509"/>
      <c r="I80" s="510">
        <f t="shared" si="19"/>
        <v>0</v>
      </c>
    </row>
    <row r="81" spans="1:9">
      <c r="A81" s="463" t="str">
        <f>报表格式!U20</f>
        <v xml:space="preserve">     递延所得税负债增加（减少以“－”号填列）</v>
      </c>
      <c r="B81" s="393">
        <f>母公司CF汇总!B81</f>
        <v>0</v>
      </c>
      <c r="C81" s="509"/>
      <c r="D81" s="509"/>
      <c r="E81" s="509"/>
      <c r="F81" s="509"/>
      <c r="G81" s="509">
        <f t="shared" si="18"/>
        <v>0</v>
      </c>
      <c r="H81" s="509"/>
      <c r="I81" s="510">
        <f t="shared" si="19"/>
        <v>0</v>
      </c>
    </row>
    <row r="82" spans="1:9">
      <c r="A82" s="463" t="str">
        <f>报表格式!U21</f>
        <v xml:space="preserve">     存货的减少（增加以“－”号填列）</v>
      </c>
      <c r="B82" s="393">
        <f>母公司CF汇总!B82</f>
        <v>0</v>
      </c>
      <c r="C82" s="509"/>
      <c r="D82" s="509"/>
      <c r="E82" s="509"/>
      <c r="F82" s="509"/>
      <c r="G82" s="509">
        <f t="shared" si="18"/>
        <v>0</v>
      </c>
      <c r="H82" s="509"/>
      <c r="I82" s="510">
        <f t="shared" si="19"/>
        <v>0</v>
      </c>
    </row>
    <row r="83" spans="1:9">
      <c r="A83" s="463" t="str">
        <f>报表格式!U22</f>
        <v xml:space="preserve">     经营性应收项目的减少（增加以“－”号填列）</v>
      </c>
      <c r="B83" s="393">
        <f>母公司CF汇总!B83</f>
        <v>0</v>
      </c>
      <c r="C83" s="509"/>
      <c r="D83" s="509"/>
      <c r="E83" s="509"/>
      <c r="F83" s="509"/>
      <c r="G83" s="509">
        <f t="shared" si="18"/>
        <v>0</v>
      </c>
      <c r="H83" s="509"/>
      <c r="I83" s="510">
        <f t="shared" si="19"/>
        <v>0</v>
      </c>
    </row>
    <row r="84" spans="1:9">
      <c r="A84" s="463" t="str">
        <f>报表格式!U23</f>
        <v xml:space="preserve">     经营性应付项目的增加（减少以“－”号填列）</v>
      </c>
      <c r="B84" s="393">
        <f>母公司CF汇总!B84</f>
        <v>0</v>
      </c>
      <c r="C84" s="509"/>
      <c r="D84" s="509"/>
      <c r="E84" s="509"/>
      <c r="F84" s="509"/>
      <c r="G84" s="509">
        <f t="shared" si="18"/>
        <v>0</v>
      </c>
      <c r="H84" s="509"/>
      <c r="I84" s="510">
        <f t="shared" si="19"/>
        <v>0</v>
      </c>
    </row>
    <row r="85" spans="1:9" s="647" customFormat="1">
      <c r="A85" s="644" t="str">
        <f>报表格式!U26</f>
        <v xml:space="preserve">     经营活动产生的现金流量净额</v>
      </c>
      <c r="B85" s="399">
        <f>SUM(B69:B84)</f>
        <v>0</v>
      </c>
      <c r="C85" s="399">
        <f t="shared" ref="C85:H85" si="20">SUM(C69:C84)</f>
        <v>0</v>
      </c>
      <c r="D85" s="399">
        <f t="shared" si="20"/>
        <v>0</v>
      </c>
      <c r="E85" s="399">
        <f t="shared" si="20"/>
        <v>0</v>
      </c>
      <c r="F85" s="399">
        <f t="shared" si="20"/>
        <v>0</v>
      </c>
      <c r="G85" s="399">
        <f t="shared" si="20"/>
        <v>0</v>
      </c>
      <c r="H85" s="399">
        <f t="shared" si="20"/>
        <v>0</v>
      </c>
      <c r="I85" s="649">
        <f t="shared" si="19"/>
        <v>0</v>
      </c>
    </row>
    <row r="86" spans="1:9">
      <c r="A86" s="463">
        <f>报表格式!U27</f>
        <v>0</v>
      </c>
      <c r="B86" s="393"/>
      <c r="C86" s="509"/>
      <c r="D86" s="509"/>
      <c r="E86" s="509"/>
      <c r="F86" s="509"/>
      <c r="G86" s="509"/>
      <c r="H86" s="509"/>
      <c r="I86" s="510"/>
    </row>
    <row r="87" spans="1:9">
      <c r="A87" s="644" t="str">
        <f>报表格式!U28</f>
        <v>2、不涉及现金收支的投资和筹资活动：</v>
      </c>
      <c r="B87" s="393"/>
      <c r="C87" s="509"/>
      <c r="D87" s="509"/>
      <c r="E87" s="509"/>
      <c r="F87" s="509"/>
      <c r="G87" s="509"/>
      <c r="H87" s="509"/>
      <c r="I87" s="510"/>
    </row>
    <row r="88" spans="1:9">
      <c r="A88" s="463" t="str">
        <f>报表格式!U29</f>
        <v xml:space="preserve">     债务转为资本</v>
      </c>
      <c r="B88" s="393">
        <f>母公司CF汇总!B88</f>
        <v>0</v>
      </c>
      <c r="C88" s="509"/>
      <c r="D88" s="509"/>
      <c r="E88" s="509"/>
      <c r="F88" s="509"/>
      <c r="G88" s="509">
        <f t="shared" si="18"/>
        <v>0</v>
      </c>
      <c r="H88" s="509"/>
      <c r="I88" s="510">
        <f t="shared" si="19"/>
        <v>0</v>
      </c>
    </row>
    <row r="89" spans="1:9">
      <c r="A89" s="463" t="str">
        <f>报表格式!U30</f>
        <v xml:space="preserve">     一年内到期的可转换公司债券</v>
      </c>
      <c r="B89" s="393">
        <f>母公司CF汇总!B89</f>
        <v>0</v>
      </c>
      <c r="C89" s="509"/>
      <c r="D89" s="509"/>
      <c r="E89" s="509"/>
      <c r="F89" s="509"/>
      <c r="G89" s="509">
        <f t="shared" si="18"/>
        <v>0</v>
      </c>
      <c r="H89" s="509"/>
      <c r="I89" s="510">
        <f t="shared" si="19"/>
        <v>0</v>
      </c>
    </row>
    <row r="90" spans="1:9">
      <c r="A90" s="463" t="str">
        <f>报表格式!U31</f>
        <v xml:space="preserve">     融资租入固定资产</v>
      </c>
      <c r="B90" s="393">
        <f>母公司CF汇总!B90</f>
        <v>0</v>
      </c>
      <c r="C90" s="509"/>
      <c r="D90" s="509"/>
      <c r="E90" s="509"/>
      <c r="F90" s="509"/>
      <c r="G90" s="509">
        <f t="shared" si="18"/>
        <v>0</v>
      </c>
      <c r="H90" s="509"/>
      <c r="I90" s="510">
        <f t="shared" si="19"/>
        <v>0</v>
      </c>
    </row>
    <row r="91" spans="1:9">
      <c r="A91" s="463" t="str">
        <f>报表格式!U32</f>
        <v xml:space="preserve">     其他</v>
      </c>
      <c r="B91" s="393">
        <f>母公司CF汇总!B91</f>
        <v>0</v>
      </c>
      <c r="C91" s="509"/>
      <c r="D91" s="509"/>
      <c r="E91" s="509"/>
      <c r="F91" s="509"/>
      <c r="G91" s="509">
        <f t="shared" si="18"/>
        <v>0</v>
      </c>
      <c r="H91" s="509"/>
      <c r="I91" s="510">
        <f t="shared" si="19"/>
        <v>0</v>
      </c>
    </row>
    <row r="92" spans="1:9">
      <c r="A92" s="463">
        <f>报表格式!U34</f>
        <v>0</v>
      </c>
      <c r="B92" s="393">
        <f>母公司CF汇总!B92</f>
        <v>0</v>
      </c>
      <c r="C92" s="509"/>
      <c r="D92" s="509"/>
      <c r="E92" s="509"/>
      <c r="F92" s="509"/>
      <c r="G92" s="509">
        <f t="shared" si="18"/>
        <v>0</v>
      </c>
      <c r="H92" s="509"/>
      <c r="I92" s="510">
        <f t="shared" si="19"/>
        <v>0</v>
      </c>
    </row>
    <row r="93" spans="1:9">
      <c r="A93" s="644" t="str">
        <f>报表格式!U35</f>
        <v>3、现金及现金等价物净变动情况：</v>
      </c>
      <c r="B93" s="393"/>
      <c r="C93" s="509"/>
      <c r="D93" s="509"/>
      <c r="E93" s="509"/>
      <c r="F93" s="509"/>
      <c r="G93" s="509"/>
      <c r="H93" s="509"/>
      <c r="I93" s="510"/>
    </row>
    <row r="94" spans="1:9">
      <c r="A94" s="463" t="str">
        <f>报表格式!U36</f>
        <v xml:space="preserve">     现金的期末余额</v>
      </c>
      <c r="B94" s="393">
        <f>母公司CF汇总!B94</f>
        <v>0</v>
      </c>
      <c r="C94" s="509"/>
      <c r="D94" s="509"/>
      <c r="E94" s="509"/>
      <c r="F94" s="509"/>
      <c r="G94" s="509">
        <f t="shared" si="18"/>
        <v>0</v>
      </c>
      <c r="H94" s="509"/>
      <c r="I94" s="510">
        <f t="shared" si="19"/>
        <v>0</v>
      </c>
    </row>
    <row r="95" spans="1:9">
      <c r="A95" s="463" t="str">
        <f>报表格式!U37</f>
        <v xml:space="preserve">     减：现金的期初余额</v>
      </c>
      <c r="B95" s="393">
        <f>母公司CF汇总!B95</f>
        <v>0</v>
      </c>
      <c r="C95" s="509"/>
      <c r="D95" s="509"/>
      <c r="E95" s="509"/>
      <c r="F95" s="509"/>
      <c r="G95" s="509">
        <f t="shared" si="18"/>
        <v>0</v>
      </c>
      <c r="H95" s="509"/>
      <c r="I95" s="510">
        <f t="shared" si="19"/>
        <v>0</v>
      </c>
    </row>
    <row r="96" spans="1:9">
      <c r="A96" s="463" t="str">
        <f>报表格式!U38</f>
        <v xml:space="preserve">     加：现金等价物的期末余额</v>
      </c>
      <c r="B96" s="393">
        <f>母公司CF汇总!B96</f>
        <v>0</v>
      </c>
      <c r="C96" s="509"/>
      <c r="D96" s="509"/>
      <c r="E96" s="509"/>
      <c r="F96" s="509"/>
      <c r="G96" s="509">
        <f t="shared" si="18"/>
        <v>0</v>
      </c>
      <c r="H96" s="509"/>
      <c r="I96" s="510">
        <f t="shared" si="19"/>
        <v>0</v>
      </c>
    </row>
    <row r="97" spans="1:9">
      <c r="A97" s="463" t="str">
        <f>报表格式!U39</f>
        <v xml:space="preserve">     减：现金等价物的期初余额</v>
      </c>
      <c r="B97" s="393">
        <f>母公司CF汇总!B97</f>
        <v>0</v>
      </c>
      <c r="C97" s="509"/>
      <c r="D97" s="509"/>
      <c r="E97" s="509"/>
      <c r="F97" s="509"/>
      <c r="G97" s="509">
        <f t="shared" si="18"/>
        <v>0</v>
      </c>
      <c r="H97" s="509"/>
      <c r="I97" s="510">
        <f t="shared" si="19"/>
        <v>0</v>
      </c>
    </row>
    <row r="98" spans="1:9">
      <c r="A98" s="504" t="str">
        <f>报表格式!U50</f>
        <v xml:space="preserve">     现金及现金等价物净增加额</v>
      </c>
      <c r="B98" s="505">
        <f>B94-B95+B96-B97</f>
        <v>0</v>
      </c>
      <c r="C98" s="505">
        <f t="shared" ref="C98:H98" si="21">C94-C95+C96-C97</f>
        <v>0</v>
      </c>
      <c r="D98" s="505">
        <f t="shared" si="21"/>
        <v>0</v>
      </c>
      <c r="E98" s="505">
        <f t="shared" si="21"/>
        <v>0</v>
      </c>
      <c r="F98" s="505">
        <f t="shared" si="21"/>
        <v>0</v>
      </c>
      <c r="G98" s="505">
        <f t="shared" si="21"/>
        <v>0</v>
      </c>
      <c r="H98" s="505">
        <f t="shared" si="21"/>
        <v>0</v>
      </c>
      <c r="I98" s="650">
        <f>I94-I95+I96-I97</f>
        <v>0</v>
      </c>
    </row>
  </sheetData>
  <sheetProtection formatCells="0" formatColumns="0" formatRows="0" insertRows="0" autoFilter="0" pivotTables="0"/>
  <mergeCells count="9">
    <mergeCell ref="E4:E5"/>
    <mergeCell ref="H4:H5"/>
    <mergeCell ref="I4:I5"/>
    <mergeCell ref="A4:A5"/>
    <mergeCell ref="B4:B5"/>
    <mergeCell ref="C4:C5"/>
    <mergeCell ref="F4:F5"/>
    <mergeCell ref="G4:G5"/>
    <mergeCell ref="D4:D5"/>
  </mergeCells>
  <phoneticPr fontId="3" type="noConversion"/>
  <conditionalFormatting sqref="A4:A5">
    <cfRule type="cellIs" dxfId="39" priority="1" stopIfTrue="1" operator="equal">
      <formula>"现金流量表未调平!"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5"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20"/>
    <pageSetUpPr fitToPage="1"/>
  </sheetPr>
  <dimension ref="A1:O130"/>
  <sheetViews>
    <sheetView showZeros="0" workbookViewId="0">
      <pane xSplit="2" ySplit="5" topLeftCell="C102" activePane="bottomRight" state="frozen"/>
      <selection activeCell="H6" sqref="H6"/>
      <selection pane="topRight" activeCell="H6" sqref="H6"/>
      <selection pane="bottomLeft" activeCell="H6" sqref="H6"/>
      <selection pane="bottomRight" activeCell="D112" sqref="D112"/>
    </sheetView>
  </sheetViews>
  <sheetFormatPr defaultColWidth="9" defaultRowHeight="12.75"/>
  <cols>
    <col min="1" max="1" width="36.5" style="1003" customWidth="1"/>
    <col min="2" max="3" width="13.625" style="383" customWidth="1"/>
    <col min="4" max="14" width="9" style="383"/>
    <col min="15" max="15" width="8.875" style="435" customWidth="1"/>
    <col min="16" max="16384" width="9" style="383"/>
  </cols>
  <sheetData>
    <row r="1" spans="1:15" ht="18.75">
      <c r="A1" s="1002" t="s">
        <v>756</v>
      </c>
    </row>
    <row r="2" spans="1:15">
      <c r="A2" s="1003" t="str">
        <f>CONCATENATE("客户名称：",说明!E23)</f>
        <v>客户名称：</v>
      </c>
    </row>
    <row r="3" spans="1:15">
      <c r="A3" s="1003" t="str">
        <f>CONCATENATE("会计时点：",TEXT(说明!E32,"yyyy.mm.dd"))</f>
        <v>会计时点：2019.12.31</v>
      </c>
    </row>
    <row r="4" spans="1:15" s="1004" customFormat="1">
      <c r="D4" s="1004">
        <v>1</v>
      </c>
      <c r="E4" s="1004">
        <v>2</v>
      </c>
      <c r="F4" s="1004">
        <v>3</v>
      </c>
      <c r="G4" s="1004">
        <v>4</v>
      </c>
      <c r="H4" s="1004">
        <v>5</v>
      </c>
      <c r="I4" s="1004">
        <v>6</v>
      </c>
      <c r="J4" s="1004">
        <v>7</v>
      </c>
      <c r="K4" s="1004">
        <v>8</v>
      </c>
      <c r="L4" s="1004">
        <v>9</v>
      </c>
      <c r="M4" s="1004">
        <v>10</v>
      </c>
      <c r="O4" s="1020"/>
    </row>
    <row r="5" spans="1:15" s="385" customFormat="1" ht="15">
      <c r="A5" s="1022" t="str">
        <f>报表格式!B4</f>
        <v>报表项目</v>
      </c>
      <c r="B5" s="458" t="s">
        <v>557</v>
      </c>
      <c r="C5" s="459" t="s">
        <v>558</v>
      </c>
      <c r="D5" s="459" t="s">
        <v>559</v>
      </c>
      <c r="E5" s="459" t="s">
        <v>560</v>
      </c>
      <c r="F5" s="459" t="s">
        <v>561</v>
      </c>
      <c r="G5" s="459" t="s">
        <v>562</v>
      </c>
      <c r="H5" s="459" t="s">
        <v>563</v>
      </c>
      <c r="I5" s="459" t="s">
        <v>564</v>
      </c>
      <c r="J5" s="459" t="s">
        <v>565</v>
      </c>
      <c r="K5" s="459" t="s">
        <v>566</v>
      </c>
      <c r="L5" s="459" t="s">
        <v>567</v>
      </c>
      <c r="M5" s="459" t="s">
        <v>568</v>
      </c>
      <c r="N5" s="460"/>
      <c r="O5" s="461" t="s">
        <v>569</v>
      </c>
    </row>
    <row r="6" spans="1:15" customFormat="1" ht="15">
      <c r="A6" s="1023" t="str">
        <f>报表格式!B5</f>
        <v>流动资产：</v>
      </c>
      <c r="B6" s="414"/>
      <c r="C6" s="414"/>
      <c r="D6" s="414"/>
      <c r="E6" s="414"/>
      <c r="F6" s="414"/>
      <c r="G6" s="414"/>
      <c r="H6" s="414"/>
      <c r="I6" s="414"/>
      <c r="J6" s="414"/>
      <c r="K6" s="414"/>
      <c r="L6" s="414"/>
      <c r="M6" s="414"/>
      <c r="N6" s="414"/>
      <c r="O6" s="415"/>
    </row>
    <row r="7" spans="1:15" customFormat="1" ht="15">
      <c r="A7" s="1024" t="str">
        <f>报表格式!B6</f>
        <v>货币资金</v>
      </c>
      <c r="B7" s="393">
        <f t="shared" ref="B7:B101" si="0">SUM(C7:O7)</f>
        <v>0</v>
      </c>
      <c r="C7" s="393">
        <f>母公司TB资产!K7</f>
        <v>0</v>
      </c>
      <c r="D7" s="393"/>
      <c r="E7" s="393"/>
      <c r="F7" s="393"/>
      <c r="G7" s="393"/>
      <c r="H7" s="393"/>
      <c r="I7" s="393"/>
      <c r="J7" s="393"/>
      <c r="K7" s="393"/>
      <c r="L7" s="393"/>
      <c r="M7" s="393"/>
      <c r="N7" s="393"/>
      <c r="O7" s="394"/>
    </row>
    <row r="8" spans="1:15" customFormat="1" ht="15">
      <c r="A8" s="1024" t="str">
        <f>报表格式!B7</f>
        <v>结算备付金</v>
      </c>
      <c r="B8" s="393">
        <f t="shared" ref="B8:B9" si="1">SUM(C8:O8)</f>
        <v>0</v>
      </c>
      <c r="C8" s="393">
        <f>母公司TB资产!K8</f>
        <v>0</v>
      </c>
      <c r="D8" s="393"/>
      <c r="E8" s="393"/>
      <c r="F8" s="393"/>
      <c r="G8" s="393"/>
      <c r="H8" s="393"/>
      <c r="I8" s="393"/>
      <c r="J8" s="393"/>
      <c r="K8" s="393"/>
      <c r="L8" s="393"/>
      <c r="M8" s="393"/>
      <c r="N8" s="393"/>
      <c r="O8" s="394"/>
    </row>
    <row r="9" spans="1:15" customFormat="1" ht="15">
      <c r="A9" s="1024" t="str">
        <f>报表格式!B8</f>
        <v>拆出资金</v>
      </c>
      <c r="B9" s="393">
        <f t="shared" si="1"/>
        <v>0</v>
      </c>
      <c r="C9" s="393">
        <f>母公司TB资产!K9</f>
        <v>0</v>
      </c>
      <c r="D9" s="393"/>
      <c r="E9" s="393"/>
      <c r="F9" s="393"/>
      <c r="G9" s="393"/>
      <c r="H9" s="393"/>
      <c r="I9" s="393"/>
      <c r="J9" s="393"/>
      <c r="K9" s="393"/>
      <c r="L9" s="393"/>
      <c r="M9" s="393"/>
      <c r="N9" s="393"/>
      <c r="O9" s="394"/>
    </row>
    <row r="10" spans="1:15" customFormat="1" ht="15">
      <c r="A10" s="1024" t="str">
        <f>报表格式!B9</f>
        <v>交易性金融资产</v>
      </c>
      <c r="B10" s="393">
        <f t="shared" si="0"/>
        <v>0</v>
      </c>
      <c r="C10" s="393">
        <f>母公司TB资产!K10</f>
        <v>0</v>
      </c>
      <c r="D10" s="393"/>
      <c r="E10" s="393"/>
      <c r="F10" s="393"/>
      <c r="G10" s="393"/>
      <c r="H10" s="393"/>
      <c r="I10" s="393"/>
      <c r="J10" s="393"/>
      <c r="K10" s="393"/>
      <c r="L10" s="393"/>
      <c r="M10" s="393"/>
      <c r="N10" s="393"/>
      <c r="O10" s="394"/>
    </row>
    <row r="11" spans="1:15" customFormat="1" ht="15">
      <c r="A11" s="1024" t="str">
        <f>报表格式!B10</f>
        <v>以公允价值计量且其变动计入当期损益的金融资产</v>
      </c>
      <c r="B11" s="393">
        <f t="shared" ref="B11" si="2">SUM(C11:O11)</f>
        <v>0</v>
      </c>
      <c r="C11" s="393">
        <f>母公司TB资产!K11</f>
        <v>0</v>
      </c>
      <c r="D11" s="393"/>
      <c r="E11" s="393"/>
      <c r="F11" s="393"/>
      <c r="G11" s="393"/>
      <c r="H11" s="393"/>
      <c r="I11" s="393"/>
      <c r="J11" s="393"/>
      <c r="K11" s="393"/>
      <c r="L11" s="393"/>
      <c r="M11" s="393"/>
      <c r="N11" s="393"/>
      <c r="O11" s="394"/>
    </row>
    <row r="12" spans="1:15" customFormat="1" ht="15">
      <c r="A12" s="1024" t="str">
        <f>报表格式!B11</f>
        <v>衍生金融资产</v>
      </c>
      <c r="B12" s="393">
        <f>SUM(C12:O12)</f>
        <v>0</v>
      </c>
      <c r="C12" s="393">
        <f>母公司TB资产!K12</f>
        <v>0</v>
      </c>
      <c r="D12" s="393"/>
      <c r="E12" s="393"/>
      <c r="F12" s="393"/>
      <c r="G12" s="393"/>
      <c r="H12" s="393"/>
      <c r="I12" s="393"/>
      <c r="J12" s="393"/>
      <c r="K12" s="393"/>
      <c r="L12" s="393"/>
      <c r="M12" s="393"/>
      <c r="N12" s="393"/>
      <c r="O12" s="394"/>
    </row>
    <row r="13" spans="1:15" customFormat="1" ht="15">
      <c r="A13" s="1024" t="str">
        <f>报表格式!B12</f>
        <v>应收票据</v>
      </c>
      <c r="B13" s="393">
        <f t="shared" si="0"/>
        <v>0</v>
      </c>
      <c r="C13" s="393">
        <f>母公司TB资产!K13</f>
        <v>0</v>
      </c>
      <c r="D13" s="393"/>
      <c r="E13" s="393"/>
      <c r="F13" s="393"/>
      <c r="G13" s="393"/>
      <c r="H13" s="393"/>
      <c r="I13" s="393"/>
      <c r="J13" s="393"/>
      <c r="K13" s="393"/>
      <c r="L13" s="393"/>
      <c r="M13" s="393"/>
      <c r="N13" s="393"/>
      <c r="O13" s="394"/>
    </row>
    <row r="14" spans="1:15" customFormat="1" ht="15">
      <c r="A14" s="1024" t="str">
        <f>报表格式!B13</f>
        <v>应收账款</v>
      </c>
      <c r="B14" s="393">
        <f t="shared" ref="B14:B15" si="3">SUM(C14:O14)</f>
        <v>0</v>
      </c>
      <c r="C14" s="393">
        <f>母公司TB资产!K14</f>
        <v>0</v>
      </c>
      <c r="D14" s="393"/>
      <c r="E14" s="393"/>
      <c r="F14" s="393"/>
      <c r="G14" s="393"/>
      <c r="H14" s="393"/>
      <c r="I14" s="393"/>
      <c r="J14" s="393"/>
      <c r="K14" s="393"/>
      <c r="L14" s="393"/>
      <c r="M14" s="393"/>
      <c r="N14" s="393"/>
      <c r="O14" s="394"/>
    </row>
    <row r="15" spans="1:15" customFormat="1" ht="15">
      <c r="A15" s="1024" t="str">
        <f>报表格式!B14</f>
        <v>应收款项融资</v>
      </c>
      <c r="B15" s="393">
        <f t="shared" si="3"/>
        <v>0</v>
      </c>
      <c r="C15" s="393">
        <f>母公司TB资产!K15</f>
        <v>0</v>
      </c>
      <c r="D15" s="393"/>
      <c r="E15" s="393"/>
      <c r="F15" s="393"/>
      <c r="G15" s="393"/>
      <c r="H15" s="393"/>
      <c r="I15" s="393"/>
      <c r="J15" s="393"/>
      <c r="K15" s="393"/>
      <c r="L15" s="393"/>
      <c r="M15" s="393"/>
      <c r="N15" s="393"/>
      <c r="O15" s="394"/>
    </row>
    <row r="16" spans="1:15" customFormat="1" ht="15">
      <c r="A16" s="1024" t="str">
        <f>报表格式!B15</f>
        <v>预付款项</v>
      </c>
      <c r="B16" s="393">
        <f t="shared" si="0"/>
        <v>0</v>
      </c>
      <c r="C16" s="393">
        <f>母公司TB资产!K16</f>
        <v>0</v>
      </c>
      <c r="D16" s="393"/>
      <c r="E16" s="393"/>
      <c r="F16" s="393"/>
      <c r="G16" s="393"/>
      <c r="H16" s="393"/>
      <c r="I16" s="393"/>
      <c r="J16" s="393"/>
      <c r="K16" s="393"/>
      <c r="L16" s="393"/>
      <c r="M16" s="393"/>
      <c r="N16" s="393"/>
      <c r="O16" s="394"/>
    </row>
    <row r="17" spans="1:15" customFormat="1" ht="15">
      <c r="A17" s="1024" t="str">
        <f>报表格式!B16</f>
        <v>应收保费</v>
      </c>
      <c r="B17" s="393">
        <f t="shared" ref="B17:B19" si="4">SUM(C17:O17)</f>
        <v>0</v>
      </c>
      <c r="C17" s="393">
        <f>母公司TB资产!K17</f>
        <v>0</v>
      </c>
      <c r="D17" s="393"/>
      <c r="E17" s="393"/>
      <c r="F17" s="393"/>
      <c r="G17" s="393"/>
      <c r="H17" s="393"/>
      <c r="I17" s="393"/>
      <c r="J17" s="393"/>
      <c r="K17" s="393"/>
      <c r="L17" s="393"/>
      <c r="M17" s="393"/>
      <c r="N17" s="393"/>
      <c r="O17" s="394"/>
    </row>
    <row r="18" spans="1:15" customFormat="1" ht="15">
      <c r="A18" s="1024" t="str">
        <f>报表格式!B17</f>
        <v>应收分保账款</v>
      </c>
      <c r="B18" s="393">
        <f t="shared" si="4"/>
        <v>0</v>
      </c>
      <c r="C18" s="393">
        <f>母公司TB资产!K18</f>
        <v>0</v>
      </c>
      <c r="D18" s="393"/>
      <c r="E18" s="393"/>
      <c r="F18" s="393"/>
      <c r="G18" s="393"/>
      <c r="H18" s="393"/>
      <c r="I18" s="393"/>
      <c r="J18" s="393"/>
      <c r="K18" s="393"/>
      <c r="L18" s="393"/>
      <c r="M18" s="393"/>
      <c r="N18" s="393"/>
      <c r="O18" s="394"/>
    </row>
    <row r="19" spans="1:15" customFormat="1" ht="15">
      <c r="A19" s="1024" t="str">
        <f>报表格式!B18</f>
        <v>应收分保准备金</v>
      </c>
      <c r="B19" s="393">
        <f t="shared" si="4"/>
        <v>0</v>
      </c>
      <c r="C19" s="393">
        <f>母公司TB资产!K19</f>
        <v>0</v>
      </c>
      <c r="D19" s="393"/>
      <c r="E19" s="393"/>
      <c r="F19" s="393"/>
      <c r="G19" s="393"/>
      <c r="H19" s="393"/>
      <c r="I19" s="393"/>
      <c r="J19" s="393"/>
      <c r="K19" s="393"/>
      <c r="L19" s="393"/>
      <c r="M19" s="393"/>
      <c r="N19" s="393"/>
      <c r="O19" s="394"/>
    </row>
    <row r="20" spans="1:15" customFormat="1" ht="15">
      <c r="A20" s="1024" t="str">
        <f>报表格式!B19</f>
        <v>其他应收款</v>
      </c>
      <c r="B20" s="393">
        <f t="shared" si="0"/>
        <v>0</v>
      </c>
      <c r="C20" s="393">
        <f>母公司TB资产!K20</f>
        <v>0</v>
      </c>
      <c r="D20" s="393"/>
      <c r="E20" s="393"/>
      <c r="F20" s="393"/>
      <c r="G20" s="393"/>
      <c r="H20" s="393"/>
      <c r="I20" s="393"/>
      <c r="J20" s="393"/>
      <c r="K20" s="393"/>
      <c r="L20" s="393"/>
      <c r="M20" s="393"/>
      <c r="N20" s="393"/>
      <c r="O20" s="394"/>
    </row>
    <row r="21" spans="1:15" customFormat="1" ht="15">
      <c r="A21" s="1024" t="str">
        <f>报表格式!B20</f>
        <v xml:space="preserve">  其中：应收利息</v>
      </c>
      <c r="B21" s="393">
        <f t="shared" ref="B21:B24" si="5">SUM(C21:O21)</f>
        <v>0</v>
      </c>
      <c r="C21" s="393">
        <f>母公司TB资产!K21</f>
        <v>0</v>
      </c>
      <c r="D21" s="393"/>
      <c r="E21" s="393"/>
      <c r="F21" s="393"/>
      <c r="G21" s="393"/>
      <c r="H21" s="393"/>
      <c r="I21" s="393"/>
      <c r="J21" s="393"/>
      <c r="K21" s="393"/>
      <c r="L21" s="393"/>
      <c r="M21" s="393"/>
      <c r="N21" s="393"/>
      <c r="O21" s="394"/>
    </row>
    <row r="22" spans="1:15" customFormat="1" ht="15">
      <c r="A22" s="1024" t="str">
        <f>报表格式!B21</f>
        <v xml:space="preserve">        应收股利</v>
      </c>
      <c r="B22" s="393">
        <f t="shared" si="5"/>
        <v>0</v>
      </c>
      <c r="C22" s="393">
        <f>母公司TB资产!K22</f>
        <v>0</v>
      </c>
      <c r="D22" s="393"/>
      <c r="E22" s="393"/>
      <c r="F22" s="393"/>
      <c r="G22" s="393"/>
      <c r="H22" s="393"/>
      <c r="I22" s="393"/>
      <c r="J22" s="393"/>
      <c r="K22" s="393"/>
      <c r="L22" s="393"/>
      <c r="M22" s="393"/>
      <c r="N22" s="393"/>
      <c r="O22" s="394"/>
    </row>
    <row r="23" spans="1:15" customFormat="1" ht="15">
      <c r="A23" s="1024" t="str">
        <f>报表格式!B22</f>
        <v>买入返售金融资产</v>
      </c>
      <c r="B23" s="393">
        <f t="shared" ref="B23" si="6">SUM(C23:O23)</f>
        <v>0</v>
      </c>
      <c r="C23" s="393">
        <f>母公司TB资产!K23</f>
        <v>0</v>
      </c>
      <c r="D23" s="393"/>
      <c r="E23" s="393"/>
      <c r="F23" s="393"/>
      <c r="G23" s="393"/>
      <c r="H23" s="393"/>
      <c r="I23" s="393"/>
      <c r="J23" s="393"/>
      <c r="K23" s="393"/>
      <c r="L23" s="393"/>
      <c r="M23" s="393"/>
      <c r="N23" s="393"/>
      <c r="O23" s="394"/>
    </row>
    <row r="24" spans="1:15" customFormat="1" ht="15">
      <c r="A24" s="1024" t="str">
        <f>报表格式!B23</f>
        <v>存货</v>
      </c>
      <c r="B24" s="393">
        <f t="shared" si="5"/>
        <v>0</v>
      </c>
      <c r="C24" s="393">
        <f>母公司TB资产!K24</f>
        <v>0</v>
      </c>
      <c r="D24" s="393"/>
      <c r="E24" s="393"/>
      <c r="F24" s="393"/>
      <c r="G24" s="393"/>
      <c r="H24" s="393"/>
      <c r="I24" s="393"/>
      <c r="J24" s="393"/>
      <c r="K24" s="393"/>
      <c r="L24" s="393"/>
      <c r="M24" s="393"/>
      <c r="N24" s="393"/>
      <c r="O24" s="394"/>
    </row>
    <row r="25" spans="1:15" customFormat="1" ht="15">
      <c r="A25" s="1024" t="str">
        <f>报表格式!B24</f>
        <v>合同资产</v>
      </c>
      <c r="B25" s="393">
        <f t="shared" si="0"/>
        <v>0</v>
      </c>
      <c r="C25" s="393">
        <f>母公司TB资产!K25</f>
        <v>0</v>
      </c>
      <c r="D25" s="393"/>
      <c r="E25" s="393"/>
      <c r="F25" s="393"/>
      <c r="G25" s="393"/>
      <c r="H25" s="393"/>
      <c r="I25" s="393"/>
      <c r="J25" s="393"/>
      <c r="K25" s="393"/>
      <c r="L25" s="393"/>
      <c r="M25" s="393"/>
      <c r="N25" s="393"/>
      <c r="O25" s="394"/>
    </row>
    <row r="26" spans="1:15" customFormat="1" ht="15">
      <c r="A26" s="1024" t="str">
        <f>报表格式!B25</f>
        <v>持有待售资产</v>
      </c>
      <c r="B26" s="393">
        <f t="shared" si="0"/>
        <v>0</v>
      </c>
      <c r="C26" s="393">
        <f>母公司TB资产!K26</f>
        <v>0</v>
      </c>
      <c r="D26" s="393"/>
      <c r="E26" s="393"/>
      <c r="F26" s="393"/>
      <c r="G26" s="393"/>
      <c r="H26" s="393"/>
      <c r="I26" s="393"/>
      <c r="J26" s="393"/>
      <c r="K26" s="393"/>
      <c r="L26" s="393"/>
      <c r="M26" s="393"/>
      <c r="N26" s="393"/>
      <c r="O26" s="394"/>
    </row>
    <row r="27" spans="1:15" customFormat="1" ht="15">
      <c r="A27" s="1024" t="str">
        <f>报表格式!B26</f>
        <v>一年内到期的非流动资产</v>
      </c>
      <c r="B27" s="393">
        <f t="shared" si="0"/>
        <v>0</v>
      </c>
      <c r="C27" s="393">
        <f>母公司TB资产!K27</f>
        <v>0</v>
      </c>
      <c r="D27" s="393"/>
      <c r="E27" s="393"/>
      <c r="F27" s="393"/>
      <c r="G27" s="393"/>
      <c r="H27" s="393"/>
      <c r="I27" s="393"/>
      <c r="J27" s="393"/>
      <c r="K27" s="393"/>
      <c r="L27" s="393"/>
      <c r="M27" s="393"/>
      <c r="N27" s="393"/>
      <c r="O27" s="394"/>
    </row>
    <row r="28" spans="1:15" customFormat="1" ht="15">
      <c r="A28" s="1024" t="str">
        <f>报表格式!B27</f>
        <v>其他流动资产</v>
      </c>
      <c r="B28" s="393">
        <f t="shared" ref="B28:B31" si="7">SUM(C28:O28)</f>
        <v>0</v>
      </c>
      <c r="C28" s="393">
        <f>母公司TB资产!K28</f>
        <v>0</v>
      </c>
      <c r="D28" s="393"/>
      <c r="E28" s="393"/>
      <c r="F28" s="393"/>
      <c r="G28" s="393"/>
      <c r="H28" s="393"/>
      <c r="I28" s="393"/>
      <c r="J28" s="393"/>
      <c r="K28" s="393"/>
      <c r="L28" s="393"/>
      <c r="M28" s="393"/>
      <c r="N28" s="393"/>
      <c r="O28" s="394"/>
    </row>
    <row r="29" spans="1:15" customFormat="1" ht="15">
      <c r="A29" s="1024">
        <f>报表格式!B28</f>
        <v>0</v>
      </c>
      <c r="B29" s="393">
        <f t="shared" si="7"/>
        <v>0</v>
      </c>
      <c r="C29" s="393">
        <f>母公司TB资产!K29</f>
        <v>0</v>
      </c>
      <c r="D29" s="393"/>
      <c r="E29" s="393"/>
      <c r="F29" s="393"/>
      <c r="G29" s="393"/>
      <c r="H29" s="393"/>
      <c r="I29" s="393"/>
      <c r="J29" s="393"/>
      <c r="K29" s="393"/>
      <c r="L29" s="393"/>
      <c r="M29" s="393"/>
      <c r="N29" s="393"/>
      <c r="O29" s="394"/>
    </row>
    <row r="30" spans="1:15" customFormat="1" ht="15">
      <c r="A30" s="1024">
        <f>报表格式!B29</f>
        <v>0</v>
      </c>
      <c r="B30" s="393">
        <f t="shared" si="7"/>
        <v>0</v>
      </c>
      <c r="C30" s="393">
        <f>母公司TB资产!K30</f>
        <v>0</v>
      </c>
      <c r="D30" s="393"/>
      <c r="E30" s="393"/>
      <c r="F30" s="393"/>
      <c r="G30" s="393"/>
      <c r="H30" s="393"/>
      <c r="I30" s="393"/>
      <c r="J30" s="393"/>
      <c r="K30" s="393"/>
      <c r="L30" s="393"/>
      <c r="M30" s="393"/>
      <c r="N30" s="393"/>
      <c r="O30" s="394"/>
    </row>
    <row r="31" spans="1:15" s="642" customFormat="1" ht="15">
      <c r="A31" s="1025" t="str">
        <f>报表格式!B30</f>
        <v>流动资产合计</v>
      </c>
      <c r="B31" s="399">
        <f t="shared" si="7"/>
        <v>0</v>
      </c>
      <c r="C31" s="399">
        <f t="shared" ref="C31:O31" si="8">SUM(C7:C30)-C21-C22</f>
        <v>0</v>
      </c>
      <c r="D31" s="399">
        <f t="shared" si="8"/>
        <v>0</v>
      </c>
      <c r="E31" s="399">
        <f t="shared" si="8"/>
        <v>0</v>
      </c>
      <c r="F31" s="399">
        <f t="shared" si="8"/>
        <v>0</v>
      </c>
      <c r="G31" s="399">
        <f t="shared" si="8"/>
        <v>0</v>
      </c>
      <c r="H31" s="399">
        <f t="shared" si="8"/>
        <v>0</v>
      </c>
      <c r="I31" s="399">
        <f t="shared" si="8"/>
        <v>0</v>
      </c>
      <c r="J31" s="399">
        <f t="shared" si="8"/>
        <v>0</v>
      </c>
      <c r="K31" s="399">
        <f t="shared" si="8"/>
        <v>0</v>
      </c>
      <c r="L31" s="399">
        <f t="shared" si="8"/>
        <v>0</v>
      </c>
      <c r="M31" s="399">
        <f t="shared" si="8"/>
        <v>0</v>
      </c>
      <c r="N31" s="399">
        <f t="shared" si="8"/>
        <v>0</v>
      </c>
      <c r="O31" s="399">
        <f t="shared" si="8"/>
        <v>0</v>
      </c>
    </row>
    <row r="32" spans="1:15" customFormat="1" ht="15">
      <c r="A32" s="1026" t="str">
        <f>报表格式!B31</f>
        <v>非流动资产:</v>
      </c>
      <c r="B32" s="393"/>
      <c r="C32" s="393"/>
      <c r="D32" s="393"/>
      <c r="E32" s="393"/>
      <c r="F32" s="393"/>
      <c r="G32" s="393"/>
      <c r="H32" s="393"/>
      <c r="I32" s="393"/>
      <c r="J32" s="393"/>
      <c r="K32" s="393"/>
      <c r="L32" s="393"/>
      <c r="M32" s="393"/>
      <c r="N32" s="393"/>
      <c r="O32" s="394"/>
    </row>
    <row r="33" spans="1:15" customFormat="1" ht="15">
      <c r="A33" s="1024" t="str">
        <f>报表格式!B32</f>
        <v>发放贷款及垫款</v>
      </c>
      <c r="B33" s="393">
        <f t="shared" ref="B33" si="9">SUM(C33:O33)</f>
        <v>0</v>
      </c>
      <c r="C33" s="393">
        <f>母公司TB资产!K33</f>
        <v>0</v>
      </c>
      <c r="D33" s="393"/>
      <c r="E33" s="393"/>
      <c r="F33" s="393"/>
      <c r="G33" s="393"/>
      <c r="H33" s="393"/>
      <c r="I33" s="393"/>
      <c r="J33" s="393"/>
      <c r="K33" s="393"/>
      <c r="L33" s="393"/>
      <c r="M33" s="393"/>
      <c r="N33" s="393"/>
      <c r="O33" s="394"/>
    </row>
    <row r="34" spans="1:15" customFormat="1" ht="15">
      <c r="A34" s="1024" t="str">
        <f>报表格式!B33</f>
        <v>债权投资</v>
      </c>
      <c r="B34" s="393">
        <f t="shared" si="0"/>
        <v>0</v>
      </c>
      <c r="C34" s="393">
        <f>母公司TB资产!K34</f>
        <v>0</v>
      </c>
      <c r="D34" s="393"/>
      <c r="E34" s="393"/>
      <c r="F34" s="393"/>
      <c r="G34" s="393"/>
      <c r="H34" s="393"/>
      <c r="I34" s="393"/>
      <c r="J34" s="393"/>
      <c r="K34" s="393"/>
      <c r="L34" s="393"/>
      <c r="M34" s="393"/>
      <c r="N34" s="393"/>
      <c r="O34" s="394"/>
    </row>
    <row r="35" spans="1:15" customFormat="1" ht="15">
      <c r="A35" s="1024" t="str">
        <f>报表格式!B34</f>
        <v>可供出售金融资产</v>
      </c>
      <c r="B35" s="393">
        <f t="shared" ref="B35:B37" si="10">SUM(C35:O35)</f>
        <v>0</v>
      </c>
      <c r="C35" s="393">
        <f>母公司TB资产!K35</f>
        <v>0</v>
      </c>
      <c r="D35" s="393"/>
      <c r="E35" s="393"/>
      <c r="F35" s="393"/>
      <c r="G35" s="393"/>
      <c r="H35" s="393"/>
      <c r="I35" s="393"/>
      <c r="J35" s="393"/>
      <c r="K35" s="393"/>
      <c r="L35" s="393"/>
      <c r="M35" s="393"/>
      <c r="N35" s="393"/>
      <c r="O35" s="394"/>
    </row>
    <row r="36" spans="1:15" customFormat="1" ht="15">
      <c r="A36" s="1024" t="str">
        <f>报表格式!B35</f>
        <v>其他债权投资</v>
      </c>
      <c r="B36" s="393">
        <f t="shared" si="10"/>
        <v>0</v>
      </c>
      <c r="C36" s="393">
        <f>母公司TB资产!K36</f>
        <v>0</v>
      </c>
      <c r="D36" s="393"/>
      <c r="E36" s="393"/>
      <c r="F36" s="393"/>
      <c r="G36" s="393"/>
      <c r="H36" s="393"/>
      <c r="I36" s="393"/>
      <c r="J36" s="393"/>
      <c r="K36" s="393"/>
      <c r="L36" s="393"/>
      <c r="M36" s="393"/>
      <c r="N36" s="393"/>
      <c r="O36" s="394"/>
    </row>
    <row r="37" spans="1:15" customFormat="1" ht="15">
      <c r="A37" s="1024" t="str">
        <f>报表格式!B36</f>
        <v>持有至到期投资</v>
      </c>
      <c r="B37" s="393">
        <f t="shared" si="10"/>
        <v>0</v>
      </c>
      <c r="C37" s="393">
        <f>母公司TB资产!K37</f>
        <v>0</v>
      </c>
      <c r="D37" s="393"/>
      <c r="E37" s="393"/>
      <c r="F37" s="393"/>
      <c r="G37" s="393"/>
      <c r="H37" s="393"/>
      <c r="I37" s="393"/>
      <c r="J37" s="393"/>
      <c r="K37" s="393"/>
      <c r="L37" s="393"/>
      <c r="M37" s="393"/>
      <c r="N37" s="393"/>
      <c r="O37" s="394"/>
    </row>
    <row r="38" spans="1:15" customFormat="1" ht="15">
      <c r="A38" s="1024" t="str">
        <f>报表格式!B37</f>
        <v>长期应收款</v>
      </c>
      <c r="B38" s="393">
        <f t="shared" si="0"/>
        <v>0</v>
      </c>
      <c r="C38" s="393">
        <f>母公司TB资产!K38</f>
        <v>0</v>
      </c>
      <c r="D38" s="393"/>
      <c r="E38" s="393"/>
      <c r="F38" s="393"/>
      <c r="G38" s="393"/>
      <c r="H38" s="393"/>
      <c r="I38" s="393"/>
      <c r="J38" s="393"/>
      <c r="K38" s="393"/>
      <c r="L38" s="393"/>
      <c r="M38" s="393"/>
      <c r="N38" s="393"/>
      <c r="O38" s="394"/>
    </row>
    <row r="39" spans="1:15" customFormat="1" ht="15">
      <c r="A39" s="1024" t="str">
        <f>报表格式!B38</f>
        <v>设定受益计划净资产</v>
      </c>
      <c r="B39" s="393">
        <f>SUM(C39:O39)</f>
        <v>0</v>
      </c>
      <c r="C39" s="393">
        <f>母公司TB资产!K39</f>
        <v>0</v>
      </c>
      <c r="D39" s="393"/>
      <c r="E39" s="393"/>
      <c r="F39" s="393"/>
      <c r="G39" s="393"/>
      <c r="H39" s="393"/>
      <c r="I39" s="393"/>
      <c r="J39" s="393"/>
      <c r="K39" s="393"/>
      <c r="L39" s="393"/>
      <c r="M39" s="393"/>
      <c r="N39" s="393"/>
      <c r="O39" s="394"/>
    </row>
    <row r="40" spans="1:15" customFormat="1" ht="15">
      <c r="A40" s="1024" t="str">
        <f>报表格式!B39</f>
        <v>长期股权投资</v>
      </c>
      <c r="B40" s="393">
        <f t="shared" si="0"/>
        <v>0</v>
      </c>
      <c r="C40" s="393">
        <f>母公司TB资产!K40</f>
        <v>0</v>
      </c>
      <c r="D40" s="393"/>
      <c r="E40" s="393"/>
      <c r="F40" s="393"/>
      <c r="G40" s="393"/>
      <c r="H40" s="393"/>
      <c r="I40" s="393"/>
      <c r="J40" s="393"/>
      <c r="K40" s="393"/>
      <c r="L40" s="393"/>
      <c r="M40" s="393"/>
      <c r="N40" s="393"/>
      <c r="O40" s="394"/>
    </row>
    <row r="41" spans="1:15" customFormat="1" ht="15">
      <c r="A41" s="1024" t="str">
        <f>报表格式!B40</f>
        <v>其他权益工具投资</v>
      </c>
      <c r="B41" s="393">
        <f t="shared" si="0"/>
        <v>0</v>
      </c>
      <c r="C41" s="393">
        <f>母公司TB资产!K41</f>
        <v>0</v>
      </c>
      <c r="D41" s="393"/>
      <c r="E41" s="393"/>
      <c r="F41" s="393"/>
      <c r="G41" s="393"/>
      <c r="H41" s="393"/>
      <c r="I41" s="393"/>
      <c r="J41" s="393"/>
      <c r="K41" s="393"/>
      <c r="L41" s="393"/>
      <c r="M41" s="393"/>
      <c r="N41" s="393"/>
      <c r="O41" s="394"/>
    </row>
    <row r="42" spans="1:15" customFormat="1" ht="15">
      <c r="A42" s="1024" t="str">
        <f>报表格式!B41</f>
        <v>其他非流动金融资产</v>
      </c>
      <c r="B42" s="393">
        <f t="shared" si="0"/>
        <v>0</v>
      </c>
      <c r="C42" s="393">
        <f>母公司TB资产!K42</f>
        <v>0</v>
      </c>
      <c r="D42" s="393"/>
      <c r="E42" s="393"/>
      <c r="F42" s="393"/>
      <c r="G42" s="393"/>
      <c r="H42" s="393"/>
      <c r="I42" s="393"/>
      <c r="J42" s="393"/>
      <c r="K42" s="393"/>
      <c r="L42" s="393"/>
      <c r="M42" s="393"/>
      <c r="N42" s="393"/>
      <c r="O42" s="394"/>
    </row>
    <row r="43" spans="1:15" customFormat="1" ht="15">
      <c r="A43" s="1024" t="str">
        <f>报表格式!B42</f>
        <v>投资性房地产</v>
      </c>
      <c r="B43" s="393">
        <f t="shared" si="0"/>
        <v>0</v>
      </c>
      <c r="C43" s="393">
        <f>母公司TB资产!K43</f>
        <v>0</v>
      </c>
      <c r="D43" s="393"/>
      <c r="E43" s="393"/>
      <c r="F43" s="393"/>
      <c r="G43" s="393"/>
      <c r="H43" s="393"/>
      <c r="I43" s="393"/>
      <c r="J43" s="393"/>
      <c r="K43" s="393"/>
      <c r="L43" s="393"/>
      <c r="M43" s="393"/>
      <c r="N43" s="393"/>
      <c r="O43" s="394"/>
    </row>
    <row r="44" spans="1:15" customFormat="1" ht="15">
      <c r="A44" s="1024" t="str">
        <f>报表格式!B43</f>
        <v>固定资产</v>
      </c>
      <c r="B44" s="393">
        <f t="shared" si="0"/>
        <v>0</v>
      </c>
      <c r="C44" s="393">
        <f>母公司TB资产!K44</f>
        <v>0</v>
      </c>
      <c r="D44" s="393"/>
      <c r="E44" s="393"/>
      <c r="F44" s="393"/>
      <c r="G44" s="393"/>
      <c r="H44" s="393"/>
      <c r="I44" s="393"/>
      <c r="J44" s="393"/>
      <c r="K44" s="393"/>
      <c r="L44" s="393"/>
      <c r="M44" s="393"/>
      <c r="N44" s="393"/>
      <c r="O44" s="394"/>
    </row>
    <row r="45" spans="1:15" customFormat="1" ht="15">
      <c r="A45" s="1024" t="str">
        <f>报表格式!B44</f>
        <v>在建工程</v>
      </c>
      <c r="B45" s="393">
        <f t="shared" si="0"/>
        <v>0</v>
      </c>
      <c r="C45" s="393">
        <f>母公司TB资产!K45</f>
        <v>0</v>
      </c>
      <c r="D45" s="393"/>
      <c r="E45" s="393"/>
      <c r="F45" s="393"/>
      <c r="G45" s="393"/>
      <c r="H45" s="393"/>
      <c r="I45" s="393"/>
      <c r="J45" s="393"/>
      <c r="K45" s="393"/>
      <c r="L45" s="393"/>
      <c r="M45" s="393"/>
      <c r="N45" s="393"/>
      <c r="O45" s="394"/>
    </row>
    <row r="46" spans="1:15" customFormat="1" ht="15">
      <c r="A46" s="1024" t="str">
        <f>报表格式!B45</f>
        <v xml:space="preserve">生产性生物资产 </v>
      </c>
      <c r="B46" s="393">
        <f t="shared" si="0"/>
        <v>0</v>
      </c>
      <c r="C46" s="393">
        <f>母公司TB资产!K46</f>
        <v>0</v>
      </c>
      <c r="D46" s="393"/>
      <c r="E46" s="393"/>
      <c r="F46" s="393"/>
      <c r="G46" s="393"/>
      <c r="H46" s="393"/>
      <c r="I46" s="393"/>
      <c r="J46" s="393"/>
      <c r="K46" s="393"/>
      <c r="L46" s="393"/>
      <c r="M46" s="393"/>
      <c r="N46" s="393"/>
      <c r="O46" s="394"/>
    </row>
    <row r="47" spans="1:15" customFormat="1" ht="15">
      <c r="A47" s="1024" t="str">
        <f>报表格式!B46</f>
        <v>油气资产</v>
      </c>
      <c r="B47" s="393">
        <f t="shared" si="0"/>
        <v>0</v>
      </c>
      <c r="C47" s="393">
        <f>母公司TB资产!K47</f>
        <v>0</v>
      </c>
      <c r="D47" s="393"/>
      <c r="E47" s="393"/>
      <c r="F47" s="393"/>
      <c r="G47" s="393"/>
      <c r="H47" s="393"/>
      <c r="I47" s="393"/>
      <c r="J47" s="393"/>
      <c r="K47" s="393"/>
      <c r="L47" s="393"/>
      <c r="M47" s="393"/>
      <c r="N47" s="393"/>
      <c r="O47" s="394"/>
    </row>
    <row r="48" spans="1:15" customFormat="1" ht="15">
      <c r="A48" s="1024" t="str">
        <f>报表格式!B47</f>
        <v>使用权资产</v>
      </c>
      <c r="B48" s="393">
        <f t="shared" si="0"/>
        <v>0</v>
      </c>
      <c r="C48" s="393">
        <f>母公司TB资产!K48</f>
        <v>0</v>
      </c>
      <c r="D48" s="393"/>
      <c r="E48" s="393"/>
      <c r="F48" s="393"/>
      <c r="G48" s="393"/>
      <c r="H48" s="393"/>
      <c r="I48" s="393"/>
      <c r="J48" s="393"/>
      <c r="K48" s="393"/>
      <c r="L48" s="393"/>
      <c r="M48" s="393"/>
      <c r="N48" s="393"/>
      <c r="O48" s="394"/>
    </row>
    <row r="49" spans="1:15" customFormat="1" ht="15">
      <c r="A49" s="1024" t="str">
        <f>报表格式!B48</f>
        <v>无形资产</v>
      </c>
      <c r="B49" s="393">
        <f t="shared" si="0"/>
        <v>0</v>
      </c>
      <c r="C49" s="393">
        <f>母公司TB资产!K49</f>
        <v>0</v>
      </c>
      <c r="D49" s="393"/>
      <c r="E49" s="393"/>
      <c r="F49" s="393"/>
      <c r="G49" s="393"/>
      <c r="H49" s="393"/>
      <c r="I49" s="393"/>
      <c r="J49" s="393"/>
      <c r="K49" s="393"/>
      <c r="L49" s="393"/>
      <c r="M49" s="393"/>
      <c r="N49" s="393"/>
      <c r="O49" s="394"/>
    </row>
    <row r="50" spans="1:15" customFormat="1" ht="15">
      <c r="A50" s="1024" t="str">
        <f>报表格式!B49</f>
        <v>开发支出</v>
      </c>
      <c r="B50" s="393">
        <f t="shared" si="0"/>
        <v>0</v>
      </c>
      <c r="C50" s="393">
        <f>母公司TB资产!K50</f>
        <v>0</v>
      </c>
      <c r="D50" s="393"/>
      <c r="E50" s="393"/>
      <c r="F50" s="393"/>
      <c r="G50" s="393"/>
      <c r="H50" s="393"/>
      <c r="I50" s="393"/>
      <c r="J50" s="393"/>
      <c r="K50" s="393"/>
      <c r="L50" s="393"/>
      <c r="M50" s="393"/>
      <c r="N50" s="393"/>
      <c r="O50" s="394"/>
    </row>
    <row r="51" spans="1:15" customFormat="1" ht="15">
      <c r="A51" s="1024" t="str">
        <f>报表格式!B50</f>
        <v>商誉</v>
      </c>
      <c r="B51" s="393">
        <f t="shared" si="0"/>
        <v>0</v>
      </c>
      <c r="C51" s="393">
        <f>母公司TB资产!K51</f>
        <v>0</v>
      </c>
      <c r="D51" s="393"/>
      <c r="E51" s="393"/>
      <c r="F51" s="393"/>
      <c r="G51" s="393"/>
      <c r="H51" s="393"/>
      <c r="I51" s="393"/>
      <c r="J51" s="393"/>
      <c r="K51" s="393"/>
      <c r="L51" s="393"/>
      <c r="M51" s="393"/>
      <c r="N51" s="393"/>
      <c r="O51" s="394"/>
    </row>
    <row r="52" spans="1:15" customFormat="1" ht="15">
      <c r="A52" s="1024" t="str">
        <f>报表格式!B51</f>
        <v>长期待摊费用</v>
      </c>
      <c r="B52" s="393">
        <f t="shared" ref="B52:B59" si="11">SUM(C52:O52)</f>
        <v>0</v>
      </c>
      <c r="C52" s="393">
        <f>母公司TB资产!K52</f>
        <v>0</v>
      </c>
      <c r="D52" s="393"/>
      <c r="E52" s="393"/>
      <c r="F52" s="393"/>
      <c r="G52" s="393"/>
      <c r="H52" s="393"/>
      <c r="I52" s="393"/>
      <c r="J52" s="393"/>
      <c r="K52" s="393"/>
      <c r="L52" s="393"/>
      <c r="M52" s="393"/>
      <c r="N52" s="393"/>
      <c r="O52" s="394"/>
    </row>
    <row r="53" spans="1:15" customFormat="1" ht="15">
      <c r="A53" s="1024" t="str">
        <f>报表格式!B52</f>
        <v>递延所得税资产</v>
      </c>
      <c r="B53" s="393">
        <f t="shared" si="11"/>
        <v>0</v>
      </c>
      <c r="C53" s="393">
        <f>母公司TB资产!K53</f>
        <v>0</v>
      </c>
      <c r="D53" s="393"/>
      <c r="E53" s="393"/>
      <c r="F53" s="393"/>
      <c r="G53" s="393"/>
      <c r="H53" s="393"/>
      <c r="I53" s="393"/>
      <c r="J53" s="393"/>
      <c r="K53" s="393"/>
      <c r="L53" s="393"/>
      <c r="M53" s="393"/>
      <c r="N53" s="393"/>
      <c r="O53" s="394"/>
    </row>
    <row r="54" spans="1:15" customFormat="1" ht="15">
      <c r="A54" s="1024" t="str">
        <f>报表格式!B53</f>
        <v>其他非流动资产</v>
      </c>
      <c r="B54" s="393">
        <f t="shared" si="11"/>
        <v>0</v>
      </c>
      <c r="C54" s="393">
        <f>母公司TB资产!K54</f>
        <v>0</v>
      </c>
      <c r="D54" s="393"/>
      <c r="E54" s="393"/>
      <c r="F54" s="393"/>
      <c r="G54" s="393"/>
      <c r="H54" s="393"/>
      <c r="I54" s="393"/>
      <c r="J54" s="393"/>
      <c r="K54" s="393"/>
      <c r="L54" s="393"/>
      <c r="M54" s="393"/>
      <c r="N54" s="393"/>
      <c r="O54" s="394"/>
    </row>
    <row r="55" spans="1:15" customFormat="1" ht="15">
      <c r="A55" s="1024">
        <f>报表格式!B54</f>
        <v>0</v>
      </c>
      <c r="B55" s="393">
        <f t="shared" si="11"/>
        <v>0</v>
      </c>
      <c r="C55" s="393">
        <f>母公司TB资产!K55</f>
        <v>0</v>
      </c>
      <c r="D55" s="393"/>
      <c r="E55" s="393"/>
      <c r="F55" s="393"/>
      <c r="G55" s="393"/>
      <c r="H55" s="393"/>
      <c r="I55" s="393"/>
      <c r="J55" s="393"/>
      <c r="K55" s="393"/>
      <c r="L55" s="393"/>
      <c r="M55" s="393"/>
      <c r="N55" s="393"/>
      <c r="O55" s="394"/>
    </row>
    <row r="56" spans="1:15" customFormat="1" ht="15">
      <c r="A56" s="1024">
        <f>报表格式!B55</f>
        <v>0</v>
      </c>
      <c r="B56" s="393">
        <f t="shared" si="11"/>
        <v>0</v>
      </c>
      <c r="C56" s="393">
        <f>母公司TB资产!K56</f>
        <v>0</v>
      </c>
      <c r="D56" s="393"/>
      <c r="E56" s="393"/>
      <c r="F56" s="393"/>
      <c r="G56" s="393"/>
      <c r="H56" s="393"/>
      <c r="I56" s="393"/>
      <c r="J56" s="393"/>
      <c r="K56" s="393"/>
      <c r="L56" s="393"/>
      <c r="M56" s="393"/>
      <c r="N56" s="393"/>
      <c r="O56" s="394"/>
    </row>
    <row r="57" spans="1:15" customFormat="1" ht="15">
      <c r="A57" s="1024">
        <f>报表格式!B56</f>
        <v>0</v>
      </c>
      <c r="B57" s="393">
        <f t="shared" si="11"/>
        <v>0</v>
      </c>
      <c r="C57" s="393">
        <f>母公司TB资产!K57</f>
        <v>0</v>
      </c>
      <c r="D57" s="393"/>
      <c r="E57" s="393"/>
      <c r="F57" s="393"/>
      <c r="G57" s="393"/>
      <c r="H57" s="393"/>
      <c r="I57" s="393"/>
      <c r="J57" s="393"/>
      <c r="K57" s="393"/>
      <c r="L57" s="393"/>
      <c r="M57" s="393"/>
      <c r="N57" s="393"/>
      <c r="O57" s="394"/>
    </row>
    <row r="58" spans="1:15" s="642" customFormat="1" ht="15">
      <c r="A58" s="1027" t="str">
        <f>报表格式!B57</f>
        <v>非流动资产合计</v>
      </c>
      <c r="B58" s="505">
        <f t="shared" si="11"/>
        <v>0</v>
      </c>
      <c r="C58" s="505">
        <f>SUM(C33:C57)</f>
        <v>0</v>
      </c>
      <c r="D58" s="505">
        <f t="shared" ref="D58:O58" si="12">SUM(D33:D57)</f>
        <v>0</v>
      </c>
      <c r="E58" s="505">
        <f t="shared" si="12"/>
        <v>0</v>
      </c>
      <c r="F58" s="505">
        <f t="shared" si="12"/>
        <v>0</v>
      </c>
      <c r="G58" s="505">
        <f t="shared" si="12"/>
        <v>0</v>
      </c>
      <c r="H58" s="505">
        <f t="shared" si="12"/>
        <v>0</v>
      </c>
      <c r="I58" s="505">
        <f t="shared" si="12"/>
        <v>0</v>
      </c>
      <c r="J58" s="505">
        <f t="shared" si="12"/>
        <v>0</v>
      </c>
      <c r="K58" s="505">
        <f t="shared" si="12"/>
        <v>0</v>
      </c>
      <c r="L58" s="505">
        <f t="shared" si="12"/>
        <v>0</v>
      </c>
      <c r="M58" s="505">
        <f t="shared" si="12"/>
        <v>0</v>
      </c>
      <c r="N58" s="505">
        <f t="shared" si="12"/>
        <v>0</v>
      </c>
      <c r="O58" s="505">
        <f t="shared" si="12"/>
        <v>0</v>
      </c>
    </row>
    <row r="59" spans="1:15" customFormat="1" ht="15">
      <c r="A59" s="1028" t="str">
        <f>报表格式!B58</f>
        <v>资 产 总 计</v>
      </c>
      <c r="B59" s="505">
        <f t="shared" si="11"/>
        <v>0</v>
      </c>
      <c r="C59" s="410">
        <f>SUM(C31,C58)</f>
        <v>0</v>
      </c>
      <c r="D59" s="410">
        <f t="shared" ref="D59:O59" si="13">SUM(D31,D58)</f>
        <v>0</v>
      </c>
      <c r="E59" s="410">
        <f t="shared" si="13"/>
        <v>0</v>
      </c>
      <c r="F59" s="410">
        <f t="shared" si="13"/>
        <v>0</v>
      </c>
      <c r="G59" s="410">
        <f t="shared" si="13"/>
        <v>0</v>
      </c>
      <c r="H59" s="410">
        <f t="shared" si="13"/>
        <v>0</v>
      </c>
      <c r="I59" s="410">
        <f t="shared" si="13"/>
        <v>0</v>
      </c>
      <c r="J59" s="410">
        <f t="shared" si="13"/>
        <v>0</v>
      </c>
      <c r="K59" s="410">
        <f t="shared" si="13"/>
        <v>0</v>
      </c>
      <c r="L59" s="410">
        <f t="shared" si="13"/>
        <v>0</v>
      </c>
      <c r="M59" s="410">
        <f t="shared" si="13"/>
        <v>0</v>
      </c>
      <c r="N59" s="410">
        <f t="shared" si="13"/>
        <v>0</v>
      </c>
      <c r="O59" s="411">
        <f t="shared" si="13"/>
        <v>0</v>
      </c>
    </row>
    <row r="60" spans="1:15" customFormat="1" ht="15">
      <c r="A60" s="1003"/>
      <c r="B60" s="383"/>
      <c r="C60" s="383"/>
      <c r="D60" s="383"/>
      <c r="E60" s="383"/>
      <c r="F60" s="383"/>
      <c r="G60" s="383"/>
      <c r="H60" s="383"/>
      <c r="I60" s="383"/>
      <c r="J60" s="383"/>
      <c r="K60" s="383"/>
      <c r="L60" s="383"/>
      <c r="M60" s="383"/>
      <c r="N60" s="383"/>
      <c r="O60" s="435"/>
    </row>
    <row r="61" spans="1:15" customFormat="1" ht="15">
      <c r="A61" s="1023" t="str">
        <f>报表格式!G5</f>
        <v>流动负债：</v>
      </c>
      <c r="B61" s="414"/>
      <c r="C61" s="414"/>
      <c r="D61" s="414"/>
      <c r="E61" s="414"/>
      <c r="F61" s="414"/>
      <c r="G61" s="414"/>
      <c r="H61" s="414"/>
      <c r="I61" s="414"/>
      <c r="J61" s="414"/>
      <c r="K61" s="414"/>
      <c r="L61" s="414"/>
      <c r="M61" s="414"/>
      <c r="N61" s="414"/>
      <c r="O61" s="415"/>
    </row>
    <row r="62" spans="1:15" customFormat="1" ht="15">
      <c r="A62" s="1024" t="str">
        <f>报表格式!G6</f>
        <v>短期借款</v>
      </c>
      <c r="B62" s="393">
        <f t="shared" si="0"/>
        <v>0</v>
      </c>
      <c r="C62" s="393">
        <f>母公司TB负债!K7</f>
        <v>0</v>
      </c>
      <c r="D62" s="393"/>
      <c r="E62" s="393"/>
      <c r="F62" s="393"/>
      <c r="G62" s="393"/>
      <c r="H62" s="393"/>
      <c r="I62" s="393"/>
      <c r="J62" s="393"/>
      <c r="K62" s="393"/>
      <c r="L62" s="393"/>
      <c r="M62" s="393"/>
      <c r="N62" s="393"/>
      <c r="O62" s="394"/>
    </row>
    <row r="63" spans="1:15" customFormat="1" ht="15">
      <c r="A63" s="1024" t="str">
        <f>报表格式!G7</f>
        <v>向中央银行借款</v>
      </c>
      <c r="B63" s="393">
        <f t="shared" ref="B63:B65" si="14">SUM(C63:O63)</f>
        <v>0</v>
      </c>
      <c r="C63" s="393"/>
      <c r="D63" s="393"/>
      <c r="E63" s="393"/>
      <c r="F63" s="393"/>
      <c r="G63" s="393"/>
      <c r="H63" s="393"/>
      <c r="I63" s="393"/>
      <c r="J63" s="393"/>
      <c r="K63" s="393"/>
      <c r="L63" s="393"/>
      <c r="M63" s="393"/>
      <c r="N63" s="393"/>
      <c r="O63" s="394"/>
    </row>
    <row r="64" spans="1:15" customFormat="1" ht="15">
      <c r="A64" s="1024" t="str">
        <f>报表格式!G8</f>
        <v>吸收存款及同业存放</v>
      </c>
      <c r="B64" s="393">
        <f t="shared" si="14"/>
        <v>0</v>
      </c>
      <c r="C64" s="393"/>
      <c r="D64" s="393"/>
      <c r="E64" s="393"/>
      <c r="F64" s="393"/>
      <c r="G64" s="393"/>
      <c r="H64" s="393"/>
      <c r="I64" s="393"/>
      <c r="J64" s="393"/>
      <c r="K64" s="393"/>
      <c r="L64" s="393"/>
      <c r="M64" s="393"/>
      <c r="N64" s="393"/>
      <c r="O64" s="394"/>
    </row>
    <row r="65" spans="1:15" customFormat="1" ht="15">
      <c r="A65" s="1024" t="str">
        <f>报表格式!G9</f>
        <v>拆入资金</v>
      </c>
      <c r="B65" s="393">
        <f t="shared" si="14"/>
        <v>0</v>
      </c>
      <c r="C65" s="393"/>
      <c r="D65" s="393"/>
      <c r="E65" s="393"/>
      <c r="F65" s="393"/>
      <c r="G65" s="393"/>
      <c r="H65" s="393"/>
      <c r="I65" s="393"/>
      <c r="J65" s="393"/>
      <c r="K65" s="393"/>
      <c r="L65" s="393"/>
      <c r="M65" s="393"/>
      <c r="N65" s="393"/>
      <c r="O65" s="394"/>
    </row>
    <row r="66" spans="1:15" customFormat="1" ht="15">
      <c r="A66" s="1024" t="str">
        <f>报表格式!G10</f>
        <v>交易性金融负债</v>
      </c>
      <c r="B66" s="393">
        <f t="shared" si="0"/>
        <v>0</v>
      </c>
      <c r="C66" s="393">
        <f>母公司TB负债!K11</f>
        <v>0</v>
      </c>
      <c r="D66" s="393"/>
      <c r="E66" s="393"/>
      <c r="F66" s="393"/>
      <c r="G66" s="393"/>
      <c r="H66" s="393"/>
      <c r="I66" s="393"/>
      <c r="J66" s="393"/>
      <c r="K66" s="393"/>
      <c r="L66" s="393"/>
      <c r="M66" s="393"/>
      <c r="N66" s="393"/>
      <c r="O66" s="394"/>
    </row>
    <row r="67" spans="1:15" customFormat="1" ht="15">
      <c r="A67" s="1024" t="str">
        <f>报表格式!G11</f>
        <v>以公允价值计量且其变动计入当期损益的金融负债</v>
      </c>
      <c r="B67" s="393">
        <f t="shared" ref="B67" si="15">SUM(C67:O67)</f>
        <v>0</v>
      </c>
      <c r="C67" s="393">
        <f>母公司TB负债!K12</f>
        <v>0</v>
      </c>
      <c r="D67" s="393"/>
      <c r="E67" s="393"/>
      <c r="F67" s="393"/>
      <c r="G67" s="393"/>
      <c r="H67" s="393"/>
      <c r="I67" s="393"/>
      <c r="J67" s="393"/>
      <c r="K67" s="393"/>
      <c r="L67" s="393"/>
      <c r="M67" s="393"/>
      <c r="N67" s="393"/>
      <c r="O67" s="394"/>
    </row>
    <row r="68" spans="1:15" customFormat="1" ht="15">
      <c r="A68" s="1024" t="str">
        <f>报表格式!G12</f>
        <v>衍生金融负债</v>
      </c>
      <c r="B68" s="393">
        <f>SUM(C68:O68)</f>
        <v>0</v>
      </c>
      <c r="C68" s="393">
        <f>母公司TB负债!K13</f>
        <v>0</v>
      </c>
      <c r="D68" s="393"/>
      <c r="E68" s="393"/>
      <c r="F68" s="393"/>
      <c r="G68" s="393"/>
      <c r="H68" s="393"/>
      <c r="I68" s="393"/>
      <c r="J68" s="393"/>
      <c r="K68" s="393"/>
      <c r="L68" s="393"/>
      <c r="M68" s="393"/>
      <c r="N68" s="393"/>
      <c r="O68" s="394"/>
    </row>
    <row r="69" spans="1:15" customFormat="1" ht="15">
      <c r="A69" s="1024" t="str">
        <f>报表格式!G13</f>
        <v>应付票据</v>
      </c>
      <c r="B69" s="393">
        <f t="shared" si="0"/>
        <v>0</v>
      </c>
      <c r="C69" s="393">
        <f>母公司TB负债!K14</f>
        <v>0</v>
      </c>
      <c r="D69" s="393"/>
      <c r="E69" s="393"/>
      <c r="F69" s="393"/>
      <c r="G69" s="393"/>
      <c r="H69" s="393"/>
      <c r="I69" s="393"/>
      <c r="J69" s="393"/>
      <c r="K69" s="393"/>
      <c r="L69" s="393"/>
      <c r="M69" s="393"/>
      <c r="N69" s="393"/>
      <c r="O69" s="394"/>
    </row>
    <row r="70" spans="1:15" customFormat="1" ht="15">
      <c r="A70" s="1024" t="str">
        <f>报表格式!G14</f>
        <v>应付账款</v>
      </c>
      <c r="B70" s="393">
        <f t="shared" ref="B70" si="16">SUM(C70:O70)</f>
        <v>0</v>
      </c>
      <c r="C70" s="393">
        <f>母公司TB负债!K15</f>
        <v>0</v>
      </c>
      <c r="D70" s="393"/>
      <c r="E70" s="393"/>
      <c r="F70" s="393"/>
      <c r="G70" s="393"/>
      <c r="H70" s="393"/>
      <c r="I70" s="393"/>
      <c r="J70" s="393"/>
      <c r="K70" s="393"/>
      <c r="L70" s="393"/>
      <c r="M70" s="393"/>
      <c r="N70" s="393"/>
      <c r="O70" s="394"/>
    </row>
    <row r="71" spans="1:15" customFormat="1" ht="15">
      <c r="A71" s="1024" t="str">
        <f>报表格式!G15</f>
        <v>预收款项</v>
      </c>
      <c r="B71" s="393">
        <f t="shared" si="0"/>
        <v>0</v>
      </c>
      <c r="C71" s="393">
        <f>母公司TB负债!K16</f>
        <v>0</v>
      </c>
      <c r="D71" s="393"/>
      <c r="E71" s="393"/>
      <c r="F71" s="393"/>
      <c r="G71" s="393"/>
      <c r="H71" s="393"/>
      <c r="I71" s="393"/>
      <c r="J71" s="393"/>
      <c r="K71" s="393"/>
      <c r="L71" s="393"/>
      <c r="M71" s="393"/>
      <c r="N71" s="393"/>
      <c r="O71" s="394"/>
    </row>
    <row r="72" spans="1:15" customFormat="1" ht="15">
      <c r="A72" s="1024" t="str">
        <f>报表格式!G16</f>
        <v>卖出回购金融资产款</v>
      </c>
      <c r="B72" s="393">
        <f t="shared" ref="B72:B73" si="17">SUM(C72:O72)</f>
        <v>0</v>
      </c>
      <c r="C72" s="393">
        <f>母公司TB负债!K17</f>
        <v>0</v>
      </c>
      <c r="D72" s="393"/>
      <c r="E72" s="393"/>
      <c r="F72" s="393"/>
      <c r="G72" s="393"/>
      <c r="H72" s="393"/>
      <c r="I72" s="393"/>
      <c r="J72" s="393"/>
      <c r="K72" s="393"/>
      <c r="L72" s="393"/>
      <c r="M72" s="393"/>
      <c r="N72" s="393"/>
      <c r="O72" s="394"/>
    </row>
    <row r="73" spans="1:15" customFormat="1" ht="15">
      <c r="A73" s="1024" t="str">
        <f>报表格式!G17</f>
        <v>应付手续费及佣金</v>
      </c>
      <c r="B73" s="393">
        <f t="shared" si="17"/>
        <v>0</v>
      </c>
      <c r="C73" s="393">
        <f>母公司TB负债!K18</f>
        <v>0</v>
      </c>
      <c r="D73" s="393"/>
      <c r="E73" s="393"/>
      <c r="F73" s="393"/>
      <c r="G73" s="393"/>
      <c r="H73" s="393"/>
      <c r="I73" s="393"/>
      <c r="J73" s="393"/>
      <c r="K73" s="393"/>
      <c r="L73" s="393"/>
      <c r="M73" s="393"/>
      <c r="N73" s="393"/>
      <c r="O73" s="394"/>
    </row>
    <row r="74" spans="1:15" customFormat="1" ht="15">
      <c r="A74" s="1024" t="str">
        <f>报表格式!G18</f>
        <v>合同负债</v>
      </c>
      <c r="B74" s="393">
        <f t="shared" si="0"/>
        <v>0</v>
      </c>
      <c r="C74" s="393">
        <f>母公司TB负债!K19</f>
        <v>0</v>
      </c>
      <c r="D74" s="393"/>
      <c r="E74" s="393"/>
      <c r="F74" s="393"/>
      <c r="G74" s="393"/>
      <c r="H74" s="393"/>
      <c r="I74" s="393"/>
      <c r="J74" s="393"/>
      <c r="K74" s="393"/>
      <c r="L74" s="393"/>
      <c r="M74" s="393"/>
      <c r="N74" s="393"/>
      <c r="O74" s="394"/>
    </row>
    <row r="75" spans="1:15" customFormat="1" ht="15">
      <c r="A75" s="1024" t="str">
        <f>报表格式!G19</f>
        <v>应付职工薪酬</v>
      </c>
      <c r="B75" s="393">
        <f t="shared" si="0"/>
        <v>0</v>
      </c>
      <c r="C75" s="393">
        <f>母公司TB负债!K20</f>
        <v>0</v>
      </c>
      <c r="D75" s="393"/>
      <c r="E75" s="393"/>
      <c r="F75" s="393"/>
      <c r="G75" s="393"/>
      <c r="H75" s="393"/>
      <c r="I75" s="393"/>
      <c r="J75" s="393"/>
      <c r="K75" s="393"/>
      <c r="L75" s="393"/>
      <c r="M75" s="393"/>
      <c r="N75" s="393"/>
      <c r="O75" s="394"/>
    </row>
    <row r="76" spans="1:15" customFormat="1" ht="15">
      <c r="A76" s="1024" t="str">
        <f>报表格式!G20</f>
        <v>应交税费</v>
      </c>
      <c r="B76" s="393">
        <f t="shared" si="0"/>
        <v>0</v>
      </c>
      <c r="C76" s="393">
        <f>母公司TB负债!K21</f>
        <v>0</v>
      </c>
      <c r="D76" s="393"/>
      <c r="E76" s="393"/>
      <c r="F76" s="393"/>
      <c r="G76" s="393"/>
      <c r="H76" s="393"/>
      <c r="I76" s="393"/>
      <c r="J76" s="393"/>
      <c r="K76" s="393"/>
      <c r="L76" s="393"/>
      <c r="M76" s="393"/>
      <c r="N76" s="393"/>
      <c r="O76" s="394"/>
    </row>
    <row r="77" spans="1:15" customFormat="1" ht="15">
      <c r="A77" s="1024" t="str">
        <f>报表格式!G21</f>
        <v>其他应付款</v>
      </c>
      <c r="B77" s="393">
        <f t="shared" si="0"/>
        <v>0</v>
      </c>
      <c r="C77" s="393">
        <f>母公司TB负债!K22</f>
        <v>0</v>
      </c>
      <c r="D77" s="393"/>
      <c r="E77" s="393"/>
      <c r="F77" s="393"/>
      <c r="G77" s="393"/>
      <c r="H77" s="393"/>
      <c r="I77" s="393"/>
      <c r="J77" s="393"/>
      <c r="K77" s="393"/>
      <c r="L77" s="393"/>
      <c r="M77" s="393"/>
      <c r="N77" s="393"/>
      <c r="O77" s="394"/>
    </row>
    <row r="78" spans="1:15" customFormat="1" ht="15">
      <c r="A78" s="1024" t="str">
        <f>报表格式!G22</f>
        <v xml:space="preserve">  其中：应付利息</v>
      </c>
      <c r="B78" s="393">
        <f t="shared" ref="B78:B83" si="18">SUM(C78:O78)</f>
        <v>0</v>
      </c>
      <c r="C78" s="393">
        <f>母公司TB负债!K23</f>
        <v>0</v>
      </c>
      <c r="D78" s="393"/>
      <c r="E78" s="393"/>
      <c r="F78" s="393"/>
      <c r="G78" s="393"/>
      <c r="H78" s="393"/>
      <c r="I78" s="393"/>
      <c r="J78" s="393"/>
      <c r="K78" s="393"/>
      <c r="L78" s="393"/>
      <c r="M78" s="393"/>
      <c r="N78" s="393"/>
      <c r="O78" s="394"/>
    </row>
    <row r="79" spans="1:15" customFormat="1" ht="15">
      <c r="A79" s="1024" t="str">
        <f>报表格式!G23</f>
        <v xml:space="preserve">        应付股利</v>
      </c>
      <c r="B79" s="393">
        <f t="shared" si="18"/>
        <v>0</v>
      </c>
      <c r="C79" s="393">
        <f>母公司TB负债!K24</f>
        <v>0</v>
      </c>
      <c r="D79" s="393"/>
      <c r="E79" s="393"/>
      <c r="F79" s="393"/>
      <c r="G79" s="393"/>
      <c r="H79" s="393"/>
      <c r="I79" s="393"/>
      <c r="J79" s="393"/>
      <c r="K79" s="393"/>
      <c r="L79" s="393"/>
      <c r="M79" s="393"/>
      <c r="N79" s="393"/>
      <c r="O79" s="394"/>
    </row>
    <row r="80" spans="1:15" customFormat="1" ht="15">
      <c r="A80" s="1024" t="str">
        <f>报表格式!G24</f>
        <v>应付分保账款</v>
      </c>
      <c r="B80" s="393">
        <f t="shared" si="18"/>
        <v>0</v>
      </c>
      <c r="C80" s="393">
        <f>母公司TB负债!K25</f>
        <v>0</v>
      </c>
      <c r="D80" s="393"/>
      <c r="E80" s="393"/>
      <c r="F80" s="393"/>
      <c r="G80" s="393"/>
      <c r="H80" s="393"/>
      <c r="I80" s="393"/>
      <c r="J80" s="393"/>
      <c r="K80" s="393"/>
      <c r="L80" s="393"/>
      <c r="M80" s="393"/>
      <c r="N80" s="393"/>
      <c r="O80" s="394"/>
    </row>
    <row r="81" spans="1:15" customFormat="1" ht="15">
      <c r="A81" s="1024" t="str">
        <f>报表格式!G25</f>
        <v>保险合同准备金</v>
      </c>
      <c r="B81" s="393">
        <f t="shared" si="18"/>
        <v>0</v>
      </c>
      <c r="C81" s="393">
        <f>母公司TB负债!K26</f>
        <v>0</v>
      </c>
      <c r="D81" s="393"/>
      <c r="E81" s="393"/>
      <c r="F81" s="393"/>
      <c r="G81" s="393"/>
      <c r="H81" s="393"/>
      <c r="I81" s="393"/>
      <c r="J81" s="393"/>
      <c r="K81" s="393"/>
      <c r="L81" s="393"/>
      <c r="M81" s="393"/>
      <c r="N81" s="393"/>
      <c r="O81" s="394"/>
    </row>
    <row r="82" spans="1:15" customFormat="1" ht="15">
      <c r="A82" s="1024" t="str">
        <f>报表格式!G26</f>
        <v>代理买卖证券款</v>
      </c>
      <c r="B82" s="393">
        <f t="shared" si="18"/>
        <v>0</v>
      </c>
      <c r="C82" s="393">
        <f>母公司TB负债!K27</f>
        <v>0</v>
      </c>
      <c r="D82" s="393"/>
      <c r="E82" s="393"/>
      <c r="F82" s="393"/>
      <c r="G82" s="393"/>
      <c r="H82" s="393"/>
      <c r="I82" s="393"/>
      <c r="J82" s="393"/>
      <c r="K82" s="393"/>
      <c r="L82" s="393"/>
      <c r="M82" s="393"/>
      <c r="N82" s="393"/>
      <c r="O82" s="394"/>
    </row>
    <row r="83" spans="1:15" customFormat="1" ht="15">
      <c r="A83" s="1024" t="str">
        <f>报表格式!G27</f>
        <v>代理承销证券款</v>
      </c>
      <c r="B83" s="393">
        <f t="shared" si="18"/>
        <v>0</v>
      </c>
      <c r="C83" s="393">
        <f>母公司TB负债!K28</f>
        <v>0</v>
      </c>
      <c r="D83" s="393"/>
      <c r="E83" s="393"/>
      <c r="F83" s="393"/>
      <c r="G83" s="393"/>
      <c r="H83" s="393"/>
      <c r="I83" s="393"/>
      <c r="J83" s="393"/>
      <c r="K83" s="393"/>
      <c r="L83" s="393"/>
      <c r="M83" s="393"/>
      <c r="N83" s="393"/>
      <c r="O83" s="394"/>
    </row>
    <row r="84" spans="1:15" customFormat="1" ht="15">
      <c r="A84" s="1024" t="str">
        <f>报表格式!G28</f>
        <v>持有待售负债</v>
      </c>
      <c r="B84" s="393">
        <f>SUM(C84:O84)</f>
        <v>0</v>
      </c>
      <c r="C84" s="393">
        <f>母公司TB负债!K29</f>
        <v>0</v>
      </c>
      <c r="D84" s="393"/>
      <c r="E84" s="393"/>
      <c r="F84" s="393"/>
      <c r="G84" s="393"/>
      <c r="H84" s="393"/>
      <c r="I84" s="393"/>
      <c r="J84" s="393"/>
      <c r="K84" s="393"/>
      <c r="L84" s="393"/>
      <c r="M84" s="393"/>
      <c r="N84" s="393"/>
      <c r="O84" s="394"/>
    </row>
    <row r="85" spans="1:15" customFormat="1" ht="15">
      <c r="A85" s="1024" t="str">
        <f>报表格式!G29</f>
        <v>一年内到期的非流动负债</v>
      </c>
      <c r="B85" s="393">
        <f t="shared" si="0"/>
        <v>0</v>
      </c>
      <c r="C85" s="393">
        <f>母公司TB负债!K30</f>
        <v>0</v>
      </c>
      <c r="D85" s="393"/>
      <c r="E85" s="393"/>
      <c r="F85" s="393"/>
      <c r="G85" s="393"/>
      <c r="H85" s="393"/>
      <c r="I85" s="393"/>
      <c r="J85" s="393"/>
      <c r="K85" s="393"/>
      <c r="L85" s="393"/>
      <c r="M85" s="393"/>
      <c r="N85" s="393"/>
      <c r="O85" s="394"/>
    </row>
    <row r="86" spans="1:15" customFormat="1" ht="15">
      <c r="A86" s="1024" t="str">
        <f>报表格式!G30</f>
        <v>其他流动负债</v>
      </c>
      <c r="B86" s="393">
        <f t="shared" si="0"/>
        <v>0</v>
      </c>
      <c r="C86" s="393">
        <f>母公司TB负债!K31</f>
        <v>0</v>
      </c>
      <c r="D86" s="393"/>
      <c r="E86" s="393"/>
      <c r="F86" s="393"/>
      <c r="G86" s="393"/>
      <c r="H86" s="393"/>
      <c r="I86" s="393"/>
      <c r="J86" s="393"/>
      <c r="K86" s="393"/>
      <c r="L86" s="393"/>
      <c r="M86" s="393"/>
      <c r="N86" s="393"/>
      <c r="O86" s="394"/>
    </row>
    <row r="87" spans="1:15" s="642" customFormat="1" ht="15">
      <c r="A87" s="1025" t="str">
        <f>报表格式!G31</f>
        <v>流动负债合计</v>
      </c>
      <c r="B87" s="399">
        <f t="shared" si="0"/>
        <v>0</v>
      </c>
      <c r="C87" s="399">
        <f>SUM(C62:C86)-C78-C79</f>
        <v>0</v>
      </c>
      <c r="D87" s="399">
        <f t="shared" ref="D87:O87" si="19">SUM(D62:D86)-D78-D79</f>
        <v>0</v>
      </c>
      <c r="E87" s="399">
        <f t="shared" si="19"/>
        <v>0</v>
      </c>
      <c r="F87" s="399">
        <f t="shared" si="19"/>
        <v>0</v>
      </c>
      <c r="G87" s="399">
        <f t="shared" si="19"/>
        <v>0</v>
      </c>
      <c r="H87" s="399">
        <f t="shared" si="19"/>
        <v>0</v>
      </c>
      <c r="I87" s="399">
        <f t="shared" si="19"/>
        <v>0</v>
      </c>
      <c r="J87" s="399">
        <f t="shared" si="19"/>
        <v>0</v>
      </c>
      <c r="K87" s="399">
        <f t="shared" si="19"/>
        <v>0</v>
      </c>
      <c r="L87" s="399">
        <f t="shared" si="19"/>
        <v>0</v>
      </c>
      <c r="M87" s="399">
        <f t="shared" si="19"/>
        <v>0</v>
      </c>
      <c r="N87" s="399">
        <f t="shared" si="19"/>
        <v>0</v>
      </c>
      <c r="O87" s="399">
        <f t="shared" si="19"/>
        <v>0</v>
      </c>
    </row>
    <row r="88" spans="1:15" customFormat="1" ht="15">
      <c r="A88" s="1026" t="str">
        <f>报表格式!G32</f>
        <v>非流动负债:</v>
      </c>
      <c r="B88" s="393"/>
      <c r="C88" s="393"/>
      <c r="D88" s="393"/>
      <c r="E88" s="393"/>
      <c r="F88" s="393"/>
      <c r="G88" s="393"/>
      <c r="H88" s="393"/>
      <c r="I88" s="393"/>
      <c r="J88" s="393"/>
      <c r="K88" s="393"/>
      <c r="L88" s="393"/>
      <c r="M88" s="393"/>
      <c r="N88" s="393"/>
      <c r="O88" s="394"/>
    </row>
    <row r="89" spans="1:15" customFormat="1" ht="15">
      <c r="A89" s="1024" t="str">
        <f>报表格式!G33</f>
        <v>长期借款</v>
      </c>
      <c r="B89" s="393">
        <f t="shared" si="0"/>
        <v>0</v>
      </c>
      <c r="C89" s="393">
        <f>母公司TB负债!K34</f>
        <v>0</v>
      </c>
      <c r="D89" s="393"/>
      <c r="E89" s="393"/>
      <c r="F89" s="393"/>
      <c r="G89" s="393"/>
      <c r="H89" s="393"/>
      <c r="I89" s="393"/>
      <c r="J89" s="393"/>
      <c r="K89" s="393"/>
      <c r="L89" s="393"/>
      <c r="M89" s="393"/>
      <c r="N89" s="393"/>
      <c r="O89" s="394"/>
    </row>
    <row r="90" spans="1:15" customFormat="1" ht="15">
      <c r="A90" s="1024" t="str">
        <f>报表格式!G34</f>
        <v>应付债券</v>
      </c>
      <c r="B90" s="393">
        <f t="shared" si="0"/>
        <v>0</v>
      </c>
      <c r="C90" s="393">
        <f>母公司TB负债!K35</f>
        <v>0</v>
      </c>
      <c r="D90" s="393"/>
      <c r="E90" s="393"/>
      <c r="F90" s="393"/>
      <c r="G90" s="393"/>
      <c r="H90" s="393"/>
      <c r="I90" s="393"/>
      <c r="J90" s="393"/>
      <c r="K90" s="393"/>
      <c r="L90" s="393"/>
      <c r="M90" s="393"/>
      <c r="N90" s="393"/>
      <c r="O90" s="394"/>
    </row>
    <row r="91" spans="1:15" customFormat="1" ht="15">
      <c r="A91" s="1024" t="str">
        <f>报表格式!G35</f>
        <v xml:space="preserve">  其中：优先股</v>
      </c>
      <c r="B91" s="393">
        <f>SUM(C91:O91)</f>
        <v>0</v>
      </c>
      <c r="C91" s="393">
        <f>母公司TB负债!K36</f>
        <v>0</v>
      </c>
      <c r="D91" s="393"/>
      <c r="E91" s="393"/>
      <c r="F91" s="393"/>
      <c r="G91" s="393"/>
      <c r="H91" s="393"/>
      <c r="I91" s="393"/>
      <c r="J91" s="393"/>
      <c r="K91" s="393"/>
      <c r="L91" s="393"/>
      <c r="M91" s="393"/>
      <c r="N91" s="393"/>
      <c r="O91" s="394"/>
    </row>
    <row r="92" spans="1:15" customFormat="1" ht="15">
      <c r="A92" s="1029" t="str">
        <f>报表格式!G36</f>
        <v xml:space="preserve">        永续债</v>
      </c>
      <c r="B92" s="393">
        <f>SUM(C92:O92)</f>
        <v>0</v>
      </c>
      <c r="C92" s="393">
        <f>母公司TB负债!K37</f>
        <v>0</v>
      </c>
      <c r="D92" s="393"/>
      <c r="E92" s="393"/>
      <c r="F92" s="393"/>
      <c r="G92" s="393"/>
      <c r="H92" s="393"/>
      <c r="I92" s="393"/>
      <c r="J92" s="393"/>
      <c r="K92" s="393"/>
      <c r="L92" s="393"/>
      <c r="M92" s="393"/>
      <c r="N92" s="393"/>
      <c r="O92" s="394"/>
    </row>
    <row r="93" spans="1:15" customFormat="1" ht="15">
      <c r="A93" s="1024" t="str">
        <f>报表格式!G37</f>
        <v>租赁负债</v>
      </c>
      <c r="B93" s="393">
        <f>SUM(C93:O93)</f>
        <v>0</v>
      </c>
      <c r="C93" s="393">
        <f>母公司TB负债!K38</f>
        <v>0</v>
      </c>
      <c r="D93" s="393"/>
      <c r="E93" s="393"/>
      <c r="F93" s="393"/>
      <c r="G93" s="393"/>
      <c r="H93" s="393"/>
      <c r="I93" s="393"/>
      <c r="J93" s="393"/>
      <c r="K93" s="393"/>
      <c r="L93" s="393"/>
      <c r="M93" s="393"/>
      <c r="N93" s="393"/>
      <c r="O93" s="394"/>
    </row>
    <row r="94" spans="1:15" customFormat="1" ht="15">
      <c r="A94" s="1024" t="str">
        <f>报表格式!G38</f>
        <v>长期应付款</v>
      </c>
      <c r="B94" s="393">
        <f t="shared" si="0"/>
        <v>0</v>
      </c>
      <c r="C94" s="393">
        <f>母公司TB负债!K39</f>
        <v>0</v>
      </c>
      <c r="D94" s="393"/>
      <c r="E94" s="393"/>
      <c r="F94" s="393"/>
      <c r="G94" s="393"/>
      <c r="H94" s="393"/>
      <c r="I94" s="393"/>
      <c r="J94" s="393"/>
      <c r="K94" s="393"/>
      <c r="L94" s="393"/>
      <c r="M94" s="393"/>
      <c r="N94" s="393"/>
      <c r="O94" s="394"/>
    </row>
    <row r="95" spans="1:15" customFormat="1" ht="15">
      <c r="A95" s="1024" t="str">
        <f>报表格式!G39</f>
        <v>长期应付职工薪酬</v>
      </c>
      <c r="B95" s="393">
        <f>SUM(C95:O95)</f>
        <v>0</v>
      </c>
      <c r="C95" s="393">
        <f>母公司TB负债!K40</f>
        <v>0</v>
      </c>
      <c r="D95" s="393"/>
      <c r="E95" s="393"/>
      <c r="F95" s="393"/>
      <c r="G95" s="393"/>
      <c r="H95" s="393"/>
      <c r="I95" s="393"/>
      <c r="J95" s="393"/>
      <c r="K95" s="393"/>
      <c r="L95" s="393"/>
      <c r="M95" s="393"/>
      <c r="N95" s="393"/>
      <c r="O95" s="394"/>
    </row>
    <row r="96" spans="1:15" customFormat="1" ht="15">
      <c r="A96" s="1024" t="str">
        <f>报表格式!G40</f>
        <v>预计负债</v>
      </c>
      <c r="B96" s="393">
        <f t="shared" si="0"/>
        <v>0</v>
      </c>
      <c r="C96" s="393">
        <f>母公司TB负债!K41</f>
        <v>0</v>
      </c>
      <c r="D96" s="393"/>
      <c r="E96" s="393"/>
      <c r="F96" s="393"/>
      <c r="G96" s="393"/>
      <c r="H96" s="393"/>
      <c r="I96" s="393"/>
      <c r="J96" s="393"/>
      <c r="K96" s="393"/>
      <c r="L96" s="393"/>
      <c r="M96" s="393"/>
      <c r="N96" s="393"/>
      <c r="O96" s="394"/>
    </row>
    <row r="97" spans="1:15" customFormat="1" ht="15">
      <c r="A97" s="1024" t="str">
        <f>报表格式!G41</f>
        <v>递延收益</v>
      </c>
      <c r="B97" s="393">
        <f>SUM(C97:O97)</f>
        <v>0</v>
      </c>
      <c r="C97" s="836">
        <f>母公司TB负债!K42</f>
        <v>0</v>
      </c>
      <c r="D97" s="393"/>
      <c r="E97" s="393"/>
      <c r="F97" s="393"/>
      <c r="G97" s="393"/>
      <c r="H97" s="393"/>
      <c r="I97" s="393"/>
      <c r="J97" s="393"/>
      <c r="K97" s="393"/>
      <c r="L97" s="393"/>
      <c r="M97" s="393"/>
      <c r="N97" s="393"/>
      <c r="O97" s="394"/>
    </row>
    <row r="98" spans="1:15" customFormat="1" ht="15">
      <c r="A98" s="1024" t="str">
        <f>报表格式!G42</f>
        <v>递延所得税负债</v>
      </c>
      <c r="B98" s="393">
        <f t="shared" si="0"/>
        <v>0</v>
      </c>
      <c r="C98" s="836">
        <f>母公司TB负债!K43</f>
        <v>0</v>
      </c>
      <c r="D98" s="393"/>
      <c r="E98" s="393"/>
      <c r="F98" s="393"/>
      <c r="G98" s="393"/>
      <c r="H98" s="393"/>
      <c r="I98" s="393"/>
      <c r="J98" s="393"/>
      <c r="K98" s="393"/>
      <c r="L98" s="393"/>
      <c r="M98" s="393"/>
      <c r="N98" s="393"/>
      <c r="O98" s="394"/>
    </row>
    <row r="99" spans="1:15" customFormat="1" ht="15">
      <c r="A99" s="1024" t="str">
        <f>报表格式!G43</f>
        <v>其他非流动负债</v>
      </c>
      <c r="B99" s="393">
        <f t="shared" si="0"/>
        <v>0</v>
      </c>
      <c r="C99" s="393">
        <f>母公司TB负债!K44</f>
        <v>0</v>
      </c>
      <c r="D99" s="393"/>
      <c r="E99" s="393"/>
      <c r="F99" s="393"/>
      <c r="G99" s="393"/>
      <c r="H99" s="393"/>
      <c r="I99" s="393"/>
      <c r="J99" s="393"/>
      <c r="K99" s="393"/>
      <c r="L99" s="393"/>
      <c r="M99" s="393"/>
      <c r="N99" s="393"/>
      <c r="O99" s="394"/>
    </row>
    <row r="100" spans="1:15" s="642" customFormat="1" ht="15">
      <c r="A100" s="1025" t="str">
        <f>报表格式!G44</f>
        <v>非流动负债合计</v>
      </c>
      <c r="B100" s="399">
        <f t="shared" si="0"/>
        <v>0</v>
      </c>
      <c r="C100" s="399">
        <f t="shared" ref="C100:O100" si="20">SUM(C89:C99)-C91-C92</f>
        <v>0</v>
      </c>
      <c r="D100" s="399">
        <f t="shared" si="20"/>
        <v>0</v>
      </c>
      <c r="E100" s="399">
        <f t="shared" si="20"/>
        <v>0</v>
      </c>
      <c r="F100" s="399">
        <f t="shared" si="20"/>
        <v>0</v>
      </c>
      <c r="G100" s="399">
        <f t="shared" si="20"/>
        <v>0</v>
      </c>
      <c r="H100" s="399">
        <f t="shared" si="20"/>
        <v>0</v>
      </c>
      <c r="I100" s="399">
        <f t="shared" si="20"/>
        <v>0</v>
      </c>
      <c r="J100" s="399">
        <f t="shared" si="20"/>
        <v>0</v>
      </c>
      <c r="K100" s="399">
        <f t="shared" si="20"/>
        <v>0</v>
      </c>
      <c r="L100" s="399">
        <f t="shared" si="20"/>
        <v>0</v>
      </c>
      <c r="M100" s="399">
        <f t="shared" si="20"/>
        <v>0</v>
      </c>
      <c r="N100" s="399">
        <f t="shared" si="20"/>
        <v>0</v>
      </c>
      <c r="O100" s="400">
        <f t="shared" si="20"/>
        <v>0</v>
      </c>
    </row>
    <row r="101" spans="1:15" s="642" customFormat="1" ht="15">
      <c r="A101" s="1025" t="str">
        <f>报表格式!G45</f>
        <v>负 债 合 计</v>
      </c>
      <c r="B101" s="399">
        <f t="shared" si="0"/>
        <v>0</v>
      </c>
      <c r="C101" s="399">
        <f t="shared" ref="C101:O101" si="21">SUM(C87,C100)</f>
        <v>0</v>
      </c>
      <c r="D101" s="399">
        <f t="shared" si="21"/>
        <v>0</v>
      </c>
      <c r="E101" s="399">
        <f t="shared" si="21"/>
        <v>0</v>
      </c>
      <c r="F101" s="399">
        <f t="shared" si="21"/>
        <v>0</v>
      </c>
      <c r="G101" s="399">
        <f t="shared" si="21"/>
        <v>0</v>
      </c>
      <c r="H101" s="399">
        <f t="shared" si="21"/>
        <v>0</v>
      </c>
      <c r="I101" s="399">
        <f t="shared" si="21"/>
        <v>0</v>
      </c>
      <c r="J101" s="399">
        <f t="shared" si="21"/>
        <v>0</v>
      </c>
      <c r="K101" s="399">
        <f t="shared" si="21"/>
        <v>0</v>
      </c>
      <c r="L101" s="399">
        <f t="shared" si="21"/>
        <v>0</v>
      </c>
      <c r="M101" s="399">
        <f t="shared" si="21"/>
        <v>0</v>
      </c>
      <c r="N101" s="399">
        <f t="shared" si="21"/>
        <v>0</v>
      </c>
      <c r="O101" s="400">
        <f t="shared" si="21"/>
        <v>0</v>
      </c>
    </row>
    <row r="102" spans="1:15" customFormat="1" ht="15">
      <c r="A102" s="1026" t="str">
        <f>报表格式!G46</f>
        <v>股东权益：</v>
      </c>
      <c r="B102" s="862">
        <f t="shared" ref="B102:B117" si="22">SUM(C102:O102)</f>
        <v>0</v>
      </c>
      <c r="C102" s="393"/>
      <c r="D102" s="393"/>
      <c r="E102" s="393"/>
      <c r="F102" s="393"/>
      <c r="G102" s="393"/>
      <c r="H102" s="393"/>
      <c r="I102" s="393"/>
      <c r="J102" s="393"/>
      <c r="K102" s="393"/>
      <c r="L102" s="393"/>
      <c r="M102" s="393"/>
      <c r="N102" s="393"/>
      <c r="O102" s="394"/>
    </row>
    <row r="103" spans="1:15" customFormat="1" ht="15">
      <c r="A103" s="1024" t="str">
        <f>报表格式!G47</f>
        <v>股本</v>
      </c>
      <c r="B103" s="393">
        <f t="shared" si="22"/>
        <v>0</v>
      </c>
      <c r="C103" s="393">
        <f>母公司TB负债!K48</f>
        <v>0</v>
      </c>
      <c r="D103" s="393"/>
      <c r="E103" s="393"/>
      <c r="F103" s="393"/>
      <c r="G103" s="393"/>
      <c r="H103" s="393"/>
      <c r="I103" s="393"/>
      <c r="J103" s="393"/>
      <c r="K103" s="393"/>
      <c r="L103" s="393"/>
      <c r="M103" s="393"/>
      <c r="N103" s="393"/>
      <c r="O103" s="394"/>
    </row>
    <row r="104" spans="1:15" customFormat="1" ht="15">
      <c r="A104" s="1024" t="str">
        <f>报表格式!G48</f>
        <v>其他权益工具</v>
      </c>
      <c r="B104" s="393">
        <f>SUM(C104:O104)</f>
        <v>0</v>
      </c>
      <c r="C104" s="393">
        <f>母公司TB负债!K49</f>
        <v>0</v>
      </c>
      <c r="D104" s="393"/>
      <c r="E104" s="393"/>
      <c r="F104" s="393"/>
      <c r="G104" s="393"/>
      <c r="H104" s="393"/>
      <c r="I104" s="393"/>
      <c r="J104" s="393"/>
      <c r="K104" s="393"/>
      <c r="L104" s="393"/>
      <c r="M104" s="393"/>
      <c r="N104" s="393"/>
      <c r="O104" s="394"/>
    </row>
    <row r="105" spans="1:15" customFormat="1" ht="15">
      <c r="A105" s="1024" t="str">
        <f>报表格式!G49</f>
        <v xml:space="preserve">  其中：优先股</v>
      </c>
      <c r="B105" s="393">
        <f>SUM(C105:O105)</f>
        <v>0</v>
      </c>
      <c r="C105" s="393">
        <f>母公司TB负债!K50</f>
        <v>0</v>
      </c>
      <c r="D105" s="393"/>
      <c r="E105" s="393"/>
      <c r="F105" s="393"/>
      <c r="G105" s="393"/>
      <c r="H105" s="393"/>
      <c r="I105" s="393"/>
      <c r="J105" s="393"/>
      <c r="K105" s="393"/>
      <c r="L105" s="393"/>
      <c r="M105" s="393"/>
      <c r="N105" s="393"/>
      <c r="O105" s="394"/>
    </row>
    <row r="106" spans="1:15" customFormat="1" ht="15">
      <c r="A106" s="1024" t="str">
        <f>报表格式!G50</f>
        <v xml:space="preserve">        永续债</v>
      </c>
      <c r="B106" s="393">
        <f>SUM(C106:O106)</f>
        <v>0</v>
      </c>
      <c r="C106" s="393">
        <f>母公司TB负债!K51</f>
        <v>0</v>
      </c>
      <c r="D106" s="393"/>
      <c r="E106" s="393"/>
      <c r="F106" s="393"/>
      <c r="G106" s="393"/>
      <c r="H106" s="393"/>
      <c r="I106" s="393"/>
      <c r="J106" s="393"/>
      <c r="K106" s="393"/>
      <c r="L106" s="393"/>
      <c r="M106" s="393"/>
      <c r="N106" s="393"/>
      <c r="O106" s="394"/>
    </row>
    <row r="107" spans="1:15" customFormat="1" ht="15">
      <c r="A107" s="1024" t="str">
        <f>报表格式!G51</f>
        <v>资本公积</v>
      </c>
      <c r="B107" s="393">
        <f t="shared" si="22"/>
        <v>0</v>
      </c>
      <c r="C107" s="393">
        <f>母公司TB负债!K52</f>
        <v>0</v>
      </c>
      <c r="D107" s="393"/>
      <c r="E107" s="393"/>
      <c r="F107" s="393"/>
      <c r="G107" s="393"/>
      <c r="H107" s="393"/>
      <c r="I107" s="393"/>
      <c r="J107" s="393"/>
      <c r="K107" s="393"/>
      <c r="L107" s="393"/>
      <c r="M107" s="393"/>
      <c r="N107" s="393"/>
      <c r="O107" s="394"/>
    </row>
    <row r="108" spans="1:15" customFormat="1" ht="15">
      <c r="A108" s="1024" t="str">
        <f>报表格式!G52</f>
        <v>减：库存股</v>
      </c>
      <c r="B108" s="393">
        <f t="shared" si="22"/>
        <v>0</v>
      </c>
      <c r="C108" s="393">
        <f>母公司TB负债!K53</f>
        <v>0</v>
      </c>
      <c r="D108" s="393"/>
      <c r="E108" s="393"/>
      <c r="F108" s="393"/>
      <c r="G108" s="393"/>
      <c r="H108" s="393"/>
      <c r="I108" s="393"/>
      <c r="J108" s="393"/>
      <c r="K108" s="393"/>
      <c r="L108" s="393"/>
      <c r="M108" s="393"/>
      <c r="N108" s="393"/>
      <c r="O108" s="394"/>
    </row>
    <row r="109" spans="1:15" customFormat="1" ht="15">
      <c r="A109" s="1024" t="str">
        <f>报表格式!G53</f>
        <v>其他综合收益</v>
      </c>
      <c r="B109" s="393">
        <f>SUM(C109:O109)</f>
        <v>0</v>
      </c>
      <c r="C109" s="393">
        <f>母公司TB负债!K54</f>
        <v>0</v>
      </c>
      <c r="D109" s="393"/>
      <c r="E109" s="393"/>
      <c r="F109" s="393"/>
      <c r="G109" s="393"/>
      <c r="H109" s="393"/>
      <c r="I109" s="393"/>
      <c r="J109" s="393"/>
      <c r="K109" s="393"/>
      <c r="L109" s="393"/>
      <c r="M109" s="393"/>
      <c r="N109" s="393"/>
      <c r="O109" s="394"/>
    </row>
    <row r="110" spans="1:15" customFormat="1" ht="15">
      <c r="A110" s="1024" t="str">
        <f>报表格式!G54</f>
        <v>专项储备</v>
      </c>
      <c r="B110" s="393">
        <f t="shared" si="22"/>
        <v>0</v>
      </c>
      <c r="C110" s="393">
        <f>母公司TB负债!K55</f>
        <v>0</v>
      </c>
      <c r="D110" s="393"/>
      <c r="E110" s="393"/>
      <c r="F110" s="393"/>
      <c r="G110" s="393"/>
      <c r="H110" s="393"/>
      <c r="I110" s="393"/>
      <c r="J110" s="393"/>
      <c r="K110" s="393"/>
      <c r="L110" s="393"/>
      <c r="M110" s="393"/>
      <c r="N110" s="393"/>
      <c r="O110" s="394"/>
    </row>
    <row r="111" spans="1:15" customFormat="1" ht="15">
      <c r="A111" s="1024" t="str">
        <f>报表格式!G55</f>
        <v>盈余公积</v>
      </c>
      <c r="B111" s="393">
        <f t="shared" si="22"/>
        <v>0</v>
      </c>
      <c r="C111" s="393">
        <f>母公司TB负债!K56</f>
        <v>0</v>
      </c>
      <c r="D111" s="393"/>
      <c r="E111" s="393"/>
      <c r="F111" s="393"/>
      <c r="G111" s="393"/>
      <c r="H111" s="393"/>
      <c r="I111" s="393"/>
      <c r="J111" s="393"/>
      <c r="K111" s="393"/>
      <c r="L111" s="393"/>
      <c r="M111" s="393"/>
      <c r="N111" s="393"/>
      <c r="O111" s="394"/>
    </row>
    <row r="112" spans="1:15" customFormat="1" ht="15">
      <c r="A112" s="1024" t="str">
        <f>报表格式!G56</f>
        <v>一般风险准备</v>
      </c>
      <c r="B112" s="393">
        <f t="shared" ref="B112" si="23">SUM(C112:O112)</f>
        <v>0</v>
      </c>
      <c r="C112" s="393">
        <f>母公司TB负债!K57</f>
        <v>0</v>
      </c>
      <c r="D112" s="393"/>
      <c r="E112" s="393"/>
      <c r="F112" s="393"/>
      <c r="G112" s="393"/>
      <c r="H112" s="393"/>
      <c r="I112" s="393"/>
      <c r="J112" s="393"/>
      <c r="K112" s="393"/>
      <c r="L112" s="393"/>
      <c r="M112" s="393"/>
      <c r="N112" s="393"/>
      <c r="O112" s="394"/>
    </row>
    <row r="113" spans="1:15" customFormat="1" ht="15">
      <c r="A113" s="1024" t="str">
        <f>报表格式!G57</f>
        <v>未分配利润</v>
      </c>
      <c r="B113" s="393">
        <f t="shared" si="22"/>
        <v>0</v>
      </c>
      <c r="C113" s="393">
        <f>母公司TB负债!K58</f>
        <v>0</v>
      </c>
      <c r="D113" s="393"/>
      <c r="E113" s="393"/>
      <c r="F113" s="393"/>
      <c r="G113" s="393"/>
      <c r="H113" s="393"/>
      <c r="I113" s="393"/>
      <c r="J113" s="393"/>
      <c r="K113" s="393"/>
      <c r="L113" s="393"/>
      <c r="M113" s="393"/>
      <c r="N113" s="393"/>
      <c r="O113" s="394"/>
    </row>
    <row r="114" spans="1:15" customFormat="1" ht="15">
      <c r="A114" s="1024" t="str">
        <f>报表格式!G58</f>
        <v>归属于母公司股东权益合计</v>
      </c>
      <c r="B114" s="399">
        <f t="shared" si="22"/>
        <v>0</v>
      </c>
      <c r="C114" s="399">
        <f t="shared" ref="C114:O114" si="24">SUM(C103:C104,C107,-C108,C109:C113)</f>
        <v>0</v>
      </c>
      <c r="D114" s="399">
        <f t="shared" si="24"/>
        <v>0</v>
      </c>
      <c r="E114" s="399">
        <f t="shared" si="24"/>
        <v>0</v>
      </c>
      <c r="F114" s="399">
        <f t="shared" si="24"/>
        <v>0</v>
      </c>
      <c r="G114" s="399">
        <f t="shared" si="24"/>
        <v>0</v>
      </c>
      <c r="H114" s="399">
        <f t="shared" si="24"/>
        <v>0</v>
      </c>
      <c r="I114" s="399">
        <f t="shared" si="24"/>
        <v>0</v>
      </c>
      <c r="J114" s="399">
        <f t="shared" si="24"/>
        <v>0</v>
      </c>
      <c r="K114" s="399">
        <f t="shared" si="24"/>
        <v>0</v>
      </c>
      <c r="L114" s="399">
        <f t="shared" si="24"/>
        <v>0</v>
      </c>
      <c r="M114" s="399">
        <f t="shared" si="24"/>
        <v>0</v>
      </c>
      <c r="N114" s="399">
        <f t="shared" si="24"/>
        <v>0</v>
      </c>
      <c r="O114" s="400">
        <f t="shared" si="24"/>
        <v>0</v>
      </c>
    </row>
    <row r="115" spans="1:15" customFormat="1" ht="15">
      <c r="A115" s="1024" t="str">
        <f>报表格式!G59</f>
        <v>少数股东权益</v>
      </c>
      <c r="B115" s="393">
        <f t="shared" si="22"/>
        <v>0</v>
      </c>
      <c r="C115" s="393">
        <f>母公司TB负债!K60</f>
        <v>0</v>
      </c>
      <c r="D115" s="393"/>
      <c r="E115" s="393"/>
      <c r="F115" s="393"/>
      <c r="G115" s="393"/>
      <c r="H115" s="393"/>
      <c r="I115" s="393"/>
      <c r="J115" s="393"/>
      <c r="K115" s="393"/>
      <c r="L115" s="393"/>
      <c r="M115" s="393"/>
      <c r="N115" s="393"/>
      <c r="O115" s="394"/>
    </row>
    <row r="116" spans="1:15" customFormat="1" ht="15">
      <c r="A116" s="1008" t="str">
        <f>报表格式!G60</f>
        <v>股东权益合计</v>
      </c>
      <c r="B116" s="505">
        <f t="shared" si="22"/>
        <v>0</v>
      </c>
      <c r="C116" s="399">
        <f t="shared" ref="C116:O116" si="25">SUM(C114:C115)</f>
        <v>0</v>
      </c>
      <c r="D116" s="399">
        <f t="shared" si="25"/>
        <v>0</v>
      </c>
      <c r="E116" s="399">
        <f t="shared" si="25"/>
        <v>0</v>
      </c>
      <c r="F116" s="399">
        <f t="shared" si="25"/>
        <v>0</v>
      </c>
      <c r="G116" s="399">
        <f t="shared" si="25"/>
        <v>0</v>
      </c>
      <c r="H116" s="399">
        <f t="shared" si="25"/>
        <v>0</v>
      </c>
      <c r="I116" s="399">
        <f t="shared" si="25"/>
        <v>0</v>
      </c>
      <c r="J116" s="399">
        <f t="shared" si="25"/>
        <v>0</v>
      </c>
      <c r="K116" s="399">
        <f t="shared" si="25"/>
        <v>0</v>
      </c>
      <c r="L116" s="399">
        <f t="shared" si="25"/>
        <v>0</v>
      </c>
      <c r="M116" s="399">
        <f t="shared" si="25"/>
        <v>0</v>
      </c>
      <c r="N116" s="399">
        <f t="shared" si="25"/>
        <v>0</v>
      </c>
      <c r="O116" s="400">
        <f t="shared" si="25"/>
        <v>0</v>
      </c>
    </row>
    <row r="117" spans="1:15" customFormat="1" ht="15">
      <c r="A117" s="1031" t="str">
        <f>报表格式!G61</f>
        <v>负债和股东权益合计</v>
      </c>
      <c r="B117" s="410">
        <f t="shared" si="22"/>
        <v>0</v>
      </c>
      <c r="C117" s="419">
        <f t="shared" ref="C117:O117" si="26">SUM(C101,C116)</f>
        <v>0</v>
      </c>
      <c r="D117" s="419">
        <f t="shared" si="26"/>
        <v>0</v>
      </c>
      <c r="E117" s="419">
        <f t="shared" si="26"/>
        <v>0</v>
      </c>
      <c r="F117" s="419">
        <f t="shared" si="26"/>
        <v>0</v>
      </c>
      <c r="G117" s="419">
        <f t="shared" si="26"/>
        <v>0</v>
      </c>
      <c r="H117" s="419">
        <f t="shared" si="26"/>
        <v>0</v>
      </c>
      <c r="I117" s="419">
        <f t="shared" si="26"/>
        <v>0</v>
      </c>
      <c r="J117" s="419">
        <f t="shared" si="26"/>
        <v>0</v>
      </c>
      <c r="K117" s="419">
        <f t="shared" si="26"/>
        <v>0</v>
      </c>
      <c r="L117" s="419">
        <f t="shared" si="26"/>
        <v>0</v>
      </c>
      <c r="M117" s="419">
        <f t="shared" si="26"/>
        <v>0</v>
      </c>
      <c r="N117" s="419">
        <f t="shared" si="26"/>
        <v>0</v>
      </c>
      <c r="O117" s="420">
        <f t="shared" si="26"/>
        <v>0</v>
      </c>
    </row>
    <row r="118" spans="1:15" customFormat="1" ht="15">
      <c r="A118" s="1003"/>
      <c r="B118" s="383"/>
      <c r="C118" s="383"/>
      <c r="D118" s="383"/>
      <c r="E118" s="383"/>
      <c r="F118" s="383"/>
      <c r="G118" s="383"/>
      <c r="H118" s="383"/>
      <c r="I118" s="383"/>
      <c r="J118" s="383"/>
      <c r="K118" s="383"/>
      <c r="L118" s="383"/>
      <c r="M118" s="383"/>
      <c r="N118" s="383"/>
      <c r="O118" s="435"/>
    </row>
    <row r="119" spans="1:15" customFormat="1" ht="15">
      <c r="A119" s="1003"/>
      <c r="B119" s="383"/>
      <c r="C119" s="383"/>
      <c r="D119" s="383"/>
      <c r="E119" s="383"/>
      <c r="F119" s="383"/>
      <c r="G119" s="383"/>
      <c r="H119" s="383"/>
      <c r="I119" s="383"/>
      <c r="J119" s="383"/>
      <c r="K119" s="383"/>
      <c r="L119" s="383"/>
      <c r="M119" s="383"/>
      <c r="N119" s="383"/>
      <c r="O119" s="435"/>
    </row>
    <row r="120" spans="1:15" customFormat="1" ht="15">
      <c r="A120" s="1016" t="s">
        <v>101</v>
      </c>
      <c r="B120" s="388"/>
      <c r="C120" s="383"/>
      <c r="D120" s="383"/>
      <c r="E120" s="383"/>
      <c r="F120" s="383"/>
      <c r="G120" s="383"/>
      <c r="H120" s="383"/>
      <c r="I120" s="383"/>
      <c r="J120" s="383"/>
      <c r="K120" s="383"/>
      <c r="L120" s="383"/>
      <c r="M120" s="383"/>
      <c r="N120" s="383"/>
      <c r="O120" s="435"/>
    </row>
    <row r="121" spans="1:15" customFormat="1" ht="15">
      <c r="A121" s="1017" t="s">
        <v>102</v>
      </c>
      <c r="B121" s="432">
        <f>B59-B117</f>
        <v>0</v>
      </c>
      <c r="C121" s="643">
        <f t="shared" ref="C121:O121" si="27">C59-C117</f>
        <v>0</v>
      </c>
      <c r="D121" s="643">
        <f t="shared" si="27"/>
        <v>0</v>
      </c>
      <c r="E121" s="643">
        <f t="shared" si="27"/>
        <v>0</v>
      </c>
      <c r="F121" s="643">
        <f t="shared" si="27"/>
        <v>0</v>
      </c>
      <c r="G121" s="643">
        <f t="shared" si="27"/>
        <v>0</v>
      </c>
      <c r="H121" s="643">
        <f t="shared" si="27"/>
        <v>0</v>
      </c>
      <c r="I121" s="643">
        <f t="shared" si="27"/>
        <v>0</v>
      </c>
      <c r="J121" s="643">
        <f t="shared" si="27"/>
        <v>0</v>
      </c>
      <c r="K121" s="643">
        <f t="shared" si="27"/>
        <v>0</v>
      </c>
      <c r="L121" s="643">
        <f t="shared" si="27"/>
        <v>0</v>
      </c>
      <c r="M121" s="643">
        <f t="shared" si="27"/>
        <v>0</v>
      </c>
      <c r="N121" s="643">
        <f t="shared" si="27"/>
        <v>0</v>
      </c>
      <c r="O121" s="643">
        <f t="shared" si="27"/>
        <v>0</v>
      </c>
    </row>
    <row r="122" spans="1:15" customFormat="1" ht="15">
      <c r="A122" s="1018" t="s">
        <v>542</v>
      </c>
      <c r="B122" s="432">
        <f t="shared" ref="B122:O122" si="28">SUM(B7:B30)-B21-B22-B31</f>
        <v>0</v>
      </c>
      <c r="C122" s="432">
        <f t="shared" si="28"/>
        <v>0</v>
      </c>
      <c r="D122" s="432">
        <f t="shared" si="28"/>
        <v>0</v>
      </c>
      <c r="E122" s="432">
        <f t="shared" si="28"/>
        <v>0</v>
      </c>
      <c r="F122" s="432">
        <f t="shared" si="28"/>
        <v>0</v>
      </c>
      <c r="G122" s="432">
        <f t="shared" si="28"/>
        <v>0</v>
      </c>
      <c r="H122" s="432">
        <f t="shared" si="28"/>
        <v>0</v>
      </c>
      <c r="I122" s="432">
        <f t="shared" si="28"/>
        <v>0</v>
      </c>
      <c r="J122" s="432">
        <f t="shared" si="28"/>
        <v>0</v>
      </c>
      <c r="K122" s="432">
        <f t="shared" si="28"/>
        <v>0</v>
      </c>
      <c r="L122" s="432">
        <f t="shared" si="28"/>
        <v>0</v>
      </c>
      <c r="M122" s="432">
        <f t="shared" si="28"/>
        <v>0</v>
      </c>
      <c r="N122" s="432">
        <f t="shared" si="28"/>
        <v>0</v>
      </c>
      <c r="O122" s="432">
        <f t="shared" si="28"/>
        <v>0</v>
      </c>
    </row>
    <row r="123" spans="1:15" customFormat="1" ht="15">
      <c r="A123" s="1017" t="s">
        <v>104</v>
      </c>
      <c r="B123" s="432">
        <f>SUM(B34:B57)-B58</f>
        <v>0</v>
      </c>
      <c r="C123" s="643">
        <f t="shared" ref="C123:O123" si="29">SUM(C34:C57)-C58</f>
        <v>0</v>
      </c>
      <c r="D123" s="643">
        <f t="shared" si="29"/>
        <v>0</v>
      </c>
      <c r="E123" s="643">
        <f t="shared" si="29"/>
        <v>0</v>
      </c>
      <c r="F123" s="643">
        <f t="shared" si="29"/>
        <v>0</v>
      </c>
      <c r="G123" s="643">
        <f t="shared" si="29"/>
        <v>0</v>
      </c>
      <c r="H123" s="643">
        <f t="shared" si="29"/>
        <v>0</v>
      </c>
      <c r="I123" s="643">
        <f t="shared" si="29"/>
        <v>0</v>
      </c>
      <c r="J123" s="643">
        <f t="shared" si="29"/>
        <v>0</v>
      </c>
      <c r="K123" s="643">
        <f t="shared" si="29"/>
        <v>0</v>
      </c>
      <c r="L123" s="643">
        <f t="shared" si="29"/>
        <v>0</v>
      </c>
      <c r="M123" s="643">
        <f t="shared" si="29"/>
        <v>0</v>
      </c>
      <c r="N123" s="643">
        <f t="shared" si="29"/>
        <v>0</v>
      </c>
      <c r="O123" s="643">
        <f t="shared" si="29"/>
        <v>0</v>
      </c>
    </row>
    <row r="124" spans="1:15" customFormat="1" ht="15">
      <c r="A124" s="1018" t="s">
        <v>543</v>
      </c>
      <c r="B124" s="432">
        <f t="shared" ref="B124:O124" si="30">B31+B58-B59</f>
        <v>0</v>
      </c>
      <c r="C124" s="643">
        <f t="shared" si="30"/>
        <v>0</v>
      </c>
      <c r="D124" s="643">
        <f t="shared" si="30"/>
        <v>0</v>
      </c>
      <c r="E124" s="643">
        <f t="shared" si="30"/>
        <v>0</v>
      </c>
      <c r="F124" s="643">
        <f t="shared" si="30"/>
        <v>0</v>
      </c>
      <c r="G124" s="643">
        <f t="shared" si="30"/>
        <v>0</v>
      </c>
      <c r="H124" s="643">
        <f t="shared" si="30"/>
        <v>0</v>
      </c>
      <c r="I124" s="643">
        <f t="shared" si="30"/>
        <v>0</v>
      </c>
      <c r="J124" s="643">
        <f t="shared" si="30"/>
        <v>0</v>
      </c>
      <c r="K124" s="643">
        <f t="shared" si="30"/>
        <v>0</v>
      </c>
      <c r="L124" s="643">
        <f t="shared" si="30"/>
        <v>0</v>
      </c>
      <c r="M124" s="643">
        <f t="shared" si="30"/>
        <v>0</v>
      </c>
      <c r="N124" s="643">
        <f t="shared" si="30"/>
        <v>0</v>
      </c>
      <c r="O124" s="643">
        <f t="shared" si="30"/>
        <v>0</v>
      </c>
    </row>
    <row r="125" spans="1:15" customFormat="1" ht="15">
      <c r="A125" s="1018" t="s">
        <v>544</v>
      </c>
      <c r="B125" s="432">
        <f>SUM(B62:B86)-B78-B79-B87</f>
        <v>0</v>
      </c>
      <c r="C125" s="432">
        <f t="shared" ref="C125:O125" si="31">SUM(C62:C86)-C78-C79-C87</f>
        <v>0</v>
      </c>
      <c r="D125" s="432">
        <f t="shared" si="31"/>
        <v>0</v>
      </c>
      <c r="E125" s="432">
        <f t="shared" si="31"/>
        <v>0</v>
      </c>
      <c r="F125" s="432">
        <f t="shared" si="31"/>
        <v>0</v>
      </c>
      <c r="G125" s="432">
        <f t="shared" si="31"/>
        <v>0</v>
      </c>
      <c r="H125" s="432">
        <f t="shared" si="31"/>
        <v>0</v>
      </c>
      <c r="I125" s="432">
        <f t="shared" si="31"/>
        <v>0</v>
      </c>
      <c r="J125" s="432">
        <f t="shared" si="31"/>
        <v>0</v>
      </c>
      <c r="K125" s="432">
        <f t="shared" si="31"/>
        <v>0</v>
      </c>
      <c r="L125" s="432">
        <f t="shared" si="31"/>
        <v>0</v>
      </c>
      <c r="M125" s="432">
        <f t="shared" si="31"/>
        <v>0</v>
      </c>
      <c r="N125" s="432">
        <f t="shared" si="31"/>
        <v>0</v>
      </c>
      <c r="O125" s="432">
        <f t="shared" si="31"/>
        <v>0</v>
      </c>
    </row>
    <row r="126" spans="1:15" customFormat="1" ht="15">
      <c r="A126" s="1017" t="s">
        <v>106</v>
      </c>
      <c r="B126" s="432">
        <f>SUM(B89:B99)-B91-B92-B100</f>
        <v>0</v>
      </c>
      <c r="C126" s="432">
        <f t="shared" ref="C126:O126" si="32">SUM(C89:C99)-C91-C92-C100</f>
        <v>0</v>
      </c>
      <c r="D126" s="432">
        <f t="shared" si="32"/>
        <v>0</v>
      </c>
      <c r="E126" s="432">
        <f t="shared" si="32"/>
        <v>0</v>
      </c>
      <c r="F126" s="432">
        <f t="shared" si="32"/>
        <v>0</v>
      </c>
      <c r="G126" s="432">
        <f t="shared" si="32"/>
        <v>0</v>
      </c>
      <c r="H126" s="432">
        <f t="shared" si="32"/>
        <v>0</v>
      </c>
      <c r="I126" s="432">
        <f t="shared" si="32"/>
        <v>0</v>
      </c>
      <c r="J126" s="432">
        <f t="shared" si="32"/>
        <v>0</v>
      </c>
      <c r="K126" s="432">
        <f t="shared" si="32"/>
        <v>0</v>
      </c>
      <c r="L126" s="432">
        <f t="shared" si="32"/>
        <v>0</v>
      </c>
      <c r="M126" s="432">
        <f t="shared" si="32"/>
        <v>0</v>
      </c>
      <c r="N126" s="432">
        <f t="shared" si="32"/>
        <v>0</v>
      </c>
      <c r="O126" s="432">
        <f t="shared" si="32"/>
        <v>0</v>
      </c>
    </row>
    <row r="127" spans="1:15" customFormat="1" ht="15">
      <c r="A127" s="1018" t="s">
        <v>545</v>
      </c>
      <c r="B127" s="432">
        <f t="shared" ref="B127:O127" si="33">B87+B100-B101</f>
        <v>0</v>
      </c>
      <c r="C127" s="643">
        <f t="shared" si="33"/>
        <v>0</v>
      </c>
      <c r="D127" s="643">
        <f t="shared" si="33"/>
        <v>0</v>
      </c>
      <c r="E127" s="643">
        <f t="shared" si="33"/>
        <v>0</v>
      </c>
      <c r="F127" s="643">
        <f t="shared" si="33"/>
        <v>0</v>
      </c>
      <c r="G127" s="643">
        <f t="shared" si="33"/>
        <v>0</v>
      </c>
      <c r="H127" s="643">
        <f t="shared" si="33"/>
        <v>0</v>
      </c>
      <c r="I127" s="643">
        <f t="shared" si="33"/>
        <v>0</v>
      </c>
      <c r="J127" s="643">
        <f t="shared" si="33"/>
        <v>0</v>
      </c>
      <c r="K127" s="643">
        <f t="shared" si="33"/>
        <v>0</v>
      </c>
      <c r="L127" s="643">
        <f t="shared" si="33"/>
        <v>0</v>
      </c>
      <c r="M127" s="643">
        <f t="shared" si="33"/>
        <v>0</v>
      </c>
      <c r="N127" s="643">
        <f t="shared" si="33"/>
        <v>0</v>
      </c>
      <c r="O127" s="643">
        <f t="shared" si="33"/>
        <v>0</v>
      </c>
    </row>
    <row r="128" spans="1:15" customFormat="1" ht="15">
      <c r="A128" s="1017" t="s">
        <v>108</v>
      </c>
      <c r="B128" s="432">
        <f>SUM(B103:B104,B107,-B108,B109:B113)-B114</f>
        <v>0</v>
      </c>
      <c r="C128" s="432">
        <f t="shared" ref="C128:O128" si="34">SUM(C103:C104,C107,-C108,C109:C113)-C114</f>
        <v>0</v>
      </c>
      <c r="D128" s="432">
        <f t="shared" si="34"/>
        <v>0</v>
      </c>
      <c r="E128" s="432">
        <f t="shared" si="34"/>
        <v>0</v>
      </c>
      <c r="F128" s="432">
        <f t="shared" si="34"/>
        <v>0</v>
      </c>
      <c r="G128" s="432">
        <f t="shared" si="34"/>
        <v>0</v>
      </c>
      <c r="H128" s="432">
        <f t="shared" si="34"/>
        <v>0</v>
      </c>
      <c r="I128" s="432">
        <f t="shared" si="34"/>
        <v>0</v>
      </c>
      <c r="J128" s="432">
        <f t="shared" si="34"/>
        <v>0</v>
      </c>
      <c r="K128" s="432">
        <f t="shared" si="34"/>
        <v>0</v>
      </c>
      <c r="L128" s="432">
        <f t="shared" si="34"/>
        <v>0</v>
      </c>
      <c r="M128" s="432">
        <f t="shared" si="34"/>
        <v>0</v>
      </c>
      <c r="N128" s="432">
        <f t="shared" si="34"/>
        <v>0</v>
      </c>
      <c r="O128" s="432">
        <f t="shared" si="34"/>
        <v>0</v>
      </c>
    </row>
    <row r="129" spans="1:15" customFormat="1" ht="15">
      <c r="A129" s="1017" t="s">
        <v>110</v>
      </c>
      <c r="B129" s="432">
        <f>B114+B115-B116</f>
        <v>0</v>
      </c>
      <c r="C129" s="643">
        <f>C114+C115-C116</f>
        <v>0</v>
      </c>
      <c r="D129" s="643">
        <f t="shared" ref="D129:O129" si="35">D114+D115-D116</f>
        <v>0</v>
      </c>
      <c r="E129" s="643">
        <f t="shared" si="35"/>
        <v>0</v>
      </c>
      <c r="F129" s="643">
        <f t="shared" si="35"/>
        <v>0</v>
      </c>
      <c r="G129" s="643">
        <f t="shared" si="35"/>
        <v>0</v>
      </c>
      <c r="H129" s="643">
        <f t="shared" si="35"/>
        <v>0</v>
      </c>
      <c r="I129" s="643">
        <f t="shared" si="35"/>
        <v>0</v>
      </c>
      <c r="J129" s="643">
        <f t="shared" si="35"/>
        <v>0</v>
      </c>
      <c r="K129" s="643">
        <f t="shared" si="35"/>
        <v>0</v>
      </c>
      <c r="L129" s="643">
        <f t="shared" si="35"/>
        <v>0</v>
      </c>
      <c r="M129" s="643">
        <f t="shared" si="35"/>
        <v>0</v>
      </c>
      <c r="N129" s="643">
        <f t="shared" si="35"/>
        <v>0</v>
      </c>
      <c r="O129" s="643">
        <f t="shared" si="35"/>
        <v>0</v>
      </c>
    </row>
    <row r="130" spans="1:15" customFormat="1" ht="15">
      <c r="A130" s="1018" t="s">
        <v>546</v>
      </c>
      <c r="B130" s="432">
        <f t="shared" ref="B130:O130" si="36">B101+B116-B117</f>
        <v>0</v>
      </c>
      <c r="C130" s="643">
        <f t="shared" si="36"/>
        <v>0</v>
      </c>
      <c r="D130" s="643">
        <f t="shared" si="36"/>
        <v>0</v>
      </c>
      <c r="E130" s="643">
        <f t="shared" si="36"/>
        <v>0</v>
      </c>
      <c r="F130" s="643">
        <f t="shared" si="36"/>
        <v>0</v>
      </c>
      <c r="G130" s="643">
        <f t="shared" si="36"/>
        <v>0</v>
      </c>
      <c r="H130" s="643">
        <f t="shared" si="36"/>
        <v>0</v>
      </c>
      <c r="I130" s="643">
        <f t="shared" si="36"/>
        <v>0</v>
      </c>
      <c r="J130" s="643">
        <f t="shared" si="36"/>
        <v>0</v>
      </c>
      <c r="K130" s="643">
        <f t="shared" si="36"/>
        <v>0</v>
      </c>
      <c r="L130" s="643">
        <f t="shared" si="36"/>
        <v>0</v>
      </c>
      <c r="M130" s="643">
        <f t="shared" si="36"/>
        <v>0</v>
      </c>
      <c r="N130" s="643">
        <f t="shared" si="36"/>
        <v>0</v>
      </c>
      <c r="O130" s="643">
        <f t="shared" si="36"/>
        <v>0</v>
      </c>
    </row>
  </sheetData>
  <phoneticPr fontId="13" type="noConversion"/>
  <printOptions horizontalCentered="1"/>
  <pageMargins left="0.74803149606299202" right="0.74803149606299202" top="0.98425196850393704" bottom="0.98425196850393704" header="0.511811023622047" footer="0.511811023622047"/>
  <pageSetup paperSize="9" scale="44" orientation="portrait" cellComments="asDisplayed" r:id="rId1"/>
  <headerFooter alignWithMargins="0">
    <oddHeader>&amp;C&amp;F/&amp;A&amp;R
&amp;T  &amp;D</oddHeader>
    <oddFooter>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20"/>
    <pageSetUpPr fitToPage="1"/>
  </sheetPr>
  <dimension ref="A1:O101"/>
  <sheetViews>
    <sheetView showZeros="0" workbookViewId="0">
      <pane xSplit="2" ySplit="5" topLeftCell="C6" activePane="bottomRight" state="frozen"/>
      <selection activeCell="H6" sqref="H6"/>
      <selection pane="topRight" activeCell="H6" sqref="H6"/>
      <selection pane="bottomLeft" activeCell="H6" sqref="H6"/>
      <selection pane="bottomRight" activeCell="E20" sqref="E20"/>
    </sheetView>
  </sheetViews>
  <sheetFormatPr defaultColWidth="9" defaultRowHeight="12.75"/>
  <cols>
    <col min="1" max="1" width="33.5" style="1003" customWidth="1"/>
    <col min="2" max="2" width="12.5" style="383" customWidth="1"/>
    <col min="3" max="3" width="12.375" style="383" customWidth="1"/>
    <col min="4" max="4" width="9.125" style="383" customWidth="1"/>
    <col min="5" max="12" width="7.875" style="383" customWidth="1"/>
    <col min="13" max="13" width="8.625" style="383" customWidth="1"/>
    <col min="14" max="14" width="9" style="383"/>
    <col min="15" max="15" width="8.875" style="383" customWidth="1"/>
    <col min="16" max="16384" width="9" style="383"/>
  </cols>
  <sheetData>
    <row r="1" spans="1:15" ht="18.75">
      <c r="A1" s="1002" t="s">
        <v>947</v>
      </c>
    </row>
    <row r="2" spans="1:15">
      <c r="A2" s="1003" t="str">
        <f>CONCATENATE("客户名称：",说明!E23)</f>
        <v>客户名称：</v>
      </c>
    </row>
    <row r="3" spans="1:15">
      <c r="A3" s="1003" t="str">
        <f>CONCATENATE("会计期间：",说明!E30)</f>
        <v>会计期间：2019年度</v>
      </c>
    </row>
    <row r="4" spans="1:15" s="1004" customFormat="1">
      <c r="D4" s="1004">
        <v>1</v>
      </c>
      <c r="E4" s="1004">
        <v>2</v>
      </c>
      <c r="F4" s="1004">
        <v>3</v>
      </c>
      <c r="G4" s="1004">
        <v>4</v>
      </c>
      <c r="H4" s="1004">
        <v>5</v>
      </c>
      <c r="I4" s="1004">
        <v>6</v>
      </c>
      <c r="J4" s="1004">
        <v>7</v>
      </c>
      <c r="K4" s="1004">
        <v>8</v>
      </c>
      <c r="L4" s="1004">
        <v>9</v>
      </c>
      <c r="M4" s="1004">
        <v>10</v>
      </c>
    </row>
    <row r="5" spans="1:15" s="385" customFormat="1" ht="15">
      <c r="A5" s="1031" t="str">
        <f>报表格式!L4</f>
        <v>报表项目</v>
      </c>
      <c r="B5" s="458" t="s">
        <v>557</v>
      </c>
      <c r="C5" s="459" t="s">
        <v>558</v>
      </c>
      <c r="D5" s="459" t="s">
        <v>559</v>
      </c>
      <c r="E5" s="459" t="s">
        <v>560</v>
      </c>
      <c r="F5" s="459" t="s">
        <v>561</v>
      </c>
      <c r="G5" s="459" t="s">
        <v>562</v>
      </c>
      <c r="H5" s="459" t="s">
        <v>563</v>
      </c>
      <c r="I5" s="459" t="s">
        <v>564</v>
      </c>
      <c r="J5" s="459" t="s">
        <v>565</v>
      </c>
      <c r="K5" s="459" t="s">
        <v>566</v>
      </c>
      <c r="L5" s="459" t="s">
        <v>567</v>
      </c>
      <c r="M5" s="459" t="s">
        <v>568</v>
      </c>
      <c r="N5" s="460"/>
      <c r="O5" s="461" t="s">
        <v>569</v>
      </c>
    </row>
    <row r="6" spans="1:15" s="389" customFormat="1">
      <c r="A6" s="1032" t="str">
        <f>报表格式!L5</f>
        <v>一、营业收入</v>
      </c>
      <c r="B6" s="422">
        <f>SUM(C6:O6)</f>
        <v>0</v>
      </c>
      <c r="C6" s="422">
        <f>母公司TB损益!K6</f>
        <v>0</v>
      </c>
      <c r="D6" s="422"/>
      <c r="E6" s="422"/>
      <c r="F6" s="422"/>
      <c r="G6" s="422"/>
      <c r="H6" s="422"/>
      <c r="I6" s="422"/>
      <c r="J6" s="422"/>
      <c r="K6" s="422"/>
      <c r="L6" s="422"/>
      <c r="M6" s="422"/>
      <c r="N6" s="422"/>
      <c r="O6" s="423"/>
    </row>
    <row r="7" spans="1:15">
      <c r="A7" s="1024" t="str">
        <f>报表格式!L6</f>
        <v xml:space="preserve">        其中：主营业务收入</v>
      </c>
      <c r="B7" s="393">
        <f t="shared" ref="B7:B49" si="0">SUM(C7:O7)</f>
        <v>0</v>
      </c>
      <c r="C7" s="393">
        <f>母公司TB损益!K7</f>
        <v>0</v>
      </c>
      <c r="D7" s="393"/>
      <c r="E7" s="393"/>
      <c r="F7" s="393"/>
      <c r="G7" s="393"/>
      <c r="H7" s="393"/>
      <c r="I7" s="393"/>
      <c r="J7" s="393"/>
      <c r="K7" s="393"/>
      <c r="L7" s="393"/>
      <c r="M7" s="393"/>
      <c r="N7" s="393"/>
      <c r="O7" s="394"/>
    </row>
    <row r="8" spans="1:15">
      <c r="A8" s="1024" t="str">
        <f>报表格式!L7</f>
        <v xml:space="preserve">              利息收入</v>
      </c>
      <c r="B8" s="393">
        <f t="shared" ref="B8:B10" si="1">SUM(C8:O8)</f>
        <v>0</v>
      </c>
      <c r="C8" s="393">
        <f>母公司TB损益!K8</f>
        <v>0</v>
      </c>
      <c r="D8" s="393"/>
      <c r="E8" s="393"/>
      <c r="F8" s="393"/>
      <c r="G8" s="393"/>
      <c r="H8" s="393"/>
      <c r="I8" s="393"/>
      <c r="J8" s="393"/>
      <c r="K8" s="393"/>
      <c r="L8" s="393"/>
      <c r="M8" s="393"/>
      <c r="N8" s="393"/>
      <c r="O8" s="394"/>
    </row>
    <row r="9" spans="1:15">
      <c r="A9" s="1024" t="str">
        <f>报表格式!L8</f>
        <v xml:space="preserve">              已赚保费</v>
      </c>
      <c r="B9" s="393">
        <f t="shared" si="1"/>
        <v>0</v>
      </c>
      <c r="C9" s="393">
        <f>母公司TB损益!K9</f>
        <v>0</v>
      </c>
      <c r="D9" s="393"/>
      <c r="E9" s="393"/>
      <c r="F9" s="393"/>
      <c r="G9" s="393"/>
      <c r="H9" s="393"/>
      <c r="I9" s="393"/>
      <c r="J9" s="393"/>
      <c r="K9" s="393"/>
      <c r="L9" s="393"/>
      <c r="M9" s="393"/>
      <c r="N9" s="393"/>
      <c r="O9" s="394"/>
    </row>
    <row r="10" spans="1:15">
      <c r="A10" s="1024" t="str">
        <f>报表格式!L9</f>
        <v xml:space="preserve">              手续费及佣金收入</v>
      </c>
      <c r="B10" s="393">
        <f t="shared" si="1"/>
        <v>0</v>
      </c>
      <c r="C10" s="393">
        <f>母公司TB损益!K10</f>
        <v>0</v>
      </c>
      <c r="D10" s="393"/>
      <c r="E10" s="393"/>
      <c r="F10" s="393"/>
      <c r="G10" s="393"/>
      <c r="H10" s="393"/>
      <c r="I10" s="393"/>
      <c r="J10" s="393"/>
      <c r="K10" s="393"/>
      <c r="L10" s="393"/>
      <c r="M10" s="393"/>
      <c r="N10" s="393"/>
      <c r="O10" s="394"/>
    </row>
    <row r="11" spans="1:15">
      <c r="A11" s="1024" t="str">
        <f>报表格式!L10</f>
        <v xml:space="preserve">              其他业务收入</v>
      </c>
      <c r="B11" s="393">
        <f t="shared" si="0"/>
        <v>0</v>
      </c>
      <c r="C11" s="393">
        <f>母公司TB损益!K11</f>
        <v>0</v>
      </c>
      <c r="D11" s="393"/>
      <c r="E11" s="393"/>
      <c r="F11" s="393"/>
      <c r="G11" s="393"/>
      <c r="H11" s="393"/>
      <c r="I11" s="393"/>
      <c r="J11" s="393"/>
      <c r="K11" s="393"/>
      <c r="L11" s="393"/>
      <c r="M11" s="393"/>
      <c r="N11" s="393"/>
      <c r="O11" s="394"/>
    </row>
    <row r="12" spans="1:15">
      <c r="A12" s="1024" t="str">
        <f>报表格式!L11</f>
        <v xml:space="preserve">    减：营业成本</v>
      </c>
      <c r="B12" s="393">
        <f t="shared" si="0"/>
        <v>0</v>
      </c>
      <c r="C12" s="393">
        <f>母公司TB损益!K12</f>
        <v>0</v>
      </c>
      <c r="D12" s="393"/>
      <c r="E12" s="393"/>
      <c r="F12" s="393"/>
      <c r="G12" s="393"/>
      <c r="H12" s="393"/>
      <c r="I12" s="393"/>
      <c r="J12" s="393"/>
      <c r="K12" s="393"/>
      <c r="L12" s="393"/>
      <c r="M12" s="393"/>
      <c r="N12" s="393"/>
      <c r="O12" s="394"/>
    </row>
    <row r="13" spans="1:15" s="389" customFormat="1">
      <c r="A13" s="1024" t="str">
        <f>报表格式!L12</f>
        <v xml:space="preserve">        其中：主营业务成本</v>
      </c>
      <c r="B13" s="393">
        <f t="shared" si="0"/>
        <v>0</v>
      </c>
      <c r="C13" s="393">
        <f>母公司TB损益!K13</f>
        <v>0</v>
      </c>
      <c r="D13" s="393"/>
      <c r="E13" s="393"/>
      <c r="F13" s="393"/>
      <c r="G13" s="393"/>
      <c r="H13" s="393"/>
      <c r="I13" s="393"/>
      <c r="J13" s="393"/>
      <c r="K13" s="393"/>
      <c r="L13" s="393"/>
      <c r="M13" s="393"/>
      <c r="N13" s="393"/>
      <c r="O13" s="394"/>
    </row>
    <row r="14" spans="1:15" s="389" customFormat="1">
      <c r="A14" s="1024" t="str">
        <f>报表格式!L13</f>
        <v xml:space="preserve">              利息支出</v>
      </c>
      <c r="B14" s="393">
        <f t="shared" ref="B14:B20" si="2">SUM(C14:O14)</f>
        <v>0</v>
      </c>
      <c r="C14" s="393">
        <f>母公司TB损益!K14</f>
        <v>0</v>
      </c>
      <c r="D14" s="393"/>
      <c r="E14" s="393"/>
      <c r="F14" s="393"/>
      <c r="G14" s="393"/>
      <c r="H14" s="393"/>
      <c r="I14" s="393"/>
      <c r="J14" s="393"/>
      <c r="K14" s="393"/>
      <c r="L14" s="393"/>
      <c r="M14" s="393"/>
      <c r="N14" s="393"/>
      <c r="O14" s="394"/>
    </row>
    <row r="15" spans="1:15" s="389" customFormat="1">
      <c r="A15" s="1024" t="str">
        <f>报表格式!L14</f>
        <v xml:space="preserve">              手续费及佣金支出</v>
      </c>
      <c r="B15" s="393">
        <f t="shared" si="2"/>
        <v>0</v>
      </c>
      <c r="C15" s="393">
        <f>母公司TB损益!K15</f>
        <v>0</v>
      </c>
      <c r="D15" s="393"/>
      <c r="E15" s="393"/>
      <c r="F15" s="393"/>
      <c r="G15" s="393"/>
      <c r="H15" s="393"/>
      <c r="I15" s="393"/>
      <c r="J15" s="393"/>
      <c r="K15" s="393"/>
      <c r="L15" s="393"/>
      <c r="M15" s="393"/>
      <c r="N15" s="393"/>
      <c r="O15" s="394"/>
    </row>
    <row r="16" spans="1:15" s="389" customFormat="1">
      <c r="A16" s="1024" t="str">
        <f>报表格式!L15</f>
        <v xml:space="preserve">              退保金</v>
      </c>
      <c r="B16" s="393">
        <f t="shared" si="2"/>
        <v>0</v>
      </c>
      <c r="C16" s="393">
        <f>母公司TB损益!K16</f>
        <v>0</v>
      </c>
      <c r="D16" s="393"/>
      <c r="E16" s="393"/>
      <c r="F16" s="393"/>
      <c r="G16" s="393"/>
      <c r="H16" s="393"/>
      <c r="I16" s="393"/>
      <c r="J16" s="393"/>
      <c r="K16" s="393"/>
      <c r="L16" s="393"/>
      <c r="M16" s="393"/>
      <c r="N16" s="393"/>
      <c r="O16" s="394"/>
    </row>
    <row r="17" spans="1:15" s="389" customFormat="1">
      <c r="A17" s="1024" t="str">
        <f>报表格式!L16</f>
        <v xml:space="preserve">              赔付支出净额</v>
      </c>
      <c r="B17" s="393">
        <f t="shared" si="2"/>
        <v>0</v>
      </c>
      <c r="C17" s="393">
        <f>母公司TB损益!K17</f>
        <v>0</v>
      </c>
      <c r="D17" s="393"/>
      <c r="E17" s="393"/>
      <c r="F17" s="393"/>
      <c r="G17" s="393"/>
      <c r="H17" s="393"/>
      <c r="I17" s="393"/>
      <c r="J17" s="393"/>
      <c r="K17" s="393"/>
      <c r="L17" s="393"/>
      <c r="M17" s="393"/>
      <c r="N17" s="393"/>
      <c r="O17" s="394"/>
    </row>
    <row r="18" spans="1:15" s="389" customFormat="1">
      <c r="A18" s="1024" t="str">
        <f>报表格式!L17</f>
        <v xml:space="preserve">              提取保险合同准备金净额</v>
      </c>
      <c r="B18" s="393">
        <f t="shared" si="2"/>
        <v>0</v>
      </c>
      <c r="C18" s="393">
        <f>母公司TB损益!K18</f>
        <v>0</v>
      </c>
      <c r="D18" s="393"/>
      <c r="E18" s="393"/>
      <c r="F18" s="393"/>
      <c r="G18" s="393"/>
      <c r="H18" s="393"/>
      <c r="I18" s="393"/>
      <c r="J18" s="393"/>
      <c r="K18" s="393"/>
      <c r="L18" s="393"/>
      <c r="M18" s="393"/>
      <c r="N18" s="393"/>
      <c r="O18" s="394"/>
    </row>
    <row r="19" spans="1:15" s="389" customFormat="1">
      <c r="A19" s="1024" t="str">
        <f>报表格式!L18</f>
        <v xml:space="preserve">              保单红利支出</v>
      </c>
      <c r="B19" s="393">
        <f t="shared" si="2"/>
        <v>0</v>
      </c>
      <c r="C19" s="393">
        <f>母公司TB损益!K19</f>
        <v>0</v>
      </c>
      <c r="D19" s="393"/>
      <c r="E19" s="393"/>
      <c r="F19" s="393"/>
      <c r="G19" s="393"/>
      <c r="H19" s="393"/>
      <c r="I19" s="393"/>
      <c r="J19" s="393"/>
      <c r="K19" s="393"/>
      <c r="L19" s="393"/>
      <c r="M19" s="393"/>
      <c r="N19" s="393"/>
      <c r="O19" s="394"/>
    </row>
    <row r="20" spans="1:15" s="389" customFormat="1">
      <c r="A20" s="1024" t="str">
        <f>报表格式!L19</f>
        <v xml:space="preserve">              分保费用</v>
      </c>
      <c r="B20" s="393">
        <f t="shared" si="2"/>
        <v>0</v>
      </c>
      <c r="C20" s="393">
        <f>母公司TB损益!K20</f>
        <v>0</v>
      </c>
      <c r="D20" s="393"/>
      <c r="E20" s="393"/>
      <c r="F20" s="393"/>
      <c r="G20" s="393"/>
      <c r="H20" s="393"/>
      <c r="I20" s="393"/>
      <c r="J20" s="393"/>
      <c r="K20" s="393"/>
      <c r="L20" s="393"/>
      <c r="M20" s="393"/>
      <c r="N20" s="393"/>
      <c r="O20" s="394"/>
    </row>
    <row r="21" spans="1:15">
      <c r="A21" s="1024" t="str">
        <f>报表格式!L20</f>
        <v xml:space="preserve">              其他业务成本</v>
      </c>
      <c r="B21" s="393">
        <f t="shared" si="0"/>
        <v>0</v>
      </c>
      <c r="C21" s="393">
        <f>母公司TB损益!K21</f>
        <v>0</v>
      </c>
      <c r="D21" s="393"/>
      <c r="E21" s="393"/>
      <c r="F21" s="393"/>
      <c r="G21" s="393"/>
      <c r="H21" s="393"/>
      <c r="I21" s="393"/>
      <c r="J21" s="393"/>
      <c r="K21" s="393"/>
      <c r="L21" s="393"/>
      <c r="M21" s="393"/>
      <c r="N21" s="393"/>
      <c r="O21" s="394"/>
    </row>
    <row r="22" spans="1:15">
      <c r="A22" s="1024" t="str">
        <f>报表格式!L21</f>
        <v xml:space="preserve">        税金及附加</v>
      </c>
      <c r="B22" s="393">
        <f t="shared" si="0"/>
        <v>0</v>
      </c>
      <c r="C22" s="393">
        <f>母公司TB损益!K22</f>
        <v>0</v>
      </c>
      <c r="D22" s="393"/>
      <c r="E22" s="393"/>
      <c r="F22" s="393"/>
      <c r="G22" s="393"/>
      <c r="H22" s="393"/>
      <c r="I22" s="393"/>
      <c r="J22" s="393"/>
      <c r="K22" s="393"/>
      <c r="L22" s="393"/>
      <c r="M22" s="393"/>
      <c r="N22" s="393"/>
      <c r="O22" s="394"/>
    </row>
    <row r="23" spans="1:15">
      <c r="A23" s="1024" t="str">
        <f>报表格式!L22</f>
        <v xml:space="preserve">        销售费用</v>
      </c>
      <c r="B23" s="393">
        <f t="shared" si="0"/>
        <v>0</v>
      </c>
      <c r="C23" s="393">
        <f>母公司TB损益!K23</f>
        <v>0</v>
      </c>
      <c r="D23" s="393"/>
      <c r="E23" s="393"/>
      <c r="F23" s="393"/>
      <c r="G23" s="393"/>
      <c r="H23" s="393"/>
      <c r="I23" s="393"/>
      <c r="J23" s="393"/>
      <c r="K23" s="393"/>
      <c r="L23" s="393"/>
      <c r="M23" s="393"/>
      <c r="N23" s="393"/>
      <c r="O23" s="394"/>
    </row>
    <row r="24" spans="1:15">
      <c r="A24" s="1024" t="str">
        <f>报表格式!L23</f>
        <v xml:space="preserve">        管理费用</v>
      </c>
      <c r="B24" s="393">
        <f t="shared" si="0"/>
        <v>0</v>
      </c>
      <c r="C24" s="393">
        <f>母公司TB损益!K24</f>
        <v>0</v>
      </c>
      <c r="D24" s="393"/>
      <c r="E24" s="393"/>
      <c r="F24" s="393"/>
      <c r="G24" s="393"/>
      <c r="H24" s="393"/>
      <c r="I24" s="393"/>
      <c r="J24" s="393"/>
      <c r="K24" s="393"/>
      <c r="L24" s="393"/>
      <c r="M24" s="393"/>
      <c r="N24" s="393"/>
      <c r="O24" s="394"/>
    </row>
    <row r="25" spans="1:15">
      <c r="A25" s="1024" t="str">
        <f>报表格式!L24</f>
        <v xml:space="preserve">        研发费用</v>
      </c>
      <c r="B25" s="393">
        <f t="shared" si="0"/>
        <v>0</v>
      </c>
      <c r="C25" s="393">
        <f>母公司TB损益!K25</f>
        <v>0</v>
      </c>
      <c r="D25" s="393"/>
      <c r="E25" s="393"/>
      <c r="F25" s="393"/>
      <c r="G25" s="393"/>
      <c r="H25" s="393"/>
      <c r="I25" s="393"/>
      <c r="J25" s="393"/>
      <c r="K25" s="393"/>
      <c r="L25" s="393"/>
      <c r="M25" s="393"/>
      <c r="N25" s="393"/>
      <c r="O25" s="394"/>
    </row>
    <row r="26" spans="1:15">
      <c r="A26" s="1024" t="str">
        <f>报表格式!L25</f>
        <v xml:space="preserve">        财务费用</v>
      </c>
      <c r="B26" s="393">
        <f t="shared" si="0"/>
        <v>0</v>
      </c>
      <c r="C26" s="393">
        <f>母公司TB损益!K26</f>
        <v>0</v>
      </c>
      <c r="D26" s="393"/>
      <c r="E26" s="393"/>
      <c r="F26" s="393"/>
      <c r="G26" s="393"/>
      <c r="H26" s="393"/>
      <c r="I26" s="393"/>
      <c r="J26" s="393"/>
      <c r="K26" s="393"/>
      <c r="L26" s="393"/>
      <c r="M26" s="393"/>
      <c r="N26" s="393"/>
      <c r="O26" s="394"/>
    </row>
    <row r="27" spans="1:15">
      <c r="A27" s="1024" t="str">
        <f>报表格式!L26</f>
        <v xml:space="preserve">        其中：利息费用</v>
      </c>
      <c r="B27" s="393">
        <f t="shared" si="0"/>
        <v>0</v>
      </c>
      <c r="C27" s="393">
        <f>母公司TB损益!K27</f>
        <v>0</v>
      </c>
      <c r="D27" s="393"/>
      <c r="E27" s="393"/>
      <c r="F27" s="393"/>
      <c r="G27" s="393"/>
      <c r="H27" s="393"/>
      <c r="I27" s="393"/>
      <c r="J27" s="393"/>
      <c r="K27" s="393"/>
      <c r="L27" s="393"/>
      <c r="M27" s="393"/>
      <c r="N27" s="393"/>
      <c r="O27" s="394"/>
    </row>
    <row r="28" spans="1:15" s="389" customFormat="1">
      <c r="A28" s="1024" t="str">
        <f>报表格式!L27</f>
        <v xml:space="preserve">              利息收入</v>
      </c>
      <c r="B28" s="393">
        <f t="shared" si="0"/>
        <v>0</v>
      </c>
      <c r="C28" s="393">
        <f>母公司TB损益!K28</f>
        <v>0</v>
      </c>
      <c r="D28" s="393"/>
      <c r="E28" s="393"/>
      <c r="F28" s="393"/>
      <c r="G28" s="393"/>
      <c r="H28" s="393"/>
      <c r="I28" s="393"/>
      <c r="J28" s="393"/>
      <c r="K28" s="393"/>
      <c r="L28" s="393"/>
      <c r="M28" s="393"/>
      <c r="N28" s="393"/>
      <c r="O28" s="394"/>
    </row>
    <row r="29" spans="1:15">
      <c r="A29" s="1024" t="str">
        <f>报表格式!L28</f>
        <v xml:space="preserve">    加：其他收益</v>
      </c>
      <c r="B29" s="393">
        <f t="shared" ref="B29:B37" si="3">SUM(C29:O29)</f>
        <v>0</v>
      </c>
      <c r="C29" s="393">
        <f>母公司TB损益!K29</f>
        <v>0</v>
      </c>
      <c r="D29" s="393"/>
      <c r="E29" s="393"/>
      <c r="F29" s="393"/>
      <c r="G29" s="393"/>
      <c r="H29" s="393"/>
      <c r="I29" s="393"/>
      <c r="J29" s="393"/>
      <c r="K29" s="393"/>
      <c r="L29" s="393"/>
      <c r="M29" s="393"/>
      <c r="N29" s="393"/>
      <c r="O29" s="394"/>
    </row>
    <row r="30" spans="1:15">
      <c r="A30" s="1024" t="str">
        <f>报表格式!L29</f>
        <v xml:space="preserve">        投资收益（损失以“－”号填列）</v>
      </c>
      <c r="B30" s="393">
        <f t="shared" si="3"/>
        <v>0</v>
      </c>
      <c r="C30" s="393">
        <f>母公司TB损益!K30</f>
        <v>0</v>
      </c>
      <c r="D30" s="393"/>
      <c r="E30" s="393"/>
      <c r="F30" s="393"/>
      <c r="G30" s="393"/>
      <c r="H30" s="393"/>
      <c r="I30" s="393"/>
      <c r="J30" s="393"/>
      <c r="K30" s="393"/>
      <c r="L30" s="393"/>
      <c r="M30" s="393"/>
      <c r="N30" s="393"/>
      <c r="O30" s="394"/>
    </row>
    <row r="31" spans="1:15">
      <c r="A31" s="1024" t="str">
        <f>报表格式!L30</f>
        <v xml:space="preserve">        其中：对联营企业和合营企业的投资收益</v>
      </c>
      <c r="B31" s="393">
        <f t="shared" si="3"/>
        <v>0</v>
      </c>
      <c r="C31" s="393">
        <f>母公司TB损益!K31</f>
        <v>0</v>
      </c>
      <c r="D31" s="393"/>
      <c r="E31" s="393"/>
      <c r="F31" s="393"/>
      <c r="G31" s="393"/>
      <c r="H31" s="393"/>
      <c r="I31" s="393"/>
      <c r="J31" s="393"/>
      <c r="K31" s="393"/>
      <c r="L31" s="393"/>
      <c r="M31" s="393"/>
      <c r="N31" s="393"/>
      <c r="O31" s="394"/>
    </row>
    <row r="32" spans="1:15">
      <c r="A32" s="1024" t="str">
        <f>报表格式!L31</f>
        <v xml:space="preserve">              以摊余成本计量的金融资产终止确认收益（损失以“-”号填列）</v>
      </c>
      <c r="B32" s="393">
        <f t="shared" si="3"/>
        <v>0</v>
      </c>
      <c r="C32" s="393">
        <f>母公司TB损益!K32</f>
        <v>0</v>
      </c>
      <c r="D32" s="393"/>
      <c r="E32" s="393"/>
      <c r="F32" s="393"/>
      <c r="G32" s="393"/>
      <c r="H32" s="393"/>
      <c r="I32" s="393"/>
      <c r="J32" s="393"/>
      <c r="K32" s="393"/>
      <c r="L32" s="393"/>
      <c r="M32" s="393"/>
      <c r="N32" s="393"/>
      <c r="O32" s="394"/>
    </row>
    <row r="33" spans="1:15">
      <c r="A33" s="1024" t="str">
        <f>报表格式!L32</f>
        <v xml:space="preserve">        净敞口套期收益（损失以“-”号填列）</v>
      </c>
      <c r="B33" s="393">
        <f t="shared" si="3"/>
        <v>0</v>
      </c>
      <c r="C33" s="393">
        <f>母公司TB损益!K33</f>
        <v>0</v>
      </c>
      <c r="D33" s="393"/>
      <c r="E33" s="393"/>
      <c r="F33" s="393"/>
      <c r="G33" s="393"/>
      <c r="H33" s="393"/>
      <c r="I33" s="393"/>
      <c r="J33" s="393"/>
      <c r="K33" s="393"/>
      <c r="L33" s="393"/>
      <c r="M33" s="393"/>
      <c r="N33" s="393"/>
      <c r="O33" s="394"/>
    </row>
    <row r="34" spans="1:15">
      <c r="A34" s="1024" t="str">
        <f>报表格式!L33</f>
        <v xml:space="preserve">        公允价值变动收益（损失以“－”号填列）</v>
      </c>
      <c r="B34" s="393">
        <f t="shared" si="3"/>
        <v>0</v>
      </c>
      <c r="C34" s="393">
        <f>母公司TB损益!K34</f>
        <v>0</v>
      </c>
      <c r="D34" s="393"/>
      <c r="E34" s="393"/>
      <c r="F34" s="393"/>
      <c r="G34" s="393"/>
      <c r="H34" s="393"/>
      <c r="I34" s="393"/>
      <c r="J34" s="393"/>
      <c r="K34" s="393"/>
      <c r="L34" s="393"/>
      <c r="M34" s="393"/>
      <c r="N34" s="393"/>
      <c r="O34" s="394"/>
    </row>
    <row r="35" spans="1:15">
      <c r="A35" s="1024" t="str">
        <f>报表格式!L34</f>
        <v xml:space="preserve">        信用减值损失(损失以“-”号填列）</v>
      </c>
      <c r="B35" s="393">
        <f t="shared" si="3"/>
        <v>0</v>
      </c>
      <c r="C35" s="393">
        <f>母公司TB损益!K35</f>
        <v>0</v>
      </c>
      <c r="D35" s="393"/>
      <c r="E35" s="393"/>
      <c r="F35" s="393"/>
      <c r="G35" s="393"/>
      <c r="H35" s="393"/>
      <c r="I35" s="393"/>
      <c r="J35" s="393"/>
      <c r="K35" s="393"/>
      <c r="L35" s="393"/>
      <c r="M35" s="393"/>
      <c r="N35" s="393"/>
      <c r="O35" s="394"/>
    </row>
    <row r="36" spans="1:15">
      <c r="A36" s="1024" t="str">
        <f>报表格式!L35</f>
        <v xml:space="preserve">        资产减值损失(损失以“-”号填列）</v>
      </c>
      <c r="B36" s="393">
        <f t="shared" si="3"/>
        <v>0</v>
      </c>
      <c r="C36" s="393">
        <f>母公司TB损益!K36</f>
        <v>0</v>
      </c>
      <c r="D36" s="393"/>
      <c r="E36" s="393"/>
      <c r="F36" s="393"/>
      <c r="G36" s="393"/>
      <c r="H36" s="393"/>
      <c r="I36" s="393"/>
      <c r="J36" s="393"/>
      <c r="K36" s="393"/>
      <c r="L36" s="393"/>
      <c r="M36" s="393"/>
      <c r="N36" s="393"/>
      <c r="O36" s="394"/>
    </row>
    <row r="37" spans="1:15">
      <c r="A37" s="1024" t="str">
        <f>报表格式!L36</f>
        <v xml:space="preserve">        资产处置收益(损失以“-”号填列）</v>
      </c>
      <c r="B37" s="393">
        <f t="shared" si="3"/>
        <v>0</v>
      </c>
      <c r="C37" s="393">
        <f>母公司TB损益!K37</f>
        <v>0</v>
      </c>
      <c r="D37" s="393"/>
      <c r="E37" s="393"/>
      <c r="F37" s="393"/>
      <c r="G37" s="393"/>
      <c r="H37" s="393"/>
      <c r="I37" s="393"/>
      <c r="J37" s="393"/>
      <c r="K37" s="393"/>
      <c r="L37" s="393"/>
      <c r="M37" s="393"/>
      <c r="N37" s="393"/>
      <c r="O37" s="394"/>
    </row>
    <row r="38" spans="1:15" s="389" customFormat="1">
      <c r="A38" s="1033" t="str">
        <f>报表格式!L37</f>
        <v>二、营业利润（亏损以“－”号填列）</v>
      </c>
      <c r="B38" s="399">
        <f t="shared" si="0"/>
        <v>0</v>
      </c>
      <c r="C38" s="399">
        <f>SUM(C6)-SUM(C12,C22:C26)+SUM(C29:C30)+SUM(C33:C37)</f>
        <v>0</v>
      </c>
      <c r="D38" s="399">
        <f t="shared" ref="D38:O38" si="4">SUM(D6)-SUM(D12,D22:D26)+SUM(D29:D30)+SUM(D33:D37)</f>
        <v>0</v>
      </c>
      <c r="E38" s="399">
        <f t="shared" si="4"/>
        <v>0</v>
      </c>
      <c r="F38" s="399">
        <f t="shared" si="4"/>
        <v>0</v>
      </c>
      <c r="G38" s="399">
        <f t="shared" si="4"/>
        <v>0</v>
      </c>
      <c r="H38" s="399">
        <f t="shared" si="4"/>
        <v>0</v>
      </c>
      <c r="I38" s="399">
        <f t="shared" si="4"/>
        <v>0</v>
      </c>
      <c r="J38" s="399">
        <f t="shared" si="4"/>
        <v>0</v>
      </c>
      <c r="K38" s="399">
        <f t="shared" si="4"/>
        <v>0</v>
      </c>
      <c r="L38" s="399">
        <f t="shared" si="4"/>
        <v>0</v>
      </c>
      <c r="M38" s="399">
        <f t="shared" si="4"/>
        <v>0</v>
      </c>
      <c r="N38" s="399">
        <f t="shared" si="4"/>
        <v>0</v>
      </c>
      <c r="O38" s="399">
        <f t="shared" si="4"/>
        <v>0</v>
      </c>
    </row>
    <row r="39" spans="1:15">
      <c r="A39" s="1024" t="str">
        <f>报表格式!L38</f>
        <v xml:space="preserve">    加：营业外收入</v>
      </c>
      <c r="B39" s="393">
        <f t="shared" si="0"/>
        <v>0</v>
      </c>
      <c r="C39" s="393">
        <f>母公司TB损益!K39</f>
        <v>0</v>
      </c>
      <c r="D39" s="393"/>
      <c r="E39" s="393"/>
      <c r="F39" s="393"/>
      <c r="G39" s="393"/>
      <c r="H39" s="393"/>
      <c r="I39" s="393"/>
      <c r="J39" s="393"/>
      <c r="K39" s="393"/>
      <c r="L39" s="393"/>
      <c r="M39" s="393"/>
      <c r="N39" s="393"/>
      <c r="O39" s="394"/>
    </row>
    <row r="40" spans="1:15">
      <c r="A40" s="1024" t="str">
        <f>报表格式!L39</f>
        <v xml:space="preserve">    减：营业外支出</v>
      </c>
      <c r="B40" s="393">
        <f t="shared" si="0"/>
        <v>0</v>
      </c>
      <c r="C40" s="393">
        <f>母公司TB损益!K40</f>
        <v>0</v>
      </c>
      <c r="D40" s="393"/>
      <c r="E40" s="393"/>
      <c r="F40" s="393"/>
      <c r="G40" s="393"/>
      <c r="H40" s="393"/>
      <c r="I40" s="393"/>
      <c r="J40" s="393"/>
      <c r="K40" s="393"/>
      <c r="L40" s="393"/>
      <c r="M40" s="393"/>
      <c r="N40" s="393"/>
      <c r="O40" s="394"/>
    </row>
    <row r="41" spans="1:15" s="389" customFormat="1">
      <c r="A41" s="1033" t="str">
        <f>报表格式!L40</f>
        <v>三、利润总额（亏损总额以“－”号填列）</v>
      </c>
      <c r="B41" s="399">
        <f t="shared" si="0"/>
        <v>0</v>
      </c>
      <c r="C41" s="399">
        <f t="shared" ref="C41:O41" si="5">SUM(C38)+SUM(C39)-SUM(C40)</f>
        <v>0</v>
      </c>
      <c r="D41" s="399">
        <f t="shared" si="5"/>
        <v>0</v>
      </c>
      <c r="E41" s="399">
        <f t="shared" si="5"/>
        <v>0</v>
      </c>
      <c r="F41" s="399">
        <f t="shared" si="5"/>
        <v>0</v>
      </c>
      <c r="G41" s="399">
        <f t="shared" si="5"/>
        <v>0</v>
      </c>
      <c r="H41" s="399">
        <f t="shared" si="5"/>
        <v>0</v>
      </c>
      <c r="I41" s="399">
        <f t="shared" si="5"/>
        <v>0</v>
      </c>
      <c r="J41" s="399">
        <f t="shared" si="5"/>
        <v>0</v>
      </c>
      <c r="K41" s="399">
        <f t="shared" si="5"/>
        <v>0</v>
      </c>
      <c r="L41" s="399">
        <f t="shared" si="5"/>
        <v>0</v>
      </c>
      <c r="M41" s="399">
        <f t="shared" si="5"/>
        <v>0</v>
      </c>
      <c r="N41" s="399">
        <f t="shared" si="5"/>
        <v>0</v>
      </c>
      <c r="O41" s="400">
        <f t="shared" si="5"/>
        <v>0</v>
      </c>
    </row>
    <row r="42" spans="1:15">
      <c r="A42" s="1024" t="str">
        <f>报表格式!L41</f>
        <v xml:space="preserve">    减：所得税费用</v>
      </c>
      <c r="B42" s="393">
        <f t="shared" si="0"/>
        <v>0</v>
      </c>
      <c r="C42" s="393">
        <f>母公司TB损益!K42</f>
        <v>0</v>
      </c>
      <c r="D42" s="393"/>
      <c r="E42" s="393"/>
      <c r="F42" s="393"/>
      <c r="G42" s="393"/>
      <c r="H42" s="393"/>
      <c r="I42" s="393"/>
      <c r="J42" s="393"/>
      <c r="K42" s="393"/>
      <c r="L42" s="393"/>
      <c r="M42" s="393"/>
      <c r="N42" s="393"/>
      <c r="O42" s="394"/>
    </row>
    <row r="43" spans="1:15">
      <c r="A43" s="1024">
        <f>报表格式!L42</f>
        <v>0</v>
      </c>
      <c r="B43" s="393">
        <f t="shared" si="0"/>
        <v>0</v>
      </c>
      <c r="C43" s="393">
        <f>母公司TB损益!K43</f>
        <v>0</v>
      </c>
      <c r="D43" s="393"/>
      <c r="E43" s="393"/>
      <c r="F43" s="393"/>
      <c r="G43" s="393"/>
      <c r="H43" s="393"/>
      <c r="I43" s="393"/>
      <c r="J43" s="393"/>
      <c r="K43" s="393"/>
      <c r="L43" s="393"/>
      <c r="M43" s="393"/>
      <c r="N43" s="393"/>
      <c r="O43" s="394"/>
    </row>
    <row r="44" spans="1:15" s="389" customFormat="1">
      <c r="A44" s="1033" t="str">
        <f>报表格式!L43</f>
        <v>四、净利润（净亏损以“－”号填列）</v>
      </c>
      <c r="B44" s="399">
        <f t="shared" si="0"/>
        <v>0</v>
      </c>
      <c r="C44" s="399">
        <f t="shared" ref="C44:O44" si="6">C41-C42-C43</f>
        <v>0</v>
      </c>
      <c r="D44" s="399">
        <f t="shared" si="6"/>
        <v>0</v>
      </c>
      <c r="E44" s="399">
        <f t="shared" si="6"/>
        <v>0</v>
      </c>
      <c r="F44" s="399">
        <f t="shared" si="6"/>
        <v>0</v>
      </c>
      <c r="G44" s="399">
        <f t="shared" si="6"/>
        <v>0</v>
      </c>
      <c r="H44" s="399">
        <f t="shared" si="6"/>
        <v>0</v>
      </c>
      <c r="I44" s="399">
        <f t="shared" si="6"/>
        <v>0</v>
      </c>
      <c r="J44" s="399">
        <f t="shared" si="6"/>
        <v>0</v>
      </c>
      <c r="K44" s="399">
        <f t="shared" si="6"/>
        <v>0</v>
      </c>
      <c r="L44" s="399">
        <f t="shared" si="6"/>
        <v>0</v>
      </c>
      <c r="M44" s="399">
        <f t="shared" si="6"/>
        <v>0</v>
      </c>
      <c r="N44" s="399">
        <f t="shared" si="6"/>
        <v>0</v>
      </c>
      <c r="O44" s="400">
        <f t="shared" si="6"/>
        <v>0</v>
      </c>
    </row>
    <row r="45" spans="1:15">
      <c r="A45" s="1024" t="str">
        <f>报表格式!L44</f>
        <v xml:space="preserve"> （一）按经营持续性分类</v>
      </c>
      <c r="B45" s="393"/>
      <c r="C45" s="393"/>
      <c r="D45" s="393"/>
      <c r="E45" s="393"/>
      <c r="F45" s="393"/>
      <c r="G45" s="393"/>
      <c r="H45" s="393"/>
      <c r="I45" s="393"/>
      <c r="J45" s="393"/>
      <c r="K45" s="393"/>
      <c r="L45" s="393"/>
      <c r="M45" s="393"/>
      <c r="N45" s="393"/>
      <c r="O45" s="394"/>
    </row>
    <row r="46" spans="1:15">
      <c r="A46" s="1024" t="str">
        <f>报表格式!L45</f>
        <v xml:space="preserve">     其中：持续经营净利润（净亏损以“-”号填列）</v>
      </c>
      <c r="B46" s="393">
        <f>SUM(C46:O46)</f>
        <v>0</v>
      </c>
      <c r="C46" s="393">
        <f>母公司TB损益!K46</f>
        <v>0</v>
      </c>
      <c r="D46" s="393"/>
      <c r="E46" s="393"/>
      <c r="F46" s="393"/>
      <c r="G46" s="393"/>
      <c r="H46" s="393"/>
      <c r="I46" s="393"/>
      <c r="J46" s="393"/>
      <c r="K46" s="393"/>
      <c r="L46" s="393"/>
      <c r="M46" s="393"/>
      <c r="N46" s="393"/>
      <c r="O46" s="394"/>
    </row>
    <row r="47" spans="1:15">
      <c r="A47" s="1024" t="str">
        <f>报表格式!L46</f>
        <v xml:space="preserve">                 终止经营净利润（净亏损以“-”号填列）</v>
      </c>
      <c r="B47" s="393">
        <f>SUM(C47:O47)</f>
        <v>0</v>
      </c>
      <c r="C47" s="393">
        <f>母公司TB损益!K47</f>
        <v>0</v>
      </c>
      <c r="D47" s="393"/>
      <c r="E47" s="393"/>
      <c r="F47" s="393"/>
      <c r="G47" s="393"/>
      <c r="H47" s="393"/>
      <c r="I47" s="393"/>
      <c r="J47" s="393"/>
      <c r="K47" s="393"/>
      <c r="L47" s="393"/>
      <c r="M47" s="393"/>
      <c r="N47" s="393"/>
      <c r="O47" s="394"/>
    </row>
    <row r="48" spans="1:15">
      <c r="A48" s="1024" t="str">
        <f>报表格式!L47</f>
        <v xml:space="preserve"> （二）按所有权归属分类</v>
      </c>
      <c r="B48" s="393"/>
      <c r="C48" s="393"/>
      <c r="D48" s="393"/>
      <c r="E48" s="393"/>
      <c r="F48" s="393"/>
      <c r="G48" s="393"/>
      <c r="H48" s="393"/>
      <c r="I48" s="393"/>
      <c r="J48" s="393"/>
      <c r="K48" s="393"/>
      <c r="L48" s="393"/>
      <c r="M48" s="393"/>
      <c r="N48" s="393"/>
      <c r="O48" s="394"/>
    </row>
    <row r="49" spans="1:15">
      <c r="A49" s="1024" t="str">
        <f>报表格式!L48</f>
        <v xml:space="preserve">     其中：归属于母公司股东的净利润（净亏损以“-”号填列）</v>
      </c>
      <c r="B49" s="393">
        <f t="shared" si="0"/>
        <v>0</v>
      </c>
      <c r="C49" s="393">
        <f>母公司TB损益!K49</f>
        <v>0</v>
      </c>
      <c r="D49" s="393">
        <f>D44-D50</f>
        <v>0</v>
      </c>
      <c r="E49" s="393">
        <f t="shared" ref="E49:O49" si="7">E44-E50</f>
        <v>0</v>
      </c>
      <c r="F49" s="393">
        <f t="shared" si="7"/>
        <v>0</v>
      </c>
      <c r="G49" s="393">
        <f t="shared" si="7"/>
        <v>0</v>
      </c>
      <c r="H49" s="393">
        <f t="shared" si="7"/>
        <v>0</v>
      </c>
      <c r="I49" s="393">
        <f t="shared" si="7"/>
        <v>0</v>
      </c>
      <c r="J49" s="393">
        <f t="shared" si="7"/>
        <v>0</v>
      </c>
      <c r="K49" s="393">
        <f t="shared" si="7"/>
        <v>0</v>
      </c>
      <c r="L49" s="393">
        <f t="shared" si="7"/>
        <v>0</v>
      </c>
      <c r="M49" s="393">
        <f t="shared" si="7"/>
        <v>0</v>
      </c>
      <c r="N49" s="393">
        <f t="shared" si="7"/>
        <v>0</v>
      </c>
      <c r="O49" s="394">
        <f t="shared" si="7"/>
        <v>0</v>
      </c>
    </row>
    <row r="50" spans="1:15" s="389" customFormat="1">
      <c r="A50" s="1024" t="str">
        <f>报表格式!L49</f>
        <v xml:space="preserve">                少数股东损益（净亏损以“-”号填列）</v>
      </c>
      <c r="B50" s="393">
        <f t="shared" ref="B50:B77" si="8">SUM(C50:O50)</f>
        <v>0</v>
      </c>
      <c r="C50" s="393">
        <f>母公司TB损益!K50</f>
        <v>0</v>
      </c>
      <c r="D50" s="393"/>
      <c r="E50" s="393"/>
      <c r="F50" s="393"/>
      <c r="G50" s="393"/>
      <c r="H50" s="393"/>
      <c r="I50" s="393"/>
      <c r="J50" s="393"/>
      <c r="K50" s="393"/>
      <c r="L50" s="393"/>
      <c r="M50" s="393"/>
      <c r="N50" s="393"/>
      <c r="O50" s="394"/>
    </row>
    <row r="51" spans="1:15">
      <c r="A51" s="1033" t="str">
        <f>报表格式!L50</f>
        <v>五、其他综合收益的税后净额</v>
      </c>
      <c r="B51" s="399">
        <f t="shared" si="8"/>
        <v>0</v>
      </c>
      <c r="C51" s="399">
        <f>母公司TB损益!K51</f>
        <v>0</v>
      </c>
      <c r="D51" s="399">
        <f>D52+D71</f>
        <v>0</v>
      </c>
      <c r="E51" s="399">
        <f t="shared" ref="E51:O51" si="9">E52+E71</f>
        <v>0</v>
      </c>
      <c r="F51" s="399">
        <f t="shared" si="9"/>
        <v>0</v>
      </c>
      <c r="G51" s="399">
        <f t="shared" si="9"/>
        <v>0</v>
      </c>
      <c r="H51" s="399">
        <f t="shared" si="9"/>
        <v>0</v>
      </c>
      <c r="I51" s="399">
        <f t="shared" si="9"/>
        <v>0</v>
      </c>
      <c r="J51" s="399">
        <f t="shared" si="9"/>
        <v>0</v>
      </c>
      <c r="K51" s="399">
        <f t="shared" si="9"/>
        <v>0</v>
      </c>
      <c r="L51" s="399">
        <f t="shared" si="9"/>
        <v>0</v>
      </c>
      <c r="M51" s="399">
        <f t="shared" si="9"/>
        <v>0</v>
      </c>
      <c r="N51" s="399">
        <f t="shared" si="9"/>
        <v>0</v>
      </c>
      <c r="O51" s="400">
        <f t="shared" si="9"/>
        <v>0</v>
      </c>
    </row>
    <row r="52" spans="1:15">
      <c r="A52" s="1024" t="str">
        <f>报表格式!L51</f>
        <v>归属于母公司股东的其他综合收益的税后净额</v>
      </c>
      <c r="B52" s="393">
        <f t="shared" si="8"/>
        <v>0</v>
      </c>
      <c r="C52" s="393">
        <f>母公司TB损益!K52</f>
        <v>0</v>
      </c>
      <c r="D52" s="393">
        <f>D53+D59</f>
        <v>0</v>
      </c>
      <c r="E52" s="393">
        <f t="shared" ref="E52:O52" si="10">E53+E59</f>
        <v>0</v>
      </c>
      <c r="F52" s="393">
        <f t="shared" si="10"/>
        <v>0</v>
      </c>
      <c r="G52" s="393">
        <f t="shared" si="10"/>
        <v>0</v>
      </c>
      <c r="H52" s="393">
        <f t="shared" si="10"/>
        <v>0</v>
      </c>
      <c r="I52" s="393">
        <f t="shared" si="10"/>
        <v>0</v>
      </c>
      <c r="J52" s="393">
        <f t="shared" si="10"/>
        <v>0</v>
      </c>
      <c r="K52" s="393">
        <f t="shared" si="10"/>
        <v>0</v>
      </c>
      <c r="L52" s="393">
        <f t="shared" si="10"/>
        <v>0</v>
      </c>
      <c r="M52" s="393">
        <f t="shared" si="10"/>
        <v>0</v>
      </c>
      <c r="N52" s="393">
        <f t="shared" si="10"/>
        <v>0</v>
      </c>
      <c r="O52" s="394">
        <f t="shared" si="10"/>
        <v>0</v>
      </c>
    </row>
    <row r="53" spans="1:15">
      <c r="A53" s="1024" t="str">
        <f>报表格式!L52</f>
        <v xml:space="preserve">  （一）不能重分类进损益的其他综合收益</v>
      </c>
      <c r="B53" s="399">
        <f t="shared" si="8"/>
        <v>0</v>
      </c>
      <c r="C53" s="399">
        <f>母公司TB损益!K53</f>
        <v>0</v>
      </c>
      <c r="D53" s="399">
        <f>SUM(D54:D58)</f>
        <v>0</v>
      </c>
      <c r="E53" s="399">
        <f t="shared" ref="E53:O53" si="11">SUM(E54:E58)</f>
        <v>0</v>
      </c>
      <c r="F53" s="399">
        <f t="shared" si="11"/>
        <v>0</v>
      </c>
      <c r="G53" s="399">
        <f t="shared" si="11"/>
        <v>0</v>
      </c>
      <c r="H53" s="399">
        <f t="shared" si="11"/>
        <v>0</v>
      </c>
      <c r="I53" s="399">
        <f t="shared" si="11"/>
        <v>0</v>
      </c>
      <c r="J53" s="399">
        <f t="shared" si="11"/>
        <v>0</v>
      </c>
      <c r="K53" s="399">
        <f t="shared" si="11"/>
        <v>0</v>
      </c>
      <c r="L53" s="399">
        <f t="shared" si="11"/>
        <v>0</v>
      </c>
      <c r="M53" s="399">
        <f t="shared" si="11"/>
        <v>0</v>
      </c>
      <c r="N53" s="399">
        <f t="shared" si="11"/>
        <v>0</v>
      </c>
      <c r="O53" s="400">
        <f t="shared" si="11"/>
        <v>0</v>
      </c>
    </row>
    <row r="54" spans="1:15" s="389" customFormat="1">
      <c r="A54" s="1024" t="str">
        <f>报表格式!L53</f>
        <v>1.重新计量设定受益计划变动额</v>
      </c>
      <c r="B54" s="399">
        <f t="shared" si="8"/>
        <v>0</v>
      </c>
      <c r="C54" s="399">
        <f>母公司TB损益!K54</f>
        <v>0</v>
      </c>
      <c r="D54" s="399"/>
      <c r="E54" s="399"/>
      <c r="F54" s="399"/>
      <c r="G54" s="399"/>
      <c r="H54" s="399"/>
      <c r="I54" s="399"/>
      <c r="J54" s="399"/>
      <c r="K54" s="399"/>
      <c r="L54" s="399"/>
      <c r="M54" s="399"/>
      <c r="N54" s="399"/>
      <c r="O54" s="400"/>
    </row>
    <row r="55" spans="1:15">
      <c r="A55" s="1024" t="str">
        <f>报表格式!L54</f>
        <v>2.权益法下不能转损益的其他综合收益</v>
      </c>
      <c r="B55" s="399">
        <f t="shared" si="8"/>
        <v>0</v>
      </c>
      <c r="C55" s="399">
        <f>母公司TB损益!K55</f>
        <v>0</v>
      </c>
      <c r="D55" s="399"/>
      <c r="E55" s="399"/>
      <c r="F55" s="399"/>
      <c r="G55" s="399"/>
      <c r="H55" s="399"/>
      <c r="I55" s="399"/>
      <c r="J55" s="399"/>
      <c r="K55" s="399"/>
      <c r="L55" s="399"/>
      <c r="M55" s="399"/>
      <c r="N55" s="399"/>
      <c r="O55" s="400"/>
    </row>
    <row r="56" spans="1:15">
      <c r="A56" s="1024" t="str">
        <f>报表格式!L55</f>
        <v xml:space="preserve">3.其他权益工具投资公允价值变动 </v>
      </c>
      <c r="B56" s="399">
        <f>SUM(C56:O56)</f>
        <v>0</v>
      </c>
      <c r="C56" s="399">
        <f>母公司TB损益!K56</f>
        <v>0</v>
      </c>
      <c r="D56" s="399"/>
      <c r="E56" s="399"/>
      <c r="F56" s="399"/>
      <c r="G56" s="399"/>
      <c r="H56" s="399"/>
      <c r="I56" s="399"/>
      <c r="J56" s="399"/>
      <c r="K56" s="399"/>
      <c r="L56" s="399"/>
      <c r="M56" s="399"/>
      <c r="N56" s="399"/>
      <c r="O56" s="400"/>
    </row>
    <row r="57" spans="1:15">
      <c r="A57" s="1024" t="str">
        <f>报表格式!L56</f>
        <v xml:space="preserve">4.企业自身信用风险公允价值变动 </v>
      </c>
      <c r="B57" s="399">
        <f>SUM(C57:O57)</f>
        <v>0</v>
      </c>
      <c r="C57" s="399">
        <f>母公司TB损益!K57</f>
        <v>0</v>
      </c>
      <c r="D57" s="399"/>
      <c r="E57" s="399"/>
      <c r="F57" s="399"/>
      <c r="G57" s="399"/>
      <c r="H57" s="399"/>
      <c r="I57" s="399"/>
      <c r="J57" s="399"/>
      <c r="K57" s="399"/>
      <c r="L57" s="399"/>
      <c r="M57" s="399"/>
      <c r="N57" s="399"/>
      <c r="O57" s="400"/>
    </row>
    <row r="58" spans="1:15">
      <c r="A58" s="1024" t="str">
        <f>报表格式!L57</f>
        <v>5.其他</v>
      </c>
      <c r="B58" s="399">
        <f t="shared" si="8"/>
        <v>0</v>
      </c>
      <c r="C58" s="399">
        <f>母公司TB损益!K58</f>
        <v>0</v>
      </c>
      <c r="D58" s="399"/>
      <c r="E58" s="399"/>
      <c r="F58" s="399"/>
      <c r="G58" s="399"/>
      <c r="H58" s="399"/>
      <c r="I58" s="399"/>
      <c r="J58" s="399"/>
      <c r="K58" s="399"/>
      <c r="L58" s="399"/>
      <c r="M58" s="399"/>
      <c r="N58" s="399"/>
      <c r="O58" s="400"/>
    </row>
    <row r="59" spans="1:15">
      <c r="A59" s="1024" t="str">
        <f>报表格式!L58</f>
        <v xml:space="preserve">  （二）将重分类进损益的其他综合收益</v>
      </c>
      <c r="B59" s="399">
        <f t="shared" si="8"/>
        <v>0</v>
      </c>
      <c r="C59" s="399">
        <f>母公司TB损益!K59</f>
        <v>0</v>
      </c>
      <c r="D59" s="399">
        <f>SUM(D60:D70)</f>
        <v>0</v>
      </c>
      <c r="E59" s="399">
        <f t="shared" ref="E59:O59" si="12">SUM(E60:E70)</f>
        <v>0</v>
      </c>
      <c r="F59" s="399">
        <f t="shared" si="12"/>
        <v>0</v>
      </c>
      <c r="G59" s="399">
        <f t="shared" si="12"/>
        <v>0</v>
      </c>
      <c r="H59" s="399">
        <f t="shared" si="12"/>
        <v>0</v>
      </c>
      <c r="I59" s="399">
        <f t="shared" si="12"/>
        <v>0</v>
      </c>
      <c r="J59" s="399">
        <f t="shared" si="12"/>
        <v>0</v>
      </c>
      <c r="K59" s="399">
        <f t="shared" si="12"/>
        <v>0</v>
      </c>
      <c r="L59" s="399">
        <f t="shared" si="12"/>
        <v>0</v>
      </c>
      <c r="M59" s="399">
        <f t="shared" si="12"/>
        <v>0</v>
      </c>
      <c r="N59" s="399">
        <f t="shared" si="12"/>
        <v>0</v>
      </c>
      <c r="O59" s="400">
        <f t="shared" si="12"/>
        <v>0</v>
      </c>
    </row>
    <row r="60" spans="1:15" s="389" customFormat="1">
      <c r="A60" s="1024" t="str">
        <f>报表格式!L59</f>
        <v>1.权益法下可转损益的其他综合收益</v>
      </c>
      <c r="B60" s="393">
        <f t="shared" si="8"/>
        <v>0</v>
      </c>
      <c r="C60" s="393">
        <f>母公司TB损益!K60</f>
        <v>0</v>
      </c>
      <c r="D60" s="399"/>
      <c r="E60" s="399"/>
      <c r="F60" s="399"/>
      <c r="G60" s="399"/>
      <c r="H60" s="399"/>
      <c r="I60" s="399"/>
      <c r="J60" s="399"/>
      <c r="K60" s="399"/>
      <c r="L60" s="399"/>
      <c r="M60" s="399"/>
      <c r="N60" s="399"/>
      <c r="O60" s="400"/>
    </row>
    <row r="61" spans="1:15" s="389" customFormat="1">
      <c r="A61" s="1024" t="str">
        <f>报表格式!L60</f>
        <v xml:space="preserve">2.其他债权投资公允价值变动 </v>
      </c>
      <c r="B61" s="393">
        <f t="shared" ref="B61:B64" si="13">SUM(C61:O61)</f>
        <v>0</v>
      </c>
      <c r="C61" s="393">
        <f>母公司TB损益!K61</f>
        <v>0</v>
      </c>
      <c r="D61" s="399"/>
      <c r="E61" s="399"/>
      <c r="F61" s="399"/>
      <c r="G61" s="399"/>
      <c r="H61" s="399"/>
      <c r="I61" s="399"/>
      <c r="J61" s="399"/>
      <c r="K61" s="399"/>
      <c r="L61" s="399"/>
      <c r="M61" s="399"/>
      <c r="N61" s="399"/>
      <c r="O61" s="400"/>
    </row>
    <row r="62" spans="1:15">
      <c r="A62" s="1024" t="str">
        <f>报表格式!L61</f>
        <v>3.可供出售金融资产公允价值变动损益</v>
      </c>
      <c r="B62" s="393">
        <f t="shared" si="13"/>
        <v>0</v>
      </c>
      <c r="C62" s="393">
        <f>母公司TB损益!K62</f>
        <v>0</v>
      </c>
      <c r="D62" s="399"/>
      <c r="E62" s="399"/>
      <c r="F62" s="399"/>
      <c r="G62" s="399"/>
      <c r="H62" s="399"/>
      <c r="I62" s="399"/>
      <c r="J62" s="399"/>
      <c r="K62" s="399"/>
      <c r="L62" s="399"/>
      <c r="M62" s="399"/>
      <c r="N62" s="399"/>
      <c r="O62" s="400"/>
    </row>
    <row r="63" spans="1:15">
      <c r="A63" s="1024" t="str">
        <f>报表格式!L62</f>
        <v xml:space="preserve">4.金融资产重分类计入其他综合收益的金额 </v>
      </c>
      <c r="B63" s="393">
        <f t="shared" si="13"/>
        <v>0</v>
      </c>
      <c r="C63" s="393">
        <f>母公司TB损益!K63</f>
        <v>0</v>
      </c>
      <c r="D63" s="399"/>
      <c r="E63" s="399"/>
      <c r="F63" s="399"/>
      <c r="G63" s="399"/>
      <c r="H63" s="399"/>
      <c r="I63" s="399"/>
      <c r="J63" s="399"/>
      <c r="K63" s="399"/>
      <c r="L63" s="399"/>
      <c r="M63" s="399"/>
      <c r="N63" s="399"/>
      <c r="O63" s="400"/>
    </row>
    <row r="64" spans="1:15">
      <c r="A64" s="1024" t="str">
        <f>报表格式!L63</f>
        <v>5.持有至到期投资重分类为可供出售金融资产损益</v>
      </c>
      <c r="B64" s="393">
        <f t="shared" si="13"/>
        <v>0</v>
      </c>
      <c r="C64" s="393">
        <f>母公司TB损益!K64</f>
        <v>0</v>
      </c>
      <c r="D64" s="399"/>
      <c r="E64" s="399"/>
      <c r="F64" s="399"/>
      <c r="G64" s="399"/>
      <c r="H64" s="399"/>
      <c r="I64" s="399"/>
      <c r="J64" s="399"/>
      <c r="K64" s="399"/>
      <c r="L64" s="399"/>
      <c r="M64" s="399"/>
      <c r="N64" s="399"/>
      <c r="O64" s="400"/>
    </row>
    <row r="65" spans="1:15">
      <c r="A65" s="1024" t="str">
        <f>报表格式!L64</f>
        <v>6.其他债权投资信用减值准备</v>
      </c>
      <c r="B65" s="399">
        <f>SUM(C65:O65)</f>
        <v>0</v>
      </c>
      <c r="C65" s="399">
        <f>母公司TB损益!K66</f>
        <v>0</v>
      </c>
      <c r="D65" s="399"/>
      <c r="E65" s="399"/>
      <c r="F65" s="399"/>
      <c r="G65" s="399"/>
      <c r="H65" s="399"/>
      <c r="I65" s="399"/>
      <c r="J65" s="399"/>
      <c r="K65" s="399"/>
      <c r="L65" s="399"/>
      <c r="M65" s="399"/>
      <c r="N65" s="399"/>
      <c r="O65" s="400"/>
    </row>
    <row r="66" spans="1:15" s="389" customFormat="1">
      <c r="A66" s="1024" t="str">
        <f>报表格式!L65</f>
        <v>7.现金流量套期储备</v>
      </c>
      <c r="B66" s="399">
        <f t="shared" si="8"/>
        <v>0</v>
      </c>
      <c r="C66" s="399">
        <f>母公司TB损益!K66</f>
        <v>0</v>
      </c>
      <c r="D66" s="399"/>
      <c r="E66" s="399"/>
      <c r="F66" s="399"/>
      <c r="G66" s="399"/>
      <c r="H66" s="399"/>
      <c r="I66" s="399"/>
      <c r="J66" s="399"/>
      <c r="K66" s="399"/>
      <c r="L66" s="399"/>
      <c r="M66" s="399"/>
      <c r="N66" s="399"/>
      <c r="O66" s="400"/>
    </row>
    <row r="67" spans="1:15">
      <c r="A67" s="1024" t="str">
        <f>报表格式!L66</f>
        <v>8.外币财务报表折算差额</v>
      </c>
      <c r="B67" s="399">
        <f t="shared" si="8"/>
        <v>0</v>
      </c>
      <c r="C67" s="399">
        <f>母公司TB损益!K67</f>
        <v>0</v>
      </c>
      <c r="D67" s="399"/>
      <c r="E67" s="399"/>
      <c r="F67" s="399"/>
      <c r="G67" s="399"/>
      <c r="H67" s="399"/>
      <c r="I67" s="399"/>
      <c r="J67" s="399"/>
      <c r="K67" s="399"/>
      <c r="L67" s="399"/>
      <c r="M67" s="399"/>
      <c r="N67" s="399"/>
      <c r="O67" s="400"/>
    </row>
    <row r="68" spans="1:15">
      <c r="A68" s="1024" t="str">
        <f>报表格式!L67</f>
        <v>9.自用房地产或作为存货的房地产转换为以公允价值计量的投资性房地产在转换日公允价值大于账面价值部分</v>
      </c>
      <c r="B68" s="399">
        <f t="shared" si="8"/>
        <v>0</v>
      </c>
      <c r="C68" s="399">
        <f>母公司TB损益!K68</f>
        <v>0</v>
      </c>
      <c r="D68" s="399"/>
      <c r="E68" s="399"/>
      <c r="F68" s="399"/>
      <c r="G68" s="399"/>
      <c r="H68" s="399"/>
      <c r="I68" s="399"/>
      <c r="J68" s="399"/>
      <c r="K68" s="399"/>
      <c r="L68" s="399"/>
      <c r="M68" s="399"/>
      <c r="N68" s="399"/>
      <c r="O68" s="400"/>
    </row>
    <row r="69" spans="1:15">
      <c r="A69" s="1024" t="str">
        <f>报表格式!L68</f>
        <v>10.多次交易分步处置子公司股权构成一揽子交易的，丧失控制权之前各次交易处置价款与对应净资产账面价值份额的差额</v>
      </c>
      <c r="B69" s="399">
        <f t="shared" si="8"/>
        <v>0</v>
      </c>
      <c r="C69" s="399">
        <f>母公司TB损益!K69</f>
        <v>0</v>
      </c>
      <c r="D69" s="399"/>
      <c r="E69" s="399"/>
      <c r="F69" s="399"/>
      <c r="G69" s="399"/>
      <c r="H69" s="399"/>
      <c r="I69" s="399"/>
      <c r="J69" s="399"/>
      <c r="K69" s="399"/>
      <c r="L69" s="399"/>
      <c r="M69" s="399"/>
      <c r="N69" s="399"/>
      <c r="O69" s="400"/>
    </row>
    <row r="70" spans="1:15">
      <c r="A70" s="1024" t="str">
        <f>报表格式!L69</f>
        <v>11.其他</v>
      </c>
      <c r="B70" s="399">
        <f t="shared" si="8"/>
        <v>0</v>
      </c>
      <c r="C70" s="399">
        <f>母公司TB损益!K70</f>
        <v>0</v>
      </c>
      <c r="D70" s="399"/>
      <c r="E70" s="399"/>
      <c r="F70" s="399"/>
      <c r="G70" s="399"/>
      <c r="H70" s="399"/>
      <c r="I70" s="399"/>
      <c r="J70" s="399"/>
      <c r="K70" s="399"/>
      <c r="L70" s="399"/>
      <c r="M70" s="399"/>
      <c r="N70" s="399"/>
      <c r="O70" s="400"/>
    </row>
    <row r="71" spans="1:15">
      <c r="A71" s="1024" t="str">
        <f>报表格式!L70</f>
        <v>归属于少数股东的其他综合收益的税后净额</v>
      </c>
      <c r="B71" s="399">
        <f t="shared" si="8"/>
        <v>0</v>
      </c>
      <c r="C71" s="399">
        <f>母公司TB损益!K71</f>
        <v>0</v>
      </c>
      <c r="D71" s="399"/>
      <c r="E71" s="399"/>
      <c r="F71" s="399"/>
      <c r="G71" s="399"/>
      <c r="H71" s="399"/>
      <c r="I71" s="399"/>
      <c r="J71" s="399"/>
      <c r="K71" s="399"/>
      <c r="L71" s="399"/>
      <c r="M71" s="399"/>
      <c r="N71" s="399"/>
      <c r="O71" s="400"/>
    </row>
    <row r="72" spans="1:15">
      <c r="A72" s="1033" t="str">
        <f>报表格式!L71</f>
        <v>六、综合收益总额</v>
      </c>
      <c r="B72" s="399">
        <f t="shared" si="8"/>
        <v>0</v>
      </c>
      <c r="C72" s="399">
        <f>母公司TB损益!K72</f>
        <v>0</v>
      </c>
      <c r="D72" s="399">
        <f>D44+D51</f>
        <v>0</v>
      </c>
      <c r="E72" s="399">
        <f t="shared" ref="E72:O72" si="14">E44+E51</f>
        <v>0</v>
      </c>
      <c r="F72" s="399">
        <f t="shared" si="14"/>
        <v>0</v>
      </c>
      <c r="G72" s="399">
        <f t="shared" si="14"/>
        <v>0</v>
      </c>
      <c r="H72" s="399">
        <f t="shared" si="14"/>
        <v>0</v>
      </c>
      <c r="I72" s="399">
        <f t="shared" si="14"/>
        <v>0</v>
      </c>
      <c r="J72" s="399">
        <f t="shared" si="14"/>
        <v>0</v>
      </c>
      <c r="K72" s="399">
        <f t="shared" si="14"/>
        <v>0</v>
      </c>
      <c r="L72" s="399">
        <f t="shared" si="14"/>
        <v>0</v>
      </c>
      <c r="M72" s="399">
        <f t="shared" si="14"/>
        <v>0</v>
      </c>
      <c r="N72" s="399">
        <f t="shared" si="14"/>
        <v>0</v>
      </c>
      <c r="O72" s="400">
        <f t="shared" si="14"/>
        <v>0</v>
      </c>
    </row>
    <row r="73" spans="1:15">
      <c r="A73" s="1024" t="str">
        <f>报表格式!L72</f>
        <v xml:space="preserve">     归属于母公司股东的综合收益总额</v>
      </c>
      <c r="B73" s="393">
        <f t="shared" si="8"/>
        <v>0</v>
      </c>
      <c r="C73" s="393">
        <f>母公司TB损益!K73</f>
        <v>0</v>
      </c>
      <c r="D73" s="393">
        <f>D49+D52</f>
        <v>0</v>
      </c>
      <c r="E73" s="393">
        <f t="shared" ref="E73:O73" si="15">E49+E52</f>
        <v>0</v>
      </c>
      <c r="F73" s="393">
        <f t="shared" si="15"/>
        <v>0</v>
      </c>
      <c r="G73" s="393">
        <f t="shared" si="15"/>
        <v>0</v>
      </c>
      <c r="H73" s="393">
        <f t="shared" si="15"/>
        <v>0</v>
      </c>
      <c r="I73" s="393">
        <f t="shared" si="15"/>
        <v>0</v>
      </c>
      <c r="J73" s="393">
        <f t="shared" si="15"/>
        <v>0</v>
      </c>
      <c r="K73" s="393">
        <f t="shared" si="15"/>
        <v>0</v>
      </c>
      <c r="L73" s="393">
        <f t="shared" si="15"/>
        <v>0</v>
      </c>
      <c r="M73" s="393">
        <f t="shared" si="15"/>
        <v>0</v>
      </c>
      <c r="N73" s="393">
        <f t="shared" si="15"/>
        <v>0</v>
      </c>
      <c r="O73" s="394">
        <f t="shared" si="15"/>
        <v>0</v>
      </c>
    </row>
    <row r="74" spans="1:15">
      <c r="A74" s="1024" t="str">
        <f>报表格式!L73</f>
        <v xml:space="preserve">     归属于少数股东的综合收益总额</v>
      </c>
      <c r="B74" s="393">
        <f t="shared" si="8"/>
        <v>0</v>
      </c>
      <c r="C74" s="393">
        <f>母公司TB损益!K74</f>
        <v>0</v>
      </c>
      <c r="D74" s="393">
        <f>D50+D71</f>
        <v>0</v>
      </c>
      <c r="E74" s="393">
        <f t="shared" ref="E74:O74" si="16">E50+E71</f>
        <v>0</v>
      </c>
      <c r="F74" s="393">
        <f t="shared" si="16"/>
        <v>0</v>
      </c>
      <c r="G74" s="393">
        <f t="shared" si="16"/>
        <v>0</v>
      </c>
      <c r="H74" s="393">
        <f t="shared" si="16"/>
        <v>0</v>
      </c>
      <c r="I74" s="393">
        <f t="shared" si="16"/>
        <v>0</v>
      </c>
      <c r="J74" s="393">
        <f t="shared" si="16"/>
        <v>0</v>
      </c>
      <c r="K74" s="393">
        <f t="shared" si="16"/>
        <v>0</v>
      </c>
      <c r="L74" s="393">
        <f t="shared" si="16"/>
        <v>0</v>
      </c>
      <c r="M74" s="393">
        <f t="shared" si="16"/>
        <v>0</v>
      </c>
      <c r="N74" s="393">
        <f t="shared" si="16"/>
        <v>0</v>
      </c>
      <c r="O74" s="394">
        <f t="shared" si="16"/>
        <v>0</v>
      </c>
    </row>
    <row r="75" spans="1:15">
      <c r="A75" s="1024" t="str">
        <f>报表格式!L74</f>
        <v>七、每股收益</v>
      </c>
      <c r="B75" s="393">
        <f t="shared" si="8"/>
        <v>0</v>
      </c>
      <c r="C75" s="393">
        <f>母公司TB损益!K75</f>
        <v>0</v>
      </c>
      <c r="D75" s="393"/>
      <c r="E75" s="393"/>
      <c r="F75" s="393"/>
      <c r="G75" s="393"/>
      <c r="H75" s="393"/>
      <c r="I75" s="393"/>
      <c r="J75" s="393"/>
      <c r="K75" s="393"/>
      <c r="L75" s="393"/>
      <c r="M75" s="393"/>
      <c r="N75" s="393"/>
      <c r="O75" s="394"/>
    </row>
    <row r="76" spans="1:15">
      <c r="A76" s="1024" t="str">
        <f>报表格式!L75</f>
        <v xml:space="preserve">   （一）基本每股收益</v>
      </c>
      <c r="B76" s="393">
        <f t="shared" si="8"/>
        <v>0</v>
      </c>
      <c r="C76" s="393">
        <f>母公司TB损益!K76</f>
        <v>0</v>
      </c>
      <c r="D76" s="393"/>
      <c r="E76" s="393"/>
      <c r="F76" s="393"/>
      <c r="G76" s="393"/>
      <c r="H76" s="393"/>
      <c r="I76" s="393"/>
      <c r="J76" s="393"/>
      <c r="K76" s="393"/>
      <c r="L76" s="393"/>
      <c r="M76" s="393"/>
      <c r="N76" s="393"/>
      <c r="O76" s="394"/>
    </row>
    <row r="77" spans="1:15">
      <c r="A77" s="1024" t="str">
        <f>报表格式!L76</f>
        <v xml:space="preserve">   （二）稀释每股收益</v>
      </c>
      <c r="B77" s="393">
        <f t="shared" si="8"/>
        <v>0</v>
      </c>
      <c r="C77" s="393">
        <f>母公司TB损益!K77</f>
        <v>0</v>
      </c>
      <c r="D77" s="393"/>
      <c r="E77" s="393"/>
      <c r="F77" s="393"/>
      <c r="G77" s="393"/>
      <c r="H77" s="393"/>
      <c r="I77" s="393"/>
      <c r="J77" s="393"/>
      <c r="K77" s="393"/>
      <c r="L77" s="393"/>
      <c r="M77" s="393"/>
      <c r="N77" s="393"/>
      <c r="O77" s="394"/>
    </row>
    <row r="78" spans="1:15">
      <c r="A78" s="1033" t="str">
        <f>报表格式!L77</f>
        <v>八、利润分配</v>
      </c>
      <c r="B78" s="393">
        <f t="shared" ref="B78:B89" si="17">SUM(C78:O78)</f>
        <v>0</v>
      </c>
      <c r="C78" s="393">
        <f>母公司TB损益!K78</f>
        <v>0</v>
      </c>
      <c r="D78" s="393"/>
      <c r="E78" s="393"/>
      <c r="F78" s="393"/>
      <c r="G78" s="393"/>
      <c r="H78" s="393"/>
      <c r="I78" s="393"/>
      <c r="J78" s="393"/>
      <c r="K78" s="393"/>
      <c r="L78" s="393"/>
      <c r="M78" s="393"/>
      <c r="N78" s="393"/>
      <c r="O78" s="394"/>
    </row>
    <row r="79" spans="1:15">
      <c r="A79" s="1024" t="str">
        <f>报表格式!L78</f>
        <v xml:space="preserve">   （一）年初未分配利润</v>
      </c>
      <c r="B79" s="393">
        <f t="shared" si="17"/>
        <v>0</v>
      </c>
      <c r="C79" s="393">
        <f>母公司TB损益!K79</f>
        <v>0</v>
      </c>
      <c r="D79" s="393"/>
      <c r="E79" s="393"/>
      <c r="F79" s="393"/>
      <c r="G79" s="393"/>
      <c r="H79" s="393"/>
      <c r="I79" s="393"/>
      <c r="J79" s="393"/>
      <c r="K79" s="393"/>
      <c r="L79" s="393"/>
      <c r="M79" s="393"/>
      <c r="N79" s="393"/>
      <c r="O79" s="394"/>
    </row>
    <row r="80" spans="1:15">
      <c r="A80" s="1024" t="str">
        <f>报表格式!L79</f>
        <v xml:space="preserve">   （二）可供分配的利润</v>
      </c>
      <c r="B80" s="393">
        <f t="shared" si="17"/>
        <v>0</v>
      </c>
      <c r="C80" s="393">
        <f>C49+C79</f>
        <v>0</v>
      </c>
      <c r="D80" s="393">
        <f t="shared" ref="D80:O80" si="18">D49+D79</f>
        <v>0</v>
      </c>
      <c r="E80" s="393">
        <f t="shared" si="18"/>
        <v>0</v>
      </c>
      <c r="F80" s="393">
        <f t="shared" si="18"/>
        <v>0</v>
      </c>
      <c r="G80" s="393">
        <f t="shared" si="18"/>
        <v>0</v>
      </c>
      <c r="H80" s="393">
        <f t="shared" si="18"/>
        <v>0</v>
      </c>
      <c r="I80" s="393">
        <f t="shared" si="18"/>
        <v>0</v>
      </c>
      <c r="J80" s="393">
        <f t="shared" si="18"/>
        <v>0</v>
      </c>
      <c r="K80" s="393">
        <f t="shared" si="18"/>
        <v>0</v>
      </c>
      <c r="L80" s="393">
        <f t="shared" si="18"/>
        <v>0</v>
      </c>
      <c r="M80" s="393">
        <f t="shared" si="18"/>
        <v>0</v>
      </c>
      <c r="N80" s="393">
        <f t="shared" si="18"/>
        <v>0</v>
      </c>
      <c r="O80" s="394">
        <f t="shared" si="18"/>
        <v>0</v>
      </c>
    </row>
    <row r="81" spans="1:15">
      <c r="A81" s="1024" t="str">
        <f>报表格式!L80</f>
        <v xml:space="preserve">    1、提取法定盈余公积</v>
      </c>
      <c r="B81" s="393">
        <f t="shared" si="17"/>
        <v>0</v>
      </c>
      <c r="C81" s="393">
        <f>母公司TB损益!K81</f>
        <v>0</v>
      </c>
      <c r="D81" s="393"/>
      <c r="E81" s="393"/>
      <c r="F81" s="393"/>
      <c r="G81" s="393"/>
      <c r="H81" s="393"/>
      <c r="I81" s="393"/>
      <c r="J81" s="393"/>
      <c r="K81" s="393"/>
      <c r="L81" s="393"/>
      <c r="M81" s="393"/>
      <c r="N81" s="393"/>
      <c r="O81" s="394"/>
    </row>
    <row r="82" spans="1:15">
      <c r="A82" s="1024" t="str">
        <f>报表格式!L81</f>
        <v xml:space="preserve">    2、其他</v>
      </c>
      <c r="B82" s="393">
        <f t="shared" si="17"/>
        <v>0</v>
      </c>
      <c r="C82" s="393">
        <f>母公司TB损益!K82</f>
        <v>0</v>
      </c>
      <c r="D82" s="393"/>
      <c r="E82" s="393"/>
      <c r="F82" s="393"/>
      <c r="G82" s="393"/>
      <c r="H82" s="393"/>
      <c r="I82" s="393"/>
      <c r="J82" s="393"/>
      <c r="K82" s="393"/>
      <c r="L82" s="393"/>
      <c r="M82" s="393"/>
      <c r="N82" s="393"/>
      <c r="O82" s="394"/>
    </row>
    <row r="83" spans="1:15">
      <c r="A83" s="1024" t="str">
        <f>报表格式!L82</f>
        <v xml:space="preserve">   （三）可供投资者分配的利润</v>
      </c>
      <c r="B83" s="393">
        <f>SUM(C83:O83)</f>
        <v>0</v>
      </c>
      <c r="C83" s="393">
        <f>C80-C81-C82</f>
        <v>0</v>
      </c>
      <c r="D83" s="393">
        <f t="shared" ref="D83:O83" si="19">D80-D81-D82</f>
        <v>0</v>
      </c>
      <c r="E83" s="393">
        <f t="shared" si="19"/>
        <v>0</v>
      </c>
      <c r="F83" s="393">
        <f t="shared" si="19"/>
        <v>0</v>
      </c>
      <c r="G83" s="393">
        <f t="shared" si="19"/>
        <v>0</v>
      </c>
      <c r="H83" s="393">
        <f t="shared" si="19"/>
        <v>0</v>
      </c>
      <c r="I83" s="393">
        <f t="shared" si="19"/>
        <v>0</v>
      </c>
      <c r="J83" s="393">
        <f t="shared" si="19"/>
        <v>0</v>
      </c>
      <c r="K83" s="393">
        <f t="shared" si="19"/>
        <v>0</v>
      </c>
      <c r="L83" s="393">
        <f t="shared" si="19"/>
        <v>0</v>
      </c>
      <c r="M83" s="393">
        <f t="shared" si="19"/>
        <v>0</v>
      </c>
      <c r="N83" s="393">
        <f t="shared" si="19"/>
        <v>0</v>
      </c>
      <c r="O83" s="394">
        <f t="shared" si="19"/>
        <v>0</v>
      </c>
    </row>
    <row r="84" spans="1:15">
      <c r="A84" s="1024" t="str">
        <f>报表格式!L83</f>
        <v xml:space="preserve">    1、应付优先股股利</v>
      </c>
      <c r="B84" s="393">
        <f t="shared" si="17"/>
        <v>0</v>
      </c>
      <c r="C84" s="393">
        <f>母公司TB损益!K84</f>
        <v>0</v>
      </c>
      <c r="D84" s="393"/>
      <c r="E84" s="393"/>
      <c r="F84" s="393"/>
      <c r="G84" s="393"/>
      <c r="H84" s="393"/>
      <c r="I84" s="393"/>
      <c r="J84" s="393"/>
      <c r="K84" s="393"/>
      <c r="L84" s="393"/>
      <c r="M84" s="393"/>
      <c r="N84" s="393"/>
      <c r="O84" s="394"/>
    </row>
    <row r="85" spans="1:15">
      <c r="A85" s="1024" t="str">
        <f>报表格式!L84</f>
        <v xml:space="preserve">    2、提取任意盈余公积</v>
      </c>
      <c r="B85" s="393">
        <f t="shared" si="17"/>
        <v>0</v>
      </c>
      <c r="C85" s="393">
        <f>母公司TB损益!K85</f>
        <v>0</v>
      </c>
      <c r="D85" s="393"/>
      <c r="E85" s="393"/>
      <c r="F85" s="393"/>
      <c r="G85" s="393"/>
      <c r="H85" s="393"/>
      <c r="I85" s="393"/>
      <c r="J85" s="393"/>
      <c r="K85" s="393"/>
      <c r="L85" s="393"/>
      <c r="M85" s="393"/>
      <c r="N85" s="393"/>
      <c r="O85" s="394"/>
    </row>
    <row r="86" spans="1:15">
      <c r="A86" s="1024" t="str">
        <f>报表格式!L85</f>
        <v xml:space="preserve">    3、应付普通股股利（应付利润）</v>
      </c>
      <c r="B86" s="393">
        <f t="shared" si="17"/>
        <v>0</v>
      </c>
      <c r="C86" s="393">
        <f>母公司TB损益!K86</f>
        <v>0</v>
      </c>
      <c r="D86" s="393"/>
      <c r="E86" s="393"/>
      <c r="F86" s="393"/>
      <c r="G86" s="393"/>
      <c r="H86" s="393"/>
      <c r="I86" s="393"/>
      <c r="J86" s="393"/>
      <c r="K86" s="393"/>
      <c r="L86" s="393"/>
      <c r="M86" s="393"/>
      <c r="N86" s="393"/>
      <c r="O86" s="394"/>
    </row>
    <row r="87" spans="1:15">
      <c r="A87" s="1024" t="str">
        <f>报表格式!L86</f>
        <v xml:space="preserve">    4、转作资本（或股本）的普通股股利</v>
      </c>
      <c r="B87" s="393">
        <f t="shared" si="17"/>
        <v>0</v>
      </c>
      <c r="C87" s="393">
        <f>母公司TB损益!K87</f>
        <v>0</v>
      </c>
      <c r="D87" s="393"/>
      <c r="E87" s="393"/>
      <c r="F87" s="393"/>
      <c r="G87" s="393"/>
      <c r="H87" s="393"/>
      <c r="I87" s="393"/>
      <c r="J87" s="393"/>
      <c r="K87" s="393"/>
      <c r="L87" s="393"/>
      <c r="M87" s="393"/>
      <c r="N87" s="393"/>
      <c r="O87" s="394"/>
    </row>
    <row r="88" spans="1:15">
      <c r="A88" s="1024" t="str">
        <f>报表格式!L87</f>
        <v xml:space="preserve">    5、其他</v>
      </c>
      <c r="B88" s="393">
        <f t="shared" si="17"/>
        <v>0</v>
      </c>
      <c r="C88" s="393">
        <f>母公司TB损益!K88</f>
        <v>0</v>
      </c>
      <c r="D88" s="393"/>
      <c r="E88" s="393"/>
      <c r="F88" s="393"/>
      <c r="G88" s="393"/>
      <c r="H88" s="393"/>
      <c r="I88" s="393"/>
      <c r="J88" s="393"/>
      <c r="K88" s="393"/>
      <c r="L88" s="393"/>
      <c r="M88" s="393"/>
      <c r="N88" s="393"/>
      <c r="O88" s="394"/>
    </row>
    <row r="89" spans="1:15" s="389" customFormat="1">
      <c r="A89" s="1034" t="str">
        <f>报表格式!L88</f>
        <v>九、未分配利润</v>
      </c>
      <c r="B89" s="505">
        <f t="shared" si="17"/>
        <v>0</v>
      </c>
      <c r="C89" s="939">
        <f>母公司TB损益!K89</f>
        <v>0</v>
      </c>
      <c r="D89" s="505">
        <f t="shared" ref="D89:O89" si="20">D83-SUM(D84:D88)</f>
        <v>0</v>
      </c>
      <c r="E89" s="505">
        <f t="shared" si="20"/>
        <v>0</v>
      </c>
      <c r="F89" s="505">
        <f t="shared" si="20"/>
        <v>0</v>
      </c>
      <c r="G89" s="505">
        <f t="shared" si="20"/>
        <v>0</v>
      </c>
      <c r="H89" s="505">
        <f t="shared" si="20"/>
        <v>0</v>
      </c>
      <c r="I89" s="505">
        <f t="shared" si="20"/>
        <v>0</v>
      </c>
      <c r="J89" s="505">
        <f t="shared" si="20"/>
        <v>0</v>
      </c>
      <c r="K89" s="505">
        <f t="shared" si="20"/>
        <v>0</v>
      </c>
      <c r="L89" s="505">
        <f t="shared" si="20"/>
        <v>0</v>
      </c>
      <c r="M89" s="505">
        <f t="shared" si="20"/>
        <v>0</v>
      </c>
      <c r="N89" s="505">
        <f t="shared" si="20"/>
        <v>0</v>
      </c>
      <c r="O89" s="506">
        <f t="shared" si="20"/>
        <v>0</v>
      </c>
    </row>
    <row r="92" spans="1:15">
      <c r="A92" s="1016" t="s">
        <v>101</v>
      </c>
    </row>
    <row r="93" spans="1:15" s="587" customFormat="1">
      <c r="A93" s="1018" t="s">
        <v>547</v>
      </c>
      <c r="B93" s="823">
        <f>SUM(B6)-SUM(B12,B22:B26)+SUM(B29:B30,B33:B37)-B38</f>
        <v>0</v>
      </c>
      <c r="C93" s="823">
        <f t="shared" ref="C93:O93" si="21">SUM(C6)-SUM(C12,C22:C26)+SUM(C29:C30,C33:C37)-C38</f>
        <v>0</v>
      </c>
      <c r="D93" s="823">
        <f t="shared" si="21"/>
        <v>0</v>
      </c>
      <c r="E93" s="823">
        <f t="shared" si="21"/>
        <v>0</v>
      </c>
      <c r="F93" s="823">
        <f t="shared" si="21"/>
        <v>0</v>
      </c>
      <c r="G93" s="823">
        <f t="shared" si="21"/>
        <v>0</v>
      </c>
      <c r="H93" s="823">
        <f t="shared" si="21"/>
        <v>0</v>
      </c>
      <c r="I93" s="823">
        <f t="shared" si="21"/>
        <v>0</v>
      </c>
      <c r="J93" s="823">
        <f t="shared" si="21"/>
        <v>0</v>
      </c>
      <c r="K93" s="823">
        <f t="shared" si="21"/>
        <v>0</v>
      </c>
      <c r="L93" s="823">
        <f t="shared" si="21"/>
        <v>0</v>
      </c>
      <c r="M93" s="823">
        <f t="shared" si="21"/>
        <v>0</v>
      </c>
      <c r="N93" s="823">
        <f t="shared" si="21"/>
        <v>0</v>
      </c>
      <c r="O93" s="823">
        <f t="shared" si="21"/>
        <v>0</v>
      </c>
    </row>
    <row r="94" spans="1:15" s="587" customFormat="1">
      <c r="A94" s="1018" t="s">
        <v>548</v>
      </c>
      <c r="B94" s="632">
        <f>SUM(B38,B39,-B40)-B41</f>
        <v>0</v>
      </c>
      <c r="C94" s="433">
        <f t="shared" ref="C94:O94" si="22">SUM(C38,C39,-C40)-C41</f>
        <v>0</v>
      </c>
      <c r="D94" s="433">
        <f t="shared" si="22"/>
        <v>0</v>
      </c>
      <c r="E94" s="433">
        <f t="shared" si="22"/>
        <v>0</v>
      </c>
      <c r="F94" s="433">
        <f t="shared" si="22"/>
        <v>0</v>
      </c>
      <c r="G94" s="433">
        <f t="shared" si="22"/>
        <v>0</v>
      </c>
      <c r="H94" s="433">
        <f t="shared" si="22"/>
        <v>0</v>
      </c>
      <c r="I94" s="433">
        <f t="shared" si="22"/>
        <v>0</v>
      </c>
      <c r="J94" s="433">
        <f t="shared" si="22"/>
        <v>0</v>
      </c>
      <c r="K94" s="433">
        <f t="shared" si="22"/>
        <v>0</v>
      </c>
      <c r="L94" s="433">
        <f t="shared" si="22"/>
        <v>0</v>
      </c>
      <c r="M94" s="433">
        <f t="shared" si="22"/>
        <v>0</v>
      </c>
      <c r="N94" s="433">
        <f t="shared" si="22"/>
        <v>0</v>
      </c>
      <c r="O94" s="433">
        <f t="shared" si="22"/>
        <v>0</v>
      </c>
    </row>
    <row r="95" spans="1:15" s="587" customFormat="1">
      <c r="A95" s="1017" t="s">
        <v>113</v>
      </c>
      <c r="B95" s="632">
        <f>SUM(B41,-B42,-B43)-B44</f>
        <v>0</v>
      </c>
      <c r="C95" s="433">
        <f t="shared" ref="C95:O95" si="23">SUM(C41,-C42,-C43)-C44</f>
        <v>0</v>
      </c>
      <c r="D95" s="433">
        <f t="shared" si="23"/>
        <v>0</v>
      </c>
      <c r="E95" s="433">
        <f t="shared" si="23"/>
        <v>0</v>
      </c>
      <c r="F95" s="433">
        <f t="shared" si="23"/>
        <v>0</v>
      </c>
      <c r="G95" s="433">
        <f t="shared" si="23"/>
        <v>0</v>
      </c>
      <c r="H95" s="433">
        <f t="shared" si="23"/>
        <v>0</v>
      </c>
      <c r="I95" s="433">
        <f t="shared" si="23"/>
        <v>0</v>
      </c>
      <c r="J95" s="433">
        <f t="shared" si="23"/>
        <v>0</v>
      </c>
      <c r="K95" s="433">
        <f t="shared" si="23"/>
        <v>0</v>
      </c>
      <c r="L95" s="433">
        <f t="shared" si="23"/>
        <v>0</v>
      </c>
      <c r="M95" s="433">
        <f t="shared" si="23"/>
        <v>0</v>
      </c>
      <c r="N95" s="433">
        <f t="shared" si="23"/>
        <v>0</v>
      </c>
      <c r="O95" s="433">
        <f t="shared" si="23"/>
        <v>0</v>
      </c>
    </row>
    <row r="96" spans="1:15" s="587" customFormat="1">
      <c r="A96" s="1017" t="s">
        <v>114</v>
      </c>
      <c r="B96" s="632">
        <f>SUM(B44,-B50)-B49</f>
        <v>0</v>
      </c>
      <c r="C96" s="433">
        <f t="shared" ref="C96:O96" si="24">SUM(C44,-C50)-C49</f>
        <v>0</v>
      </c>
      <c r="D96" s="433">
        <f t="shared" si="24"/>
        <v>0</v>
      </c>
      <c r="E96" s="433">
        <f t="shared" si="24"/>
        <v>0</v>
      </c>
      <c r="F96" s="433">
        <f t="shared" si="24"/>
        <v>0</v>
      </c>
      <c r="G96" s="433">
        <f t="shared" si="24"/>
        <v>0</v>
      </c>
      <c r="H96" s="433">
        <f t="shared" si="24"/>
        <v>0</v>
      </c>
      <c r="I96" s="433">
        <f t="shared" si="24"/>
        <v>0</v>
      </c>
      <c r="J96" s="433">
        <f t="shared" si="24"/>
        <v>0</v>
      </c>
      <c r="K96" s="433">
        <f t="shared" si="24"/>
        <v>0</v>
      </c>
      <c r="L96" s="433">
        <f t="shared" si="24"/>
        <v>0</v>
      </c>
      <c r="M96" s="433">
        <f t="shared" si="24"/>
        <v>0</v>
      </c>
      <c r="N96" s="433">
        <f t="shared" si="24"/>
        <v>0</v>
      </c>
      <c r="O96" s="433">
        <f t="shared" si="24"/>
        <v>0</v>
      </c>
    </row>
    <row r="97" spans="1:15">
      <c r="A97" s="1017" t="s">
        <v>934</v>
      </c>
      <c r="B97" s="632">
        <f>SUM(B54:B58,B60:B70)-B52</f>
        <v>0</v>
      </c>
      <c r="C97" s="632">
        <f t="shared" ref="C97:O97" si="25">SUM(C54:C58,C60:C70)-C52</f>
        <v>0</v>
      </c>
      <c r="D97" s="632">
        <f t="shared" si="25"/>
        <v>0</v>
      </c>
      <c r="E97" s="632">
        <f t="shared" si="25"/>
        <v>0</v>
      </c>
      <c r="F97" s="632">
        <f t="shared" si="25"/>
        <v>0</v>
      </c>
      <c r="G97" s="632">
        <f t="shared" si="25"/>
        <v>0</v>
      </c>
      <c r="H97" s="632">
        <f t="shared" si="25"/>
        <v>0</v>
      </c>
      <c r="I97" s="632">
        <f t="shared" si="25"/>
        <v>0</v>
      </c>
      <c r="J97" s="632">
        <f t="shared" si="25"/>
        <v>0</v>
      </c>
      <c r="K97" s="632">
        <f t="shared" si="25"/>
        <v>0</v>
      </c>
      <c r="L97" s="632">
        <f t="shared" si="25"/>
        <v>0</v>
      </c>
      <c r="M97" s="632">
        <f t="shared" si="25"/>
        <v>0</v>
      </c>
      <c r="N97" s="632">
        <f t="shared" si="25"/>
        <v>0</v>
      </c>
      <c r="O97" s="632">
        <f t="shared" si="25"/>
        <v>0</v>
      </c>
    </row>
    <row r="98" spans="1:15">
      <c r="A98" s="1017" t="s">
        <v>933</v>
      </c>
      <c r="B98" s="632">
        <f>SUM(B44,B51)-B72</f>
        <v>0</v>
      </c>
      <c r="C98" s="632">
        <f t="shared" ref="C98:O98" si="26">SUM(C44,C51)-C72</f>
        <v>0</v>
      </c>
      <c r="D98" s="632">
        <f t="shared" si="26"/>
        <v>0</v>
      </c>
      <c r="E98" s="632">
        <f t="shared" si="26"/>
        <v>0</v>
      </c>
      <c r="F98" s="632">
        <f t="shared" si="26"/>
        <v>0</v>
      </c>
      <c r="G98" s="632">
        <f t="shared" si="26"/>
        <v>0</v>
      </c>
      <c r="H98" s="632">
        <f t="shared" si="26"/>
        <v>0</v>
      </c>
      <c r="I98" s="632">
        <f t="shared" si="26"/>
        <v>0</v>
      </c>
      <c r="J98" s="632">
        <f t="shared" si="26"/>
        <v>0</v>
      </c>
      <c r="K98" s="632">
        <f t="shared" si="26"/>
        <v>0</v>
      </c>
      <c r="L98" s="632">
        <f t="shared" si="26"/>
        <v>0</v>
      </c>
      <c r="M98" s="632">
        <f t="shared" si="26"/>
        <v>0</v>
      </c>
      <c r="N98" s="632">
        <f t="shared" si="26"/>
        <v>0</v>
      </c>
      <c r="O98" s="632">
        <f t="shared" si="26"/>
        <v>0</v>
      </c>
    </row>
    <row r="100" spans="1:15" s="587" customFormat="1">
      <c r="A100" s="1017" t="s">
        <v>111</v>
      </c>
      <c r="B100" s="632">
        <f>SUM(B7:B11)-B6</f>
        <v>0</v>
      </c>
      <c r="C100" s="433">
        <f t="shared" ref="C100:O100" si="27">SUM(C7:C11)-C6</f>
        <v>0</v>
      </c>
      <c r="D100" s="433">
        <f t="shared" si="27"/>
        <v>0</v>
      </c>
      <c r="E100" s="433">
        <f t="shared" si="27"/>
        <v>0</v>
      </c>
      <c r="F100" s="433">
        <f t="shared" si="27"/>
        <v>0</v>
      </c>
      <c r="G100" s="433">
        <f t="shared" si="27"/>
        <v>0</v>
      </c>
      <c r="H100" s="433">
        <f t="shared" si="27"/>
        <v>0</v>
      </c>
      <c r="I100" s="433">
        <f t="shared" si="27"/>
        <v>0</v>
      </c>
      <c r="J100" s="433">
        <f t="shared" si="27"/>
        <v>0</v>
      </c>
      <c r="K100" s="433">
        <f t="shared" si="27"/>
        <v>0</v>
      </c>
      <c r="L100" s="433">
        <f t="shared" si="27"/>
        <v>0</v>
      </c>
      <c r="M100" s="433">
        <f t="shared" si="27"/>
        <v>0</v>
      </c>
      <c r="N100" s="433">
        <f t="shared" si="27"/>
        <v>0</v>
      </c>
      <c r="O100" s="433">
        <f t="shared" si="27"/>
        <v>0</v>
      </c>
    </row>
    <row r="101" spans="1:15" s="587" customFormat="1">
      <c r="A101" s="1017" t="s">
        <v>112</v>
      </c>
      <c r="B101" s="632">
        <f t="shared" ref="B101:O101" si="28">SUM(B13:B21)-B12</f>
        <v>0</v>
      </c>
      <c r="C101" s="433">
        <f t="shared" si="28"/>
        <v>0</v>
      </c>
      <c r="D101" s="433">
        <f t="shared" si="28"/>
        <v>0</v>
      </c>
      <c r="E101" s="433">
        <f t="shared" si="28"/>
        <v>0</v>
      </c>
      <c r="F101" s="433">
        <f t="shared" si="28"/>
        <v>0</v>
      </c>
      <c r="G101" s="433">
        <f t="shared" si="28"/>
        <v>0</v>
      </c>
      <c r="H101" s="433">
        <f t="shared" si="28"/>
        <v>0</v>
      </c>
      <c r="I101" s="433">
        <f t="shared" si="28"/>
        <v>0</v>
      </c>
      <c r="J101" s="433">
        <f t="shared" si="28"/>
        <v>0</v>
      </c>
      <c r="K101" s="433">
        <f t="shared" si="28"/>
        <v>0</v>
      </c>
      <c r="L101" s="433">
        <f t="shared" si="28"/>
        <v>0</v>
      </c>
      <c r="M101" s="433">
        <f t="shared" si="28"/>
        <v>0</v>
      </c>
      <c r="N101" s="433">
        <f t="shared" si="28"/>
        <v>0</v>
      </c>
      <c r="O101" s="433">
        <f t="shared" si="28"/>
        <v>0</v>
      </c>
    </row>
  </sheetData>
  <phoneticPr fontId="13" type="noConversion"/>
  <printOptions horizontalCentered="1"/>
  <pageMargins left="0.74803149606299202" right="0.74803149606299202" top="0.98425196850393704" bottom="0.98425196850393704" header="0.511811023622047" footer="0.511811023622047"/>
  <pageSetup paperSize="9" scale="50" orientation="portrait" cellComments="asDisplayed" r:id="rId1"/>
  <headerFooter alignWithMargins="0">
    <oddHeader>&amp;C&amp;F/&amp;A&amp;R
&amp;T  &amp;D</oddHeader>
    <oddFooter>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indexed="20"/>
    <pageSetUpPr fitToPage="1"/>
  </sheetPr>
  <dimension ref="A1:O140"/>
  <sheetViews>
    <sheetView showZeros="0" zoomScaleNormal="100" workbookViewId="0">
      <pane xSplit="2" ySplit="5" topLeftCell="C6" activePane="bottomRight" state="frozen"/>
      <selection activeCell="H6" sqref="H6"/>
      <selection pane="topRight" activeCell="H6" sqref="H6"/>
      <selection pane="bottomLeft" activeCell="H6" sqref="H6"/>
      <selection pane="bottomRight" activeCell="D42" sqref="D42"/>
    </sheetView>
  </sheetViews>
  <sheetFormatPr defaultColWidth="9" defaultRowHeight="12.75"/>
  <cols>
    <col min="1" max="1" width="45" style="1003" customWidth="1"/>
    <col min="2" max="2" width="13.625" style="383" customWidth="1"/>
    <col min="3" max="3" width="14.875" style="383" bestFit="1" customWidth="1"/>
    <col min="4" max="14" width="9" style="383"/>
    <col min="15" max="15" width="8.875" style="435" customWidth="1"/>
    <col min="16" max="16384" width="9" style="383"/>
  </cols>
  <sheetData>
    <row r="1" spans="1:15" ht="18.75">
      <c r="A1" s="1002" t="s">
        <v>757</v>
      </c>
    </row>
    <row r="2" spans="1:15">
      <c r="A2" s="1003" t="str">
        <f>CONCATENATE("客户名称：",说明!E23)</f>
        <v>客户名称：</v>
      </c>
    </row>
    <row r="3" spans="1:15">
      <c r="A3" s="1003" t="str">
        <f>CONCATENATE("会计期间：",说明!E30)</f>
        <v>会计期间：2019年度</v>
      </c>
    </row>
    <row r="4" spans="1:15" s="1004" customFormat="1">
      <c r="D4" s="1004">
        <v>1</v>
      </c>
      <c r="E4" s="1004">
        <v>2</v>
      </c>
      <c r="F4" s="1004">
        <v>3</v>
      </c>
      <c r="G4" s="1004">
        <v>4</v>
      </c>
      <c r="H4" s="1004">
        <v>5</v>
      </c>
      <c r="I4" s="1004">
        <v>6</v>
      </c>
      <c r="J4" s="1004">
        <v>7</v>
      </c>
      <c r="K4" s="1004">
        <v>8</v>
      </c>
      <c r="L4" s="1004">
        <v>9</v>
      </c>
      <c r="M4" s="1004">
        <v>10</v>
      </c>
      <c r="O4" s="1020"/>
    </row>
    <row r="5" spans="1:15" s="385" customFormat="1" ht="15">
      <c r="A5" s="1022" t="str">
        <f>报表格式!Q4</f>
        <v>报表项目</v>
      </c>
      <c r="B5" s="458" t="s">
        <v>557</v>
      </c>
      <c r="C5" s="459" t="s">
        <v>558</v>
      </c>
      <c r="D5" s="459" t="s">
        <v>559</v>
      </c>
      <c r="E5" s="459" t="s">
        <v>560</v>
      </c>
      <c r="F5" s="459" t="s">
        <v>561</v>
      </c>
      <c r="G5" s="459" t="s">
        <v>562</v>
      </c>
      <c r="H5" s="459" t="s">
        <v>563</v>
      </c>
      <c r="I5" s="459" t="s">
        <v>564</v>
      </c>
      <c r="J5" s="459" t="s">
        <v>565</v>
      </c>
      <c r="K5" s="459" t="s">
        <v>566</v>
      </c>
      <c r="L5" s="459" t="s">
        <v>567</v>
      </c>
      <c r="M5" s="459" t="s">
        <v>568</v>
      </c>
      <c r="N5" s="460"/>
      <c r="O5" s="461" t="s">
        <v>569</v>
      </c>
    </row>
    <row r="6" spans="1:15">
      <c r="A6" s="1023" t="str">
        <f>报表格式!Q5</f>
        <v>一、经营活动产生的现金流量</v>
      </c>
      <c r="B6" s="414"/>
      <c r="C6" s="414"/>
      <c r="D6" s="414"/>
      <c r="E6" s="414"/>
      <c r="F6" s="414"/>
      <c r="G6" s="414"/>
      <c r="H6" s="414"/>
      <c r="I6" s="414"/>
      <c r="J6" s="414"/>
      <c r="K6" s="414"/>
      <c r="L6" s="414"/>
      <c r="M6" s="414"/>
      <c r="N6" s="414"/>
      <c r="O6" s="415"/>
    </row>
    <row r="7" spans="1:15">
      <c r="A7" s="1036" t="str">
        <f>报表格式!Q6</f>
        <v xml:space="preserve">     销售商品、提供劳务收到的现金</v>
      </c>
      <c r="B7" s="393">
        <f t="shared" ref="B7:B63" si="0">SUM(C7:O7)</f>
        <v>0</v>
      </c>
      <c r="C7" s="393">
        <f>TB母公司CF!I7</f>
        <v>0</v>
      </c>
      <c r="D7" s="393"/>
      <c r="E7" s="393"/>
      <c r="F7" s="393"/>
      <c r="G7" s="393"/>
      <c r="H7" s="393"/>
      <c r="I7" s="393"/>
      <c r="J7" s="393"/>
      <c r="K7" s="393"/>
      <c r="L7" s="393"/>
      <c r="M7" s="393"/>
      <c r="N7" s="393"/>
      <c r="O7" s="394"/>
    </row>
    <row r="8" spans="1:15">
      <c r="A8" s="1036" t="str">
        <f>报表格式!Q7</f>
        <v xml:space="preserve">     客户存款和同业存放款项净增加额</v>
      </c>
      <c r="B8" s="393">
        <f t="shared" ref="B8:B17" si="1">SUM(C8:O8)</f>
        <v>0</v>
      </c>
      <c r="C8" s="393">
        <f>TB母公司CF!I8</f>
        <v>0</v>
      </c>
      <c r="D8" s="393"/>
      <c r="E8" s="393"/>
      <c r="F8" s="393"/>
      <c r="G8" s="393"/>
      <c r="H8" s="393"/>
      <c r="I8" s="393"/>
      <c r="J8" s="393"/>
      <c r="K8" s="393"/>
      <c r="L8" s="393"/>
      <c r="M8" s="393"/>
      <c r="N8" s="393"/>
      <c r="O8" s="394"/>
    </row>
    <row r="9" spans="1:15">
      <c r="A9" s="1036" t="str">
        <f>报表格式!Q8</f>
        <v xml:space="preserve">     向中央银行借款净增加额</v>
      </c>
      <c r="B9" s="393">
        <f t="shared" si="1"/>
        <v>0</v>
      </c>
      <c r="C9" s="393">
        <f>TB母公司CF!I9</f>
        <v>0</v>
      </c>
      <c r="D9" s="393"/>
      <c r="E9" s="393"/>
      <c r="F9" s="393"/>
      <c r="G9" s="393"/>
      <c r="H9" s="393"/>
      <c r="I9" s="393"/>
      <c r="J9" s="393"/>
      <c r="K9" s="393"/>
      <c r="L9" s="393"/>
      <c r="M9" s="393"/>
      <c r="N9" s="393"/>
      <c r="O9" s="394"/>
    </row>
    <row r="10" spans="1:15">
      <c r="A10" s="1036" t="str">
        <f>报表格式!Q9</f>
        <v xml:space="preserve">     向其他金融机构拆入资金净增加额</v>
      </c>
      <c r="B10" s="393">
        <f t="shared" si="1"/>
        <v>0</v>
      </c>
      <c r="C10" s="393">
        <f>TB母公司CF!I10</f>
        <v>0</v>
      </c>
      <c r="D10" s="393"/>
      <c r="E10" s="393"/>
      <c r="F10" s="393"/>
      <c r="G10" s="393"/>
      <c r="H10" s="393"/>
      <c r="I10" s="393"/>
      <c r="J10" s="393"/>
      <c r="K10" s="393"/>
      <c r="L10" s="393"/>
      <c r="M10" s="393"/>
      <c r="N10" s="393"/>
      <c r="O10" s="394"/>
    </row>
    <row r="11" spans="1:15">
      <c r="A11" s="1036" t="str">
        <f>报表格式!Q10</f>
        <v xml:space="preserve">     收到原保险合同保费取得的现金</v>
      </c>
      <c r="B11" s="393">
        <f t="shared" si="1"/>
        <v>0</v>
      </c>
      <c r="C11" s="393">
        <f>TB母公司CF!I11</f>
        <v>0</v>
      </c>
      <c r="D11" s="393"/>
      <c r="E11" s="393"/>
      <c r="F11" s="393"/>
      <c r="G11" s="393"/>
      <c r="H11" s="393"/>
      <c r="I11" s="393"/>
      <c r="J11" s="393"/>
      <c r="K11" s="393"/>
      <c r="L11" s="393"/>
      <c r="M11" s="393"/>
      <c r="N11" s="393"/>
      <c r="O11" s="394"/>
    </row>
    <row r="12" spans="1:15">
      <c r="A12" s="1036" t="str">
        <f>报表格式!Q11</f>
        <v xml:space="preserve">     收到再保险业务现金净额</v>
      </c>
      <c r="B12" s="393">
        <f t="shared" si="1"/>
        <v>0</v>
      </c>
      <c r="C12" s="393">
        <f>TB母公司CF!I12</f>
        <v>0</v>
      </c>
      <c r="D12" s="393"/>
      <c r="E12" s="393"/>
      <c r="F12" s="393"/>
      <c r="G12" s="393"/>
      <c r="H12" s="393"/>
      <c r="I12" s="393"/>
      <c r="J12" s="393"/>
      <c r="K12" s="393"/>
      <c r="L12" s="393"/>
      <c r="M12" s="393"/>
      <c r="N12" s="393"/>
      <c r="O12" s="394"/>
    </row>
    <row r="13" spans="1:15">
      <c r="A13" s="1036" t="str">
        <f>报表格式!Q12</f>
        <v xml:space="preserve">     保户储金及投资款净增加额</v>
      </c>
      <c r="B13" s="393">
        <f t="shared" si="1"/>
        <v>0</v>
      </c>
      <c r="C13" s="393">
        <f>TB母公司CF!I13</f>
        <v>0</v>
      </c>
      <c r="D13" s="393"/>
      <c r="E13" s="393"/>
      <c r="F13" s="393"/>
      <c r="G13" s="393"/>
      <c r="H13" s="393"/>
      <c r="I13" s="393"/>
      <c r="J13" s="393"/>
      <c r="K13" s="393"/>
      <c r="L13" s="393"/>
      <c r="M13" s="393"/>
      <c r="N13" s="393"/>
      <c r="O13" s="394"/>
    </row>
    <row r="14" spans="1:15">
      <c r="A14" s="1036" t="str">
        <f>报表格式!Q13</f>
        <v xml:space="preserve">     收取利息、手续费及佣金的现金</v>
      </c>
      <c r="B14" s="393">
        <f t="shared" si="1"/>
        <v>0</v>
      </c>
      <c r="C14" s="393">
        <f>TB母公司CF!I14</f>
        <v>0</v>
      </c>
      <c r="D14" s="393"/>
      <c r="E14" s="393"/>
      <c r="F14" s="393"/>
      <c r="G14" s="393"/>
      <c r="H14" s="393"/>
      <c r="I14" s="393"/>
      <c r="J14" s="393"/>
      <c r="K14" s="393"/>
      <c r="L14" s="393"/>
      <c r="M14" s="393"/>
      <c r="N14" s="393"/>
      <c r="O14" s="394"/>
    </row>
    <row r="15" spans="1:15">
      <c r="A15" s="1036" t="str">
        <f>报表格式!Q14</f>
        <v xml:space="preserve">     拆入资金净增加额</v>
      </c>
      <c r="B15" s="393">
        <f t="shared" si="1"/>
        <v>0</v>
      </c>
      <c r="C15" s="393">
        <f>TB母公司CF!I15</f>
        <v>0</v>
      </c>
      <c r="D15" s="393"/>
      <c r="E15" s="393"/>
      <c r="F15" s="393"/>
      <c r="G15" s="393"/>
      <c r="H15" s="393"/>
      <c r="I15" s="393"/>
      <c r="J15" s="393"/>
      <c r="K15" s="393"/>
      <c r="L15" s="393"/>
      <c r="M15" s="393"/>
      <c r="N15" s="393"/>
      <c r="O15" s="394"/>
    </row>
    <row r="16" spans="1:15">
      <c r="A16" s="1036" t="str">
        <f>报表格式!Q15</f>
        <v xml:space="preserve">     回购业务资金净增加额</v>
      </c>
      <c r="B16" s="393">
        <f t="shared" si="1"/>
        <v>0</v>
      </c>
      <c r="C16" s="393">
        <f>TB母公司CF!I16</f>
        <v>0</v>
      </c>
      <c r="D16" s="393"/>
      <c r="E16" s="393"/>
      <c r="F16" s="393"/>
      <c r="G16" s="393"/>
      <c r="H16" s="393"/>
      <c r="I16" s="393"/>
      <c r="J16" s="393"/>
      <c r="K16" s="393"/>
      <c r="L16" s="393"/>
      <c r="M16" s="393"/>
      <c r="N16" s="393"/>
      <c r="O16" s="394"/>
    </row>
    <row r="17" spans="1:15">
      <c r="A17" s="1036" t="str">
        <f>报表格式!Q16</f>
        <v xml:space="preserve">     收到的税费返还</v>
      </c>
      <c r="B17" s="393">
        <f t="shared" si="1"/>
        <v>0</v>
      </c>
      <c r="C17" s="393">
        <f>TB母公司CF!I17</f>
        <v>0</v>
      </c>
      <c r="D17" s="393"/>
      <c r="E17" s="393"/>
      <c r="F17" s="393"/>
      <c r="G17" s="393"/>
      <c r="H17" s="393"/>
      <c r="I17" s="393"/>
      <c r="J17" s="393"/>
      <c r="K17" s="393"/>
      <c r="L17" s="393"/>
      <c r="M17" s="393"/>
      <c r="N17" s="393"/>
      <c r="O17" s="394"/>
    </row>
    <row r="18" spans="1:15">
      <c r="A18" s="1036" t="str">
        <f>报表格式!Q17</f>
        <v xml:space="preserve">     收到的其他与经营活动有关的现金</v>
      </c>
      <c r="B18" s="393">
        <f t="shared" si="0"/>
        <v>0</v>
      </c>
      <c r="C18" s="393">
        <f>TB母公司CF!I18</f>
        <v>0</v>
      </c>
      <c r="D18" s="393"/>
      <c r="E18" s="393"/>
      <c r="F18" s="393"/>
      <c r="G18" s="393"/>
      <c r="H18" s="393"/>
      <c r="I18" s="393"/>
      <c r="J18" s="393"/>
      <c r="K18" s="393"/>
      <c r="L18" s="393"/>
      <c r="M18" s="393"/>
      <c r="N18" s="393"/>
      <c r="O18" s="394"/>
    </row>
    <row r="19" spans="1:15">
      <c r="A19" s="1036">
        <f>报表格式!Q18</f>
        <v>0</v>
      </c>
      <c r="B19" s="393">
        <f t="shared" si="0"/>
        <v>0</v>
      </c>
      <c r="C19" s="393">
        <f>TB母公司CF!I19</f>
        <v>0</v>
      </c>
      <c r="D19" s="393"/>
      <c r="E19" s="393"/>
      <c r="F19" s="393"/>
      <c r="G19" s="393"/>
      <c r="H19" s="393"/>
      <c r="I19" s="393"/>
      <c r="J19" s="393"/>
      <c r="K19" s="393"/>
      <c r="L19" s="393"/>
      <c r="M19" s="393"/>
      <c r="N19" s="393"/>
      <c r="O19" s="394"/>
    </row>
    <row r="20" spans="1:15">
      <c r="A20" s="1025" t="str">
        <f>报表格式!Q20</f>
        <v xml:space="preserve">     经营活动现金流入小计</v>
      </c>
      <c r="B20" s="393">
        <f t="shared" ref="B20:O20" si="2">SUM(B7:B19)</f>
        <v>0</v>
      </c>
      <c r="C20" s="393">
        <f t="shared" si="2"/>
        <v>0</v>
      </c>
      <c r="D20" s="393">
        <f t="shared" si="2"/>
        <v>0</v>
      </c>
      <c r="E20" s="393">
        <f t="shared" si="2"/>
        <v>0</v>
      </c>
      <c r="F20" s="393">
        <f t="shared" si="2"/>
        <v>0</v>
      </c>
      <c r="G20" s="393">
        <f t="shared" si="2"/>
        <v>0</v>
      </c>
      <c r="H20" s="393">
        <f t="shared" si="2"/>
        <v>0</v>
      </c>
      <c r="I20" s="393">
        <f t="shared" si="2"/>
        <v>0</v>
      </c>
      <c r="J20" s="393">
        <f t="shared" si="2"/>
        <v>0</v>
      </c>
      <c r="K20" s="393">
        <f t="shared" si="2"/>
        <v>0</v>
      </c>
      <c r="L20" s="393">
        <f t="shared" si="2"/>
        <v>0</v>
      </c>
      <c r="M20" s="393">
        <f t="shared" si="2"/>
        <v>0</v>
      </c>
      <c r="N20" s="393">
        <f t="shared" si="2"/>
        <v>0</v>
      </c>
      <c r="O20" s="394">
        <f t="shared" si="2"/>
        <v>0</v>
      </c>
    </row>
    <row r="21" spans="1:15">
      <c r="A21" s="1036" t="str">
        <f>报表格式!Q21</f>
        <v xml:space="preserve">     购买商品、接受劳务支付的现金</v>
      </c>
      <c r="B21" s="393">
        <f t="shared" si="0"/>
        <v>0</v>
      </c>
      <c r="C21" s="393">
        <f>TB母公司CF!I21</f>
        <v>0</v>
      </c>
      <c r="D21" s="393"/>
      <c r="E21" s="393"/>
      <c r="F21" s="393"/>
      <c r="G21" s="393"/>
      <c r="H21" s="393"/>
      <c r="I21" s="393"/>
      <c r="J21" s="393"/>
      <c r="K21" s="393"/>
      <c r="L21" s="393"/>
      <c r="M21" s="393"/>
      <c r="N21" s="393"/>
      <c r="O21" s="394"/>
    </row>
    <row r="22" spans="1:15">
      <c r="A22" s="1036" t="str">
        <f>报表格式!Q22</f>
        <v xml:space="preserve">     客户贷款及垫款净增加额</v>
      </c>
      <c r="B22" s="393">
        <f t="shared" ref="B22:B26" si="3">SUM(C22:O22)</f>
        <v>0</v>
      </c>
      <c r="C22" s="393">
        <f>TB母公司CF!I22</f>
        <v>0</v>
      </c>
      <c r="D22" s="393"/>
      <c r="E22" s="393"/>
      <c r="F22" s="393"/>
      <c r="G22" s="393"/>
      <c r="H22" s="393"/>
      <c r="I22" s="393"/>
      <c r="J22" s="393"/>
      <c r="K22" s="393"/>
      <c r="L22" s="393"/>
      <c r="M22" s="393"/>
      <c r="N22" s="393"/>
      <c r="O22" s="394"/>
    </row>
    <row r="23" spans="1:15">
      <c r="A23" s="1036" t="str">
        <f>报表格式!Q23</f>
        <v xml:space="preserve">     存放中央银行和同业款项净增加额</v>
      </c>
      <c r="B23" s="393">
        <f t="shared" si="3"/>
        <v>0</v>
      </c>
      <c r="C23" s="393">
        <f>TB母公司CF!I23</f>
        <v>0</v>
      </c>
      <c r="D23" s="393"/>
      <c r="E23" s="393"/>
      <c r="F23" s="393"/>
      <c r="G23" s="393"/>
      <c r="H23" s="393"/>
      <c r="I23" s="393"/>
      <c r="J23" s="393"/>
      <c r="K23" s="393"/>
      <c r="L23" s="393"/>
      <c r="M23" s="393"/>
      <c r="N23" s="393"/>
      <c r="O23" s="394"/>
    </row>
    <row r="24" spans="1:15">
      <c r="A24" s="1036" t="str">
        <f>报表格式!Q24</f>
        <v xml:space="preserve">     支付原保险合同赔付款项的现金</v>
      </c>
      <c r="B24" s="393">
        <f t="shared" si="3"/>
        <v>0</v>
      </c>
      <c r="C24" s="393">
        <f>TB母公司CF!I24</f>
        <v>0</v>
      </c>
      <c r="D24" s="393"/>
      <c r="E24" s="393"/>
      <c r="F24" s="393"/>
      <c r="G24" s="393"/>
      <c r="H24" s="393"/>
      <c r="I24" s="393"/>
      <c r="J24" s="393"/>
      <c r="K24" s="393"/>
      <c r="L24" s="393"/>
      <c r="M24" s="393"/>
      <c r="N24" s="393"/>
      <c r="O24" s="394"/>
    </row>
    <row r="25" spans="1:15">
      <c r="A25" s="1036" t="str">
        <f>报表格式!Q25</f>
        <v xml:space="preserve">     支付利息、手续费及佣金的现金</v>
      </c>
      <c r="B25" s="393">
        <f t="shared" si="3"/>
        <v>0</v>
      </c>
      <c r="C25" s="393">
        <f>TB母公司CF!I25</f>
        <v>0</v>
      </c>
      <c r="D25" s="393"/>
      <c r="E25" s="393"/>
      <c r="F25" s="393"/>
      <c r="G25" s="393"/>
      <c r="H25" s="393"/>
      <c r="I25" s="393"/>
      <c r="J25" s="393"/>
      <c r="K25" s="393"/>
      <c r="L25" s="393"/>
      <c r="M25" s="393"/>
      <c r="N25" s="393"/>
      <c r="O25" s="394"/>
    </row>
    <row r="26" spans="1:15">
      <c r="A26" s="1036" t="str">
        <f>报表格式!Q26</f>
        <v xml:space="preserve">     支付保单红利的现金</v>
      </c>
      <c r="B26" s="393">
        <f t="shared" si="3"/>
        <v>0</v>
      </c>
      <c r="C26" s="393">
        <f>TB母公司CF!I26</f>
        <v>0</v>
      </c>
      <c r="D26" s="393"/>
      <c r="E26" s="393"/>
      <c r="F26" s="393"/>
      <c r="G26" s="393"/>
      <c r="H26" s="393"/>
      <c r="I26" s="393"/>
      <c r="J26" s="393"/>
      <c r="K26" s="393"/>
      <c r="L26" s="393"/>
      <c r="M26" s="393"/>
      <c r="N26" s="393"/>
      <c r="O26" s="394"/>
    </row>
    <row r="27" spans="1:15">
      <c r="A27" s="1036" t="str">
        <f>报表格式!Q27</f>
        <v xml:space="preserve">     支付给职工以及为职工支付的现金</v>
      </c>
      <c r="B27" s="393">
        <f t="shared" si="0"/>
        <v>0</v>
      </c>
      <c r="C27" s="393">
        <f>TB母公司CF!I27</f>
        <v>0</v>
      </c>
      <c r="D27" s="393"/>
      <c r="E27" s="393"/>
      <c r="F27" s="393"/>
      <c r="G27" s="393"/>
      <c r="H27" s="393"/>
      <c r="I27" s="393"/>
      <c r="J27" s="393"/>
      <c r="K27" s="393"/>
      <c r="L27" s="393"/>
      <c r="M27" s="393"/>
      <c r="N27" s="393"/>
      <c r="O27" s="394"/>
    </row>
    <row r="28" spans="1:15">
      <c r="A28" s="1036" t="str">
        <f>报表格式!Q28</f>
        <v xml:space="preserve">     支付各项税费</v>
      </c>
      <c r="B28" s="393">
        <f t="shared" si="0"/>
        <v>0</v>
      </c>
      <c r="C28" s="393">
        <f>TB母公司CF!I28</f>
        <v>0</v>
      </c>
      <c r="D28" s="393"/>
      <c r="E28" s="393"/>
      <c r="F28" s="393"/>
      <c r="G28" s="393"/>
      <c r="H28" s="393"/>
      <c r="I28" s="393"/>
      <c r="J28" s="393"/>
      <c r="K28" s="393"/>
      <c r="L28" s="393"/>
      <c r="M28" s="393"/>
      <c r="N28" s="393"/>
      <c r="O28" s="394"/>
    </row>
    <row r="29" spans="1:15">
      <c r="A29" s="1036" t="str">
        <f>报表格式!Q29</f>
        <v xml:space="preserve">     支付的其他与经营活动有关的现金</v>
      </c>
      <c r="B29" s="393">
        <f t="shared" si="0"/>
        <v>0</v>
      </c>
      <c r="C29" s="393">
        <f>TB母公司CF!I29</f>
        <v>0</v>
      </c>
      <c r="D29" s="393"/>
      <c r="E29" s="393"/>
      <c r="F29" s="393"/>
      <c r="G29" s="393"/>
      <c r="H29" s="393"/>
      <c r="I29" s="393"/>
      <c r="J29" s="393"/>
      <c r="K29" s="393"/>
      <c r="L29" s="393"/>
      <c r="M29" s="393"/>
      <c r="N29" s="393"/>
      <c r="O29" s="394"/>
    </row>
    <row r="30" spans="1:15">
      <c r="A30" s="1025" t="str">
        <f>报表格式!Q31</f>
        <v xml:space="preserve">     经营活动现金流出小计</v>
      </c>
      <c r="B30" s="393">
        <f t="shared" ref="B30:O30" si="4">SUM(B21:B29)</f>
        <v>0</v>
      </c>
      <c r="C30" s="393">
        <f t="shared" si="4"/>
        <v>0</v>
      </c>
      <c r="D30" s="393">
        <f t="shared" si="4"/>
        <v>0</v>
      </c>
      <c r="E30" s="393">
        <f t="shared" si="4"/>
        <v>0</v>
      </c>
      <c r="F30" s="393">
        <f t="shared" si="4"/>
        <v>0</v>
      </c>
      <c r="G30" s="393">
        <f t="shared" si="4"/>
        <v>0</v>
      </c>
      <c r="H30" s="393">
        <f t="shared" si="4"/>
        <v>0</v>
      </c>
      <c r="I30" s="393">
        <f t="shared" si="4"/>
        <v>0</v>
      </c>
      <c r="J30" s="393">
        <f t="shared" si="4"/>
        <v>0</v>
      </c>
      <c r="K30" s="393">
        <f t="shared" si="4"/>
        <v>0</v>
      </c>
      <c r="L30" s="393">
        <f t="shared" si="4"/>
        <v>0</v>
      </c>
      <c r="M30" s="393">
        <f t="shared" si="4"/>
        <v>0</v>
      </c>
      <c r="N30" s="393">
        <f t="shared" si="4"/>
        <v>0</v>
      </c>
      <c r="O30" s="394">
        <f t="shared" si="4"/>
        <v>0</v>
      </c>
    </row>
    <row r="31" spans="1:15" s="389" customFormat="1">
      <c r="A31" s="1025" t="str">
        <f>报表格式!Q32</f>
        <v xml:space="preserve">     经营活动产生的现金流量净额</v>
      </c>
      <c r="B31" s="399">
        <f t="shared" ref="B31:O31" si="5">B20-B30</f>
        <v>0</v>
      </c>
      <c r="C31" s="399">
        <f t="shared" si="5"/>
        <v>0</v>
      </c>
      <c r="D31" s="399">
        <f t="shared" si="5"/>
        <v>0</v>
      </c>
      <c r="E31" s="399">
        <f t="shared" si="5"/>
        <v>0</v>
      </c>
      <c r="F31" s="399">
        <f t="shared" si="5"/>
        <v>0</v>
      </c>
      <c r="G31" s="399">
        <f t="shared" si="5"/>
        <v>0</v>
      </c>
      <c r="H31" s="399">
        <f t="shared" si="5"/>
        <v>0</v>
      </c>
      <c r="I31" s="399">
        <f t="shared" si="5"/>
        <v>0</v>
      </c>
      <c r="J31" s="399">
        <f t="shared" si="5"/>
        <v>0</v>
      </c>
      <c r="K31" s="399">
        <f t="shared" si="5"/>
        <v>0</v>
      </c>
      <c r="L31" s="399">
        <f t="shared" si="5"/>
        <v>0</v>
      </c>
      <c r="M31" s="399">
        <f t="shared" si="5"/>
        <v>0</v>
      </c>
      <c r="N31" s="399">
        <f t="shared" si="5"/>
        <v>0</v>
      </c>
      <c r="O31" s="400">
        <f t="shared" si="5"/>
        <v>0</v>
      </c>
    </row>
    <row r="32" spans="1:15">
      <c r="A32" s="1043" t="str">
        <f>报表格式!Q33</f>
        <v>二、投资活动产生的现金流量</v>
      </c>
      <c r="B32" s="393"/>
      <c r="C32" s="393"/>
      <c r="D32" s="393"/>
      <c r="E32" s="393"/>
      <c r="F32" s="393"/>
      <c r="G32" s="393"/>
      <c r="H32" s="393"/>
      <c r="I32" s="393"/>
      <c r="J32" s="393"/>
      <c r="K32" s="393"/>
      <c r="L32" s="393"/>
      <c r="M32" s="393"/>
      <c r="N32" s="393"/>
      <c r="O32" s="394"/>
    </row>
    <row r="33" spans="1:15">
      <c r="A33" s="1036" t="str">
        <f>报表格式!Q34</f>
        <v xml:space="preserve">     收回投资所收到的现金</v>
      </c>
      <c r="B33" s="393">
        <f t="shared" si="0"/>
        <v>0</v>
      </c>
      <c r="C33" s="393">
        <f>TB母公司CF!I33</f>
        <v>0</v>
      </c>
      <c r="D33" s="393"/>
      <c r="E33" s="393"/>
      <c r="F33" s="393"/>
      <c r="G33" s="393"/>
      <c r="H33" s="393"/>
      <c r="I33" s="393"/>
      <c r="J33" s="393"/>
      <c r="K33" s="393"/>
      <c r="L33" s="393"/>
      <c r="M33" s="393"/>
      <c r="N33" s="393"/>
      <c r="O33" s="394"/>
    </row>
    <row r="34" spans="1:15">
      <c r="A34" s="1036" t="str">
        <f>报表格式!Q35</f>
        <v xml:space="preserve">     取得投资收益所收到的现金</v>
      </c>
      <c r="B34" s="393">
        <f t="shared" si="0"/>
        <v>0</v>
      </c>
      <c r="C34" s="393">
        <f>TB母公司CF!I34</f>
        <v>0</v>
      </c>
      <c r="D34" s="393"/>
      <c r="E34" s="393"/>
      <c r="F34" s="393"/>
      <c r="G34" s="393"/>
      <c r="H34" s="393"/>
      <c r="I34" s="393"/>
      <c r="J34" s="393"/>
      <c r="K34" s="393"/>
      <c r="L34" s="393"/>
      <c r="M34" s="393"/>
      <c r="N34" s="393"/>
      <c r="O34" s="394"/>
    </row>
    <row r="35" spans="1:15">
      <c r="A35" s="1036" t="str">
        <f>报表格式!Q36</f>
        <v xml:space="preserve">     处置固定资产、无形资产和其他长期资产而收到的现金净额</v>
      </c>
      <c r="B35" s="393">
        <f t="shared" si="0"/>
        <v>0</v>
      </c>
      <c r="C35" s="393">
        <f>TB母公司CF!I35</f>
        <v>0</v>
      </c>
      <c r="D35" s="393"/>
      <c r="E35" s="393"/>
      <c r="F35" s="393"/>
      <c r="G35" s="393"/>
      <c r="H35" s="393"/>
      <c r="I35" s="393"/>
      <c r="J35" s="393"/>
      <c r="K35" s="393"/>
      <c r="L35" s="393"/>
      <c r="M35" s="393"/>
      <c r="N35" s="393"/>
      <c r="O35" s="394"/>
    </row>
    <row r="36" spans="1:15">
      <c r="A36" s="1036" t="str">
        <f>报表格式!Q37</f>
        <v xml:space="preserve">     处置子公司及其他营业单位收到的现金净额</v>
      </c>
      <c r="B36" s="393">
        <f t="shared" si="0"/>
        <v>0</v>
      </c>
      <c r="C36" s="393">
        <f>TB母公司CF!I36</f>
        <v>0</v>
      </c>
      <c r="D36" s="393"/>
      <c r="E36" s="393"/>
      <c r="F36" s="393"/>
      <c r="G36" s="393"/>
      <c r="H36" s="393"/>
      <c r="I36" s="393"/>
      <c r="J36" s="393"/>
      <c r="K36" s="393"/>
      <c r="L36" s="393"/>
      <c r="M36" s="393"/>
      <c r="N36" s="393"/>
      <c r="O36" s="394"/>
    </row>
    <row r="37" spans="1:15">
      <c r="A37" s="1036" t="str">
        <f>报表格式!Q38</f>
        <v xml:space="preserve">     收到其他与投资活动有关的现金</v>
      </c>
      <c r="B37" s="393">
        <f t="shared" si="0"/>
        <v>0</v>
      </c>
      <c r="C37" s="393">
        <f>TB母公司CF!I37</f>
        <v>0</v>
      </c>
      <c r="D37" s="393"/>
      <c r="E37" s="393"/>
      <c r="F37" s="393"/>
      <c r="G37" s="393"/>
      <c r="H37" s="393"/>
      <c r="I37" s="393"/>
      <c r="J37" s="393"/>
      <c r="K37" s="393"/>
      <c r="L37" s="393"/>
      <c r="M37" s="393"/>
      <c r="N37" s="393"/>
      <c r="O37" s="394"/>
    </row>
    <row r="38" spans="1:15">
      <c r="A38" s="1025" t="str">
        <f>报表格式!Q40</f>
        <v xml:space="preserve">     投资活动现金流入小计</v>
      </c>
      <c r="B38" s="393">
        <f t="shared" ref="B38:O38" si="6">SUM(B33:B37)</f>
        <v>0</v>
      </c>
      <c r="C38" s="393">
        <f t="shared" si="6"/>
        <v>0</v>
      </c>
      <c r="D38" s="393">
        <f t="shared" si="6"/>
        <v>0</v>
      </c>
      <c r="E38" s="393">
        <f t="shared" si="6"/>
        <v>0</v>
      </c>
      <c r="F38" s="393">
        <f t="shared" si="6"/>
        <v>0</v>
      </c>
      <c r="G38" s="393">
        <f t="shared" si="6"/>
        <v>0</v>
      </c>
      <c r="H38" s="393">
        <f t="shared" si="6"/>
        <v>0</v>
      </c>
      <c r="I38" s="393">
        <f t="shared" si="6"/>
        <v>0</v>
      </c>
      <c r="J38" s="393">
        <f t="shared" si="6"/>
        <v>0</v>
      </c>
      <c r="K38" s="393">
        <f t="shared" si="6"/>
        <v>0</v>
      </c>
      <c r="L38" s="393">
        <f t="shared" si="6"/>
        <v>0</v>
      </c>
      <c r="M38" s="393">
        <f t="shared" si="6"/>
        <v>0</v>
      </c>
      <c r="N38" s="393">
        <f t="shared" si="6"/>
        <v>0</v>
      </c>
      <c r="O38" s="394">
        <f t="shared" si="6"/>
        <v>0</v>
      </c>
    </row>
    <row r="39" spans="1:15" s="389" customFormat="1">
      <c r="A39" s="1036" t="str">
        <f>报表格式!Q41</f>
        <v xml:space="preserve">     购置固定资产、无形资产和其他长期资产所支付现金 </v>
      </c>
      <c r="B39" s="393">
        <f t="shared" si="0"/>
        <v>0</v>
      </c>
      <c r="C39" s="393">
        <f>TB母公司CF!I39</f>
        <v>0</v>
      </c>
      <c r="D39" s="393"/>
      <c r="E39" s="393"/>
      <c r="F39" s="393"/>
      <c r="G39" s="393"/>
      <c r="H39" s="393"/>
      <c r="I39" s="393"/>
      <c r="J39" s="393"/>
      <c r="K39" s="393"/>
      <c r="L39" s="393"/>
      <c r="M39" s="393"/>
      <c r="N39" s="393"/>
      <c r="O39" s="394"/>
    </row>
    <row r="40" spans="1:15">
      <c r="A40" s="1036" t="str">
        <f>报表格式!Q42</f>
        <v xml:space="preserve">     投资所支付的现金</v>
      </c>
      <c r="B40" s="393">
        <f t="shared" si="0"/>
        <v>0</v>
      </c>
      <c r="C40" s="393">
        <f>TB母公司CF!I40</f>
        <v>0</v>
      </c>
      <c r="D40" s="393"/>
      <c r="E40" s="393"/>
      <c r="F40" s="393"/>
      <c r="G40" s="393"/>
      <c r="H40" s="393"/>
      <c r="I40" s="393"/>
      <c r="J40" s="393"/>
      <c r="K40" s="393"/>
      <c r="L40" s="393"/>
      <c r="M40" s="393"/>
      <c r="N40" s="393"/>
      <c r="O40" s="394"/>
    </row>
    <row r="41" spans="1:15">
      <c r="A41" s="1036" t="str">
        <f>报表格式!Q43</f>
        <v xml:space="preserve">     质押贷款净增加额</v>
      </c>
      <c r="B41" s="393">
        <f t="shared" ref="B41" si="7">SUM(C41:O41)</f>
        <v>0</v>
      </c>
      <c r="C41" s="393">
        <f>TB母公司CF!I41</f>
        <v>0</v>
      </c>
      <c r="D41" s="393"/>
      <c r="E41" s="393"/>
      <c r="F41" s="393"/>
      <c r="G41" s="393"/>
      <c r="H41" s="393"/>
      <c r="I41" s="393"/>
      <c r="J41" s="393"/>
      <c r="K41" s="393"/>
      <c r="L41" s="393"/>
      <c r="M41" s="393"/>
      <c r="N41" s="393"/>
      <c r="O41" s="394"/>
    </row>
    <row r="42" spans="1:15">
      <c r="A42" s="1036" t="str">
        <f>报表格式!Q44</f>
        <v xml:space="preserve">     取得子公司及其他营业单位支付的现金净额</v>
      </c>
      <c r="B42" s="393">
        <f t="shared" si="0"/>
        <v>0</v>
      </c>
      <c r="C42" s="393">
        <f>TB母公司CF!I42</f>
        <v>0</v>
      </c>
      <c r="D42" s="393"/>
      <c r="E42" s="393"/>
      <c r="F42" s="393"/>
      <c r="G42" s="393"/>
      <c r="H42" s="393"/>
      <c r="I42" s="393"/>
      <c r="J42" s="393"/>
      <c r="K42" s="393"/>
      <c r="L42" s="393"/>
      <c r="M42" s="393"/>
      <c r="N42" s="393"/>
      <c r="O42" s="394"/>
    </row>
    <row r="43" spans="1:15" s="389" customFormat="1">
      <c r="A43" s="1036" t="str">
        <f>报表格式!Q45</f>
        <v xml:space="preserve">     支付其他与投资活动有关的现金</v>
      </c>
      <c r="B43" s="393">
        <f t="shared" si="0"/>
        <v>0</v>
      </c>
      <c r="C43" s="393">
        <f>TB母公司CF!I43</f>
        <v>0</v>
      </c>
      <c r="D43" s="393"/>
      <c r="E43" s="393"/>
      <c r="F43" s="393"/>
      <c r="G43" s="393"/>
      <c r="H43" s="393"/>
      <c r="I43" s="393"/>
      <c r="J43" s="393"/>
      <c r="K43" s="393"/>
      <c r="L43" s="393"/>
      <c r="M43" s="393"/>
      <c r="N43" s="393"/>
      <c r="O43" s="394"/>
    </row>
    <row r="44" spans="1:15">
      <c r="A44" s="1025" t="str">
        <f>报表格式!Q47</f>
        <v xml:space="preserve">      投资活动现金流出小计</v>
      </c>
      <c r="B44" s="393">
        <f t="shared" ref="B44:O44" si="8">SUM(B39:B43)</f>
        <v>0</v>
      </c>
      <c r="C44" s="393">
        <f t="shared" si="8"/>
        <v>0</v>
      </c>
      <c r="D44" s="393">
        <f t="shared" si="8"/>
        <v>0</v>
      </c>
      <c r="E44" s="393">
        <f t="shared" si="8"/>
        <v>0</v>
      </c>
      <c r="F44" s="393">
        <f t="shared" si="8"/>
        <v>0</v>
      </c>
      <c r="G44" s="393">
        <f t="shared" si="8"/>
        <v>0</v>
      </c>
      <c r="H44" s="393">
        <f t="shared" si="8"/>
        <v>0</v>
      </c>
      <c r="I44" s="393">
        <f t="shared" si="8"/>
        <v>0</v>
      </c>
      <c r="J44" s="393">
        <f t="shared" si="8"/>
        <v>0</v>
      </c>
      <c r="K44" s="393">
        <f t="shared" si="8"/>
        <v>0</v>
      </c>
      <c r="L44" s="393">
        <f t="shared" si="8"/>
        <v>0</v>
      </c>
      <c r="M44" s="393">
        <f t="shared" si="8"/>
        <v>0</v>
      </c>
      <c r="N44" s="393">
        <f t="shared" si="8"/>
        <v>0</v>
      </c>
      <c r="O44" s="394">
        <f t="shared" si="8"/>
        <v>0</v>
      </c>
    </row>
    <row r="45" spans="1:15" s="389" customFormat="1">
      <c r="A45" s="1025" t="str">
        <f>报表格式!Q48</f>
        <v xml:space="preserve">     投资活动产生的现金流量净额</v>
      </c>
      <c r="B45" s="399">
        <f t="shared" ref="B45:O45" si="9">B38-B44</f>
        <v>0</v>
      </c>
      <c r="C45" s="399">
        <f t="shared" si="9"/>
        <v>0</v>
      </c>
      <c r="D45" s="399">
        <f t="shared" si="9"/>
        <v>0</v>
      </c>
      <c r="E45" s="399">
        <f t="shared" si="9"/>
        <v>0</v>
      </c>
      <c r="F45" s="399">
        <f t="shared" si="9"/>
        <v>0</v>
      </c>
      <c r="G45" s="399">
        <f t="shared" si="9"/>
        <v>0</v>
      </c>
      <c r="H45" s="399">
        <f t="shared" si="9"/>
        <v>0</v>
      </c>
      <c r="I45" s="399">
        <f t="shared" si="9"/>
        <v>0</v>
      </c>
      <c r="J45" s="399">
        <f t="shared" si="9"/>
        <v>0</v>
      </c>
      <c r="K45" s="399">
        <f t="shared" si="9"/>
        <v>0</v>
      </c>
      <c r="L45" s="399">
        <f t="shared" si="9"/>
        <v>0</v>
      </c>
      <c r="M45" s="399">
        <f t="shared" si="9"/>
        <v>0</v>
      </c>
      <c r="N45" s="399">
        <f t="shared" si="9"/>
        <v>0</v>
      </c>
      <c r="O45" s="400">
        <f t="shared" si="9"/>
        <v>0</v>
      </c>
    </row>
    <row r="46" spans="1:15" s="389" customFormat="1">
      <c r="A46" s="1043" t="str">
        <f>报表格式!Q49</f>
        <v>三、筹资活动产生的现金流量</v>
      </c>
      <c r="B46" s="393"/>
      <c r="C46" s="393"/>
      <c r="D46" s="393"/>
      <c r="E46" s="393"/>
      <c r="F46" s="393"/>
      <c r="G46" s="393"/>
      <c r="H46" s="393"/>
      <c r="I46" s="393"/>
      <c r="J46" s="393"/>
      <c r="K46" s="393"/>
      <c r="L46" s="393"/>
      <c r="M46" s="393"/>
      <c r="N46" s="393"/>
      <c r="O46" s="394"/>
    </row>
    <row r="47" spans="1:15">
      <c r="A47" s="1036" t="str">
        <f>报表格式!Q50</f>
        <v xml:space="preserve">     吸收投资所收到的现金</v>
      </c>
      <c r="B47" s="393">
        <f t="shared" si="0"/>
        <v>0</v>
      </c>
      <c r="C47" s="393">
        <f>TB母公司CF!I47</f>
        <v>0</v>
      </c>
      <c r="D47" s="393"/>
      <c r="E47" s="393"/>
      <c r="F47" s="393"/>
      <c r="G47" s="393"/>
      <c r="H47" s="393"/>
      <c r="I47" s="393"/>
      <c r="J47" s="393"/>
      <c r="K47" s="393"/>
      <c r="L47" s="393"/>
      <c r="M47" s="393"/>
      <c r="N47" s="393"/>
      <c r="O47" s="394"/>
    </row>
    <row r="48" spans="1:15">
      <c r="A48" s="1029" t="str">
        <f>报表格式!Q51</f>
        <v xml:space="preserve">     其中：子公司吸收少数股东投资收到的现金</v>
      </c>
      <c r="B48" s="393">
        <f t="shared" si="0"/>
        <v>0</v>
      </c>
      <c r="C48" s="393">
        <f>TB母公司CF!I48</f>
        <v>0</v>
      </c>
      <c r="D48" s="393"/>
      <c r="E48" s="393"/>
      <c r="F48" s="393"/>
      <c r="G48" s="393"/>
      <c r="H48" s="393"/>
      <c r="I48" s="393"/>
      <c r="J48" s="393"/>
      <c r="K48" s="393"/>
      <c r="L48" s="393"/>
      <c r="M48" s="393"/>
      <c r="N48" s="393"/>
      <c r="O48" s="394"/>
    </row>
    <row r="49" spans="1:15">
      <c r="A49" s="1036" t="str">
        <f>报表格式!Q52</f>
        <v xml:space="preserve">     取得借款收到的现金</v>
      </c>
      <c r="B49" s="393">
        <f t="shared" si="0"/>
        <v>0</v>
      </c>
      <c r="C49" s="393">
        <f>TB母公司CF!I49</f>
        <v>0</v>
      </c>
      <c r="D49" s="393"/>
      <c r="E49" s="393"/>
      <c r="F49" s="393"/>
      <c r="G49" s="393"/>
      <c r="H49" s="393"/>
      <c r="I49" s="393"/>
      <c r="J49" s="393"/>
      <c r="K49" s="393"/>
      <c r="L49" s="393"/>
      <c r="M49" s="393"/>
      <c r="N49" s="393"/>
      <c r="O49" s="394"/>
    </row>
    <row r="50" spans="1:15">
      <c r="A50" s="1036" t="str">
        <f>报表格式!Q53</f>
        <v xml:space="preserve">     收到的其他与筹资活动有关的现金</v>
      </c>
      <c r="B50" s="393">
        <f>SUM(C50:O50)</f>
        <v>0</v>
      </c>
      <c r="C50" s="393">
        <f>TB母公司CF!I50</f>
        <v>0</v>
      </c>
      <c r="D50" s="393"/>
      <c r="E50" s="393"/>
      <c r="F50" s="393"/>
      <c r="G50" s="393"/>
      <c r="H50" s="393"/>
      <c r="I50" s="393"/>
      <c r="J50" s="393"/>
      <c r="K50" s="393"/>
      <c r="L50" s="393"/>
      <c r="M50" s="393"/>
      <c r="N50" s="393"/>
      <c r="O50" s="394"/>
    </row>
    <row r="51" spans="1:15">
      <c r="A51" s="1036">
        <f>报表格式!Q54</f>
        <v>0</v>
      </c>
      <c r="B51" s="393">
        <f t="shared" si="0"/>
        <v>0</v>
      </c>
      <c r="C51" s="393">
        <f>TB母公司CF!I51</f>
        <v>0</v>
      </c>
      <c r="D51" s="393"/>
      <c r="E51" s="393"/>
      <c r="F51" s="393"/>
      <c r="G51" s="393"/>
      <c r="H51" s="393"/>
      <c r="I51" s="393"/>
      <c r="J51" s="393"/>
      <c r="K51" s="393"/>
      <c r="L51" s="393"/>
      <c r="M51" s="393"/>
      <c r="N51" s="393"/>
      <c r="O51" s="394"/>
    </row>
    <row r="52" spans="1:15">
      <c r="A52" s="1025" t="str">
        <f>报表格式!Q55</f>
        <v xml:space="preserve">     筹资活动现金流入小计</v>
      </c>
      <c r="B52" s="393">
        <f>SUM(B47:B51)-B48</f>
        <v>0</v>
      </c>
      <c r="C52" s="393">
        <f t="shared" ref="C52:O52" si="10">SUM(C47:C51)-C48</f>
        <v>0</v>
      </c>
      <c r="D52" s="393">
        <f t="shared" si="10"/>
        <v>0</v>
      </c>
      <c r="E52" s="393">
        <f t="shared" si="10"/>
        <v>0</v>
      </c>
      <c r="F52" s="393">
        <f t="shared" si="10"/>
        <v>0</v>
      </c>
      <c r="G52" s="393">
        <f t="shared" si="10"/>
        <v>0</v>
      </c>
      <c r="H52" s="393">
        <f t="shared" si="10"/>
        <v>0</v>
      </c>
      <c r="I52" s="393">
        <f t="shared" si="10"/>
        <v>0</v>
      </c>
      <c r="J52" s="393">
        <f t="shared" si="10"/>
        <v>0</v>
      </c>
      <c r="K52" s="393">
        <f t="shared" si="10"/>
        <v>0</v>
      </c>
      <c r="L52" s="393">
        <f t="shared" si="10"/>
        <v>0</v>
      </c>
      <c r="M52" s="393">
        <f t="shared" si="10"/>
        <v>0</v>
      </c>
      <c r="N52" s="393">
        <f t="shared" si="10"/>
        <v>0</v>
      </c>
      <c r="O52" s="394">
        <f t="shared" si="10"/>
        <v>0</v>
      </c>
    </row>
    <row r="53" spans="1:15">
      <c r="A53" s="1036" t="str">
        <f>报表格式!Q56</f>
        <v xml:space="preserve">     偿还债务支付的现金</v>
      </c>
      <c r="B53" s="393">
        <f t="shared" si="0"/>
        <v>0</v>
      </c>
      <c r="C53" s="393">
        <f>TB母公司CF!I53</f>
        <v>0</v>
      </c>
      <c r="D53" s="393"/>
      <c r="E53" s="393"/>
      <c r="F53" s="393"/>
      <c r="G53" s="393"/>
      <c r="H53" s="393"/>
      <c r="I53" s="393"/>
      <c r="J53" s="393"/>
      <c r="K53" s="393"/>
      <c r="L53" s="393"/>
      <c r="M53" s="393"/>
      <c r="N53" s="393"/>
      <c r="O53" s="394"/>
    </row>
    <row r="54" spans="1:15" s="389" customFormat="1">
      <c r="A54" s="1036" t="str">
        <f>报表格式!Q57</f>
        <v xml:space="preserve">     分配股利、利润或偿付利息支付的现金</v>
      </c>
      <c r="B54" s="393">
        <f t="shared" si="0"/>
        <v>0</v>
      </c>
      <c r="C54" s="393">
        <f>TB母公司CF!I54</f>
        <v>0</v>
      </c>
      <c r="D54" s="393"/>
      <c r="E54" s="393"/>
      <c r="F54" s="393"/>
      <c r="G54" s="393"/>
      <c r="H54" s="393"/>
      <c r="I54" s="393"/>
      <c r="J54" s="393"/>
      <c r="K54" s="393"/>
      <c r="L54" s="393"/>
      <c r="M54" s="393"/>
      <c r="N54" s="393"/>
      <c r="O54" s="394"/>
    </row>
    <row r="55" spans="1:15">
      <c r="A55" s="1029" t="str">
        <f>报表格式!Q58</f>
        <v xml:space="preserve">      其中：子公司支付给少数股东的股利、利润</v>
      </c>
      <c r="B55" s="393">
        <f t="shared" si="0"/>
        <v>0</v>
      </c>
      <c r="C55" s="393">
        <f>TB母公司CF!I55</f>
        <v>0</v>
      </c>
      <c r="D55" s="393"/>
      <c r="E55" s="393"/>
      <c r="F55" s="393"/>
      <c r="G55" s="393"/>
      <c r="H55" s="393"/>
      <c r="I55" s="393"/>
      <c r="J55" s="393"/>
      <c r="K55" s="393"/>
      <c r="L55" s="393"/>
      <c r="M55" s="393"/>
      <c r="N55" s="393"/>
      <c r="O55" s="394"/>
    </row>
    <row r="56" spans="1:15">
      <c r="A56" s="1067" t="str">
        <f>报表格式!Q59</f>
        <v xml:space="preserve">     支付其他与筹资活动有关的现金</v>
      </c>
      <c r="B56" s="393">
        <f t="shared" si="0"/>
        <v>0</v>
      </c>
      <c r="C56" s="393">
        <f>TB母公司CF!I56</f>
        <v>0</v>
      </c>
      <c r="D56" s="393"/>
      <c r="E56" s="393"/>
      <c r="F56" s="393"/>
      <c r="G56" s="393"/>
      <c r="H56" s="393"/>
      <c r="I56" s="393"/>
      <c r="J56" s="393"/>
      <c r="K56" s="393"/>
      <c r="L56" s="393"/>
      <c r="M56" s="393"/>
      <c r="N56" s="393"/>
      <c r="O56" s="394"/>
    </row>
    <row r="57" spans="1:15">
      <c r="A57" s="1068">
        <f>报表格式!Q60</f>
        <v>0</v>
      </c>
      <c r="B57" s="393">
        <f t="shared" si="0"/>
        <v>0</v>
      </c>
      <c r="C57" s="393">
        <f>TB母公司CF!I57</f>
        <v>0</v>
      </c>
      <c r="D57" s="393"/>
      <c r="E57" s="393"/>
      <c r="F57" s="393"/>
      <c r="G57" s="393"/>
      <c r="H57" s="393"/>
      <c r="I57" s="393"/>
      <c r="J57" s="393"/>
      <c r="K57" s="393"/>
      <c r="L57" s="393"/>
      <c r="M57" s="393"/>
      <c r="N57" s="393"/>
      <c r="O57" s="394"/>
    </row>
    <row r="58" spans="1:15" s="389" customFormat="1">
      <c r="A58" s="1025" t="str">
        <f>报表格式!Q61</f>
        <v xml:space="preserve">     筹资活动现金流出小计</v>
      </c>
      <c r="B58" s="393">
        <f>SUM(B53:B57)-B55-B57</f>
        <v>0</v>
      </c>
      <c r="C58" s="393">
        <f t="shared" ref="C58:O58" si="11">SUM(C53:C57)-C55-C57</f>
        <v>0</v>
      </c>
      <c r="D58" s="393">
        <f t="shared" si="11"/>
        <v>0</v>
      </c>
      <c r="E58" s="393">
        <f t="shared" si="11"/>
        <v>0</v>
      </c>
      <c r="F58" s="393">
        <f t="shared" si="11"/>
        <v>0</v>
      </c>
      <c r="G58" s="393">
        <f t="shared" si="11"/>
        <v>0</v>
      </c>
      <c r="H58" s="393">
        <f t="shared" si="11"/>
        <v>0</v>
      </c>
      <c r="I58" s="393">
        <f t="shared" si="11"/>
        <v>0</v>
      </c>
      <c r="J58" s="393">
        <f t="shared" si="11"/>
        <v>0</v>
      </c>
      <c r="K58" s="393">
        <f t="shared" si="11"/>
        <v>0</v>
      </c>
      <c r="L58" s="393">
        <f t="shared" si="11"/>
        <v>0</v>
      </c>
      <c r="M58" s="393">
        <f t="shared" si="11"/>
        <v>0</v>
      </c>
      <c r="N58" s="393">
        <f t="shared" si="11"/>
        <v>0</v>
      </c>
      <c r="O58" s="393">
        <f t="shared" si="11"/>
        <v>0</v>
      </c>
    </row>
    <row r="59" spans="1:15" s="389" customFormat="1">
      <c r="A59" s="1025" t="str">
        <f>报表格式!Q62</f>
        <v xml:space="preserve">     筹资活动产生的现金流量净额</v>
      </c>
      <c r="B59" s="399">
        <f>B52-B58</f>
        <v>0</v>
      </c>
      <c r="C59" s="399">
        <f t="shared" ref="C59:O59" si="12">C52-C58</f>
        <v>0</v>
      </c>
      <c r="D59" s="399">
        <f t="shared" si="12"/>
        <v>0</v>
      </c>
      <c r="E59" s="399">
        <f t="shared" si="12"/>
        <v>0</v>
      </c>
      <c r="F59" s="399">
        <f t="shared" si="12"/>
        <v>0</v>
      </c>
      <c r="G59" s="399">
        <f t="shared" si="12"/>
        <v>0</v>
      </c>
      <c r="H59" s="399">
        <f t="shared" si="12"/>
        <v>0</v>
      </c>
      <c r="I59" s="399">
        <f t="shared" si="12"/>
        <v>0</v>
      </c>
      <c r="J59" s="399">
        <f t="shared" si="12"/>
        <v>0</v>
      </c>
      <c r="K59" s="399">
        <f t="shared" si="12"/>
        <v>0</v>
      </c>
      <c r="L59" s="399">
        <f t="shared" si="12"/>
        <v>0</v>
      </c>
      <c r="M59" s="399">
        <f t="shared" si="12"/>
        <v>0</v>
      </c>
      <c r="N59" s="399">
        <f t="shared" si="12"/>
        <v>0</v>
      </c>
      <c r="O59" s="400">
        <f t="shared" si="12"/>
        <v>0</v>
      </c>
    </row>
    <row r="60" spans="1:15" s="389" customFormat="1">
      <c r="A60" s="1025"/>
      <c r="B60" s="399"/>
      <c r="C60" s="399"/>
      <c r="D60" s="399"/>
      <c r="E60" s="399"/>
      <c r="F60" s="399"/>
      <c r="G60" s="399"/>
      <c r="H60" s="399"/>
      <c r="I60" s="399"/>
      <c r="J60" s="399"/>
      <c r="K60" s="399"/>
      <c r="L60" s="399"/>
      <c r="M60" s="399"/>
      <c r="N60" s="399"/>
      <c r="O60" s="400"/>
    </row>
    <row r="61" spans="1:15" s="389" customFormat="1">
      <c r="A61" s="1030" t="str">
        <f>报表格式!Q63</f>
        <v>四、汇率变动对现金及现金等价物的影响</v>
      </c>
      <c r="B61" s="393">
        <f t="shared" si="0"/>
        <v>0</v>
      </c>
      <c r="C61" s="393">
        <f>TB母公司CF!I61</f>
        <v>0</v>
      </c>
      <c r="D61" s="393"/>
      <c r="E61" s="393"/>
      <c r="F61" s="393"/>
      <c r="G61" s="393"/>
      <c r="H61" s="393"/>
      <c r="I61" s="393"/>
      <c r="J61" s="393"/>
      <c r="K61" s="393"/>
      <c r="L61" s="393"/>
      <c r="M61" s="393"/>
      <c r="N61" s="393"/>
      <c r="O61" s="394"/>
    </row>
    <row r="62" spans="1:15" s="389" customFormat="1">
      <c r="A62" s="1030" t="str">
        <f>报表格式!Q64</f>
        <v>五、现金及现金等价物净增加额</v>
      </c>
      <c r="B62" s="399">
        <f t="shared" ref="B62:O62" si="13">SUM(B31,B45,B59,B61)</f>
        <v>0</v>
      </c>
      <c r="C62" s="399">
        <f t="shared" si="13"/>
        <v>0</v>
      </c>
      <c r="D62" s="399">
        <f t="shared" si="13"/>
        <v>0</v>
      </c>
      <c r="E62" s="399">
        <f t="shared" si="13"/>
        <v>0</v>
      </c>
      <c r="F62" s="399">
        <f t="shared" si="13"/>
        <v>0</v>
      </c>
      <c r="G62" s="399">
        <f t="shared" si="13"/>
        <v>0</v>
      </c>
      <c r="H62" s="399">
        <f t="shared" si="13"/>
        <v>0</v>
      </c>
      <c r="I62" s="399">
        <f t="shared" si="13"/>
        <v>0</v>
      </c>
      <c r="J62" s="399">
        <f t="shared" si="13"/>
        <v>0</v>
      </c>
      <c r="K62" s="399">
        <f t="shared" si="13"/>
        <v>0</v>
      </c>
      <c r="L62" s="399">
        <f t="shared" si="13"/>
        <v>0</v>
      </c>
      <c r="M62" s="399">
        <f t="shared" si="13"/>
        <v>0</v>
      </c>
      <c r="N62" s="399">
        <f t="shared" si="13"/>
        <v>0</v>
      </c>
      <c r="O62" s="400">
        <f t="shared" si="13"/>
        <v>0</v>
      </c>
    </row>
    <row r="63" spans="1:15">
      <c r="A63" s="1036" t="str">
        <f>报表格式!Q65</f>
        <v xml:space="preserve">    加：期初现金及现金等价物余额</v>
      </c>
      <c r="B63" s="393">
        <f t="shared" si="0"/>
        <v>0</v>
      </c>
      <c r="C63" s="393">
        <f>TB母公司CF!I63</f>
        <v>0</v>
      </c>
      <c r="D63" s="393"/>
      <c r="E63" s="393"/>
      <c r="F63" s="393"/>
      <c r="G63" s="393"/>
      <c r="H63" s="393"/>
      <c r="I63" s="393"/>
      <c r="J63" s="393"/>
      <c r="K63" s="393"/>
      <c r="L63" s="393"/>
      <c r="M63" s="393"/>
      <c r="N63" s="393"/>
      <c r="O63" s="394"/>
    </row>
    <row r="64" spans="1:15" s="389" customFormat="1">
      <c r="A64" s="1038" t="str">
        <f>报表格式!Q66</f>
        <v>六、期末现金及现金等价物余额</v>
      </c>
      <c r="B64" s="505">
        <f>B62+B63</f>
        <v>0</v>
      </c>
      <c r="C64" s="505">
        <f t="shared" ref="C64:O64" si="14">C62+C63</f>
        <v>0</v>
      </c>
      <c r="D64" s="505">
        <f t="shared" si="14"/>
        <v>0</v>
      </c>
      <c r="E64" s="505">
        <f t="shared" si="14"/>
        <v>0</v>
      </c>
      <c r="F64" s="505">
        <f t="shared" si="14"/>
        <v>0</v>
      </c>
      <c r="G64" s="505">
        <f t="shared" si="14"/>
        <v>0</v>
      </c>
      <c r="H64" s="505">
        <f t="shared" si="14"/>
        <v>0</v>
      </c>
      <c r="I64" s="505">
        <f t="shared" si="14"/>
        <v>0</v>
      </c>
      <c r="J64" s="505">
        <f t="shared" si="14"/>
        <v>0</v>
      </c>
      <c r="K64" s="505">
        <f t="shared" si="14"/>
        <v>0</v>
      </c>
      <c r="L64" s="505">
        <f t="shared" si="14"/>
        <v>0</v>
      </c>
      <c r="M64" s="505">
        <f t="shared" si="14"/>
        <v>0</v>
      </c>
      <c r="N64" s="505">
        <f t="shared" si="14"/>
        <v>0</v>
      </c>
      <c r="O64" s="506">
        <f t="shared" si="14"/>
        <v>0</v>
      </c>
    </row>
    <row r="65" spans="1:15">
      <c r="A65" s="1039"/>
      <c r="B65" s="515"/>
      <c r="C65" s="515"/>
      <c r="D65" s="515"/>
      <c r="E65" s="515"/>
      <c r="F65" s="515"/>
      <c r="G65" s="515"/>
      <c r="H65" s="515"/>
      <c r="I65" s="515"/>
      <c r="J65" s="515"/>
      <c r="K65" s="515"/>
      <c r="L65" s="515"/>
      <c r="M65" s="515"/>
      <c r="N65" s="515"/>
      <c r="O65" s="515"/>
    </row>
    <row r="66" spans="1:15">
      <c r="A66" s="1069"/>
      <c r="B66" s="520"/>
      <c r="C66" s="520"/>
      <c r="D66" s="520"/>
      <c r="E66" s="520"/>
      <c r="F66" s="520"/>
      <c r="G66" s="520"/>
      <c r="H66" s="520"/>
      <c r="I66" s="520"/>
      <c r="J66" s="520"/>
      <c r="K66" s="520"/>
      <c r="L66" s="520"/>
      <c r="M66" s="520"/>
      <c r="N66" s="520"/>
      <c r="O66" s="520"/>
    </row>
    <row r="67" spans="1:15">
      <c r="A67" s="1041" t="str">
        <f>报表格式!U4</f>
        <v>补充资料</v>
      </c>
      <c r="B67" s="435"/>
      <c r="C67" s="435"/>
      <c r="D67" s="435"/>
      <c r="E67" s="435"/>
      <c r="F67" s="435"/>
      <c r="G67" s="435"/>
      <c r="H67" s="435"/>
      <c r="I67" s="435"/>
      <c r="J67" s="435"/>
      <c r="K67" s="435"/>
      <c r="L67" s="435"/>
      <c r="M67" s="435"/>
      <c r="N67" s="435"/>
    </row>
    <row r="68" spans="1:15">
      <c r="A68" s="1042" t="str">
        <f>报表格式!U5</f>
        <v>1、将净利润调节为经营活动现金流量：</v>
      </c>
      <c r="B68" s="414"/>
      <c r="C68" s="414"/>
      <c r="D68" s="414"/>
      <c r="E68" s="414"/>
      <c r="F68" s="414"/>
      <c r="G68" s="414"/>
      <c r="H68" s="414"/>
      <c r="I68" s="414"/>
      <c r="J68" s="414"/>
      <c r="K68" s="414"/>
      <c r="L68" s="414"/>
      <c r="M68" s="414"/>
      <c r="N68" s="414"/>
      <c r="O68" s="415"/>
    </row>
    <row r="69" spans="1:15" s="389" customFormat="1">
      <c r="A69" s="1030" t="str">
        <f>报表格式!U6</f>
        <v xml:space="preserve">     净利润</v>
      </c>
      <c r="B69" s="399">
        <f t="shared" ref="B69:B97" si="15">SUM(C69:O69)</f>
        <v>0</v>
      </c>
      <c r="C69" s="393">
        <f>TB母公司CF!I69</f>
        <v>0</v>
      </c>
      <c r="D69" s="393"/>
      <c r="E69" s="393"/>
      <c r="F69" s="393"/>
      <c r="G69" s="393"/>
      <c r="H69" s="393"/>
      <c r="I69" s="393"/>
      <c r="J69" s="393"/>
      <c r="K69" s="393"/>
      <c r="L69" s="393"/>
      <c r="M69" s="393"/>
      <c r="N69" s="393"/>
      <c r="O69" s="394"/>
    </row>
    <row r="70" spans="1:15">
      <c r="A70" s="1036" t="str">
        <f>报表格式!U9</f>
        <v>加：资产减值损失</v>
      </c>
      <c r="B70" s="393">
        <f t="shared" si="15"/>
        <v>0</v>
      </c>
      <c r="C70" s="393">
        <f>TB母公司CF!I70</f>
        <v>0</v>
      </c>
      <c r="D70" s="393"/>
      <c r="E70" s="393"/>
      <c r="F70" s="393"/>
      <c r="G70" s="393"/>
      <c r="H70" s="393"/>
      <c r="I70" s="393"/>
      <c r="J70" s="393"/>
      <c r="K70" s="393"/>
      <c r="L70" s="393"/>
      <c r="M70" s="393"/>
      <c r="N70" s="393"/>
      <c r="O70" s="394"/>
    </row>
    <row r="71" spans="1:15">
      <c r="A71" s="1036" t="str">
        <f>报表格式!U10</f>
        <v xml:space="preserve">     信用减值损失</v>
      </c>
      <c r="B71" s="393">
        <f t="shared" si="15"/>
        <v>0</v>
      </c>
      <c r="C71" s="393">
        <f>TB母公司CF!I71</f>
        <v>0</v>
      </c>
      <c r="D71" s="393"/>
      <c r="E71" s="393"/>
      <c r="F71" s="393"/>
      <c r="G71" s="393"/>
      <c r="H71" s="393"/>
      <c r="I71" s="393"/>
      <c r="J71" s="393"/>
      <c r="K71" s="393"/>
      <c r="L71" s="393"/>
      <c r="M71" s="393"/>
      <c r="N71" s="393"/>
      <c r="O71" s="394"/>
    </row>
    <row r="72" spans="1:15">
      <c r="A72" s="1036" t="str">
        <f>报表格式!U11</f>
        <v xml:space="preserve">     固定资产折旧、油气资产折耗、生产性生物资产折旧</v>
      </c>
      <c r="B72" s="393">
        <f t="shared" si="15"/>
        <v>0</v>
      </c>
      <c r="C72" s="393">
        <f>TB母公司CF!I72</f>
        <v>0</v>
      </c>
      <c r="D72" s="393"/>
      <c r="E72" s="393"/>
      <c r="F72" s="393"/>
      <c r="G72" s="393"/>
      <c r="H72" s="393"/>
      <c r="I72" s="393"/>
      <c r="J72" s="393"/>
      <c r="K72" s="393"/>
      <c r="L72" s="393"/>
      <c r="M72" s="393"/>
      <c r="N72" s="393"/>
      <c r="O72" s="394"/>
    </row>
    <row r="73" spans="1:15" s="389" customFormat="1">
      <c r="A73" s="1036" t="str">
        <f>报表格式!U12</f>
        <v xml:space="preserve">     无形资产摊销</v>
      </c>
      <c r="B73" s="393">
        <f t="shared" si="15"/>
        <v>0</v>
      </c>
      <c r="C73" s="393">
        <f>TB母公司CF!I73</f>
        <v>0</v>
      </c>
      <c r="D73" s="393"/>
      <c r="E73" s="393"/>
      <c r="F73" s="393"/>
      <c r="G73" s="393"/>
      <c r="H73" s="393"/>
      <c r="I73" s="393"/>
      <c r="J73" s="393"/>
      <c r="K73" s="393"/>
      <c r="L73" s="393"/>
      <c r="M73" s="393"/>
      <c r="N73" s="393"/>
      <c r="O73" s="394"/>
    </row>
    <row r="74" spans="1:15" s="389" customFormat="1">
      <c r="A74" s="1036" t="str">
        <f>报表格式!U13</f>
        <v xml:space="preserve">     长期待摊费用摊销</v>
      </c>
      <c r="B74" s="393">
        <f t="shared" si="15"/>
        <v>0</v>
      </c>
      <c r="C74" s="393">
        <f>TB母公司CF!I74</f>
        <v>0</v>
      </c>
      <c r="D74" s="393"/>
      <c r="E74" s="393"/>
      <c r="F74" s="393"/>
      <c r="G74" s="393"/>
      <c r="H74" s="393"/>
      <c r="I74" s="393"/>
      <c r="J74" s="393"/>
      <c r="K74" s="393"/>
      <c r="L74" s="393"/>
      <c r="M74" s="393"/>
      <c r="N74" s="393"/>
      <c r="O74" s="394"/>
    </row>
    <row r="75" spans="1:15" s="389" customFormat="1">
      <c r="A75" s="1036" t="str">
        <f>报表格式!U14</f>
        <v xml:space="preserve">     处置固定资产、无形资产和其他长期资产的损失（收益以“－”号填列）</v>
      </c>
      <c r="B75" s="393">
        <f t="shared" si="15"/>
        <v>0</v>
      </c>
      <c r="C75" s="393">
        <f>TB母公司CF!I75</f>
        <v>0</v>
      </c>
      <c r="D75" s="393"/>
      <c r="E75" s="393"/>
      <c r="F75" s="393"/>
      <c r="G75" s="393"/>
      <c r="H75" s="393"/>
      <c r="I75" s="393"/>
      <c r="J75" s="393"/>
      <c r="K75" s="393"/>
      <c r="L75" s="393"/>
      <c r="M75" s="393"/>
      <c r="N75" s="393"/>
      <c r="O75" s="394"/>
    </row>
    <row r="76" spans="1:15" s="389" customFormat="1">
      <c r="A76" s="1036" t="str">
        <f>报表格式!U15</f>
        <v xml:space="preserve">     固定资产报废损失（收益以“－”号填列）</v>
      </c>
      <c r="B76" s="393">
        <f t="shared" si="15"/>
        <v>0</v>
      </c>
      <c r="C76" s="393">
        <f>TB母公司CF!I76</f>
        <v>0</v>
      </c>
      <c r="D76" s="393"/>
      <c r="E76" s="393"/>
      <c r="F76" s="393"/>
      <c r="G76" s="393"/>
      <c r="H76" s="393"/>
      <c r="I76" s="393"/>
      <c r="J76" s="393"/>
      <c r="K76" s="393"/>
      <c r="L76" s="393"/>
      <c r="M76" s="393"/>
      <c r="N76" s="393"/>
      <c r="O76" s="394"/>
    </row>
    <row r="77" spans="1:15" s="389" customFormat="1">
      <c r="A77" s="1036" t="str">
        <f>报表格式!U16</f>
        <v xml:space="preserve">     公允价值变动损失（收益以“－”号填列）</v>
      </c>
      <c r="B77" s="393">
        <f t="shared" si="15"/>
        <v>0</v>
      </c>
      <c r="C77" s="393">
        <f>TB母公司CF!I77</f>
        <v>0</v>
      </c>
      <c r="D77" s="393"/>
      <c r="E77" s="393"/>
      <c r="F77" s="393"/>
      <c r="G77" s="393"/>
      <c r="H77" s="393"/>
      <c r="I77" s="393"/>
      <c r="J77" s="393"/>
      <c r="K77" s="393"/>
      <c r="L77" s="393"/>
      <c r="M77" s="393"/>
      <c r="N77" s="393"/>
      <c r="O77" s="394"/>
    </row>
    <row r="78" spans="1:15" s="389" customFormat="1">
      <c r="A78" s="1036" t="str">
        <f>报表格式!U17</f>
        <v xml:space="preserve">     财务费用（收益以“－”号填列）</v>
      </c>
      <c r="B78" s="393">
        <f t="shared" si="15"/>
        <v>0</v>
      </c>
      <c r="C78" s="393">
        <f>TB母公司CF!I78</f>
        <v>0</v>
      </c>
      <c r="D78" s="393"/>
      <c r="E78" s="393"/>
      <c r="F78" s="393"/>
      <c r="G78" s="393"/>
      <c r="H78" s="393"/>
      <c r="I78" s="393"/>
      <c r="J78" s="393"/>
      <c r="K78" s="393"/>
      <c r="L78" s="393"/>
      <c r="M78" s="393"/>
      <c r="N78" s="393"/>
      <c r="O78" s="394"/>
    </row>
    <row r="79" spans="1:15" s="389" customFormat="1">
      <c r="A79" s="1036" t="str">
        <f>报表格式!U18</f>
        <v xml:space="preserve">     投资损失（收益以“－”号填列）</v>
      </c>
      <c r="B79" s="393">
        <f t="shared" si="15"/>
        <v>0</v>
      </c>
      <c r="C79" s="393">
        <f>TB母公司CF!I79</f>
        <v>0</v>
      </c>
      <c r="D79" s="393"/>
      <c r="E79" s="393"/>
      <c r="F79" s="393"/>
      <c r="G79" s="393"/>
      <c r="H79" s="393"/>
      <c r="I79" s="393"/>
      <c r="J79" s="393"/>
      <c r="K79" s="393"/>
      <c r="L79" s="393"/>
      <c r="M79" s="393"/>
      <c r="N79" s="393"/>
      <c r="O79" s="394"/>
    </row>
    <row r="80" spans="1:15" s="389" customFormat="1">
      <c r="A80" s="1036" t="str">
        <f>报表格式!U19</f>
        <v xml:space="preserve">     递延所得税资产减少（增加以“－”号填列）</v>
      </c>
      <c r="B80" s="393">
        <f t="shared" si="15"/>
        <v>0</v>
      </c>
      <c r="C80" s="393">
        <f>TB母公司CF!I80</f>
        <v>0</v>
      </c>
      <c r="D80" s="393"/>
      <c r="E80" s="393"/>
      <c r="F80" s="393"/>
      <c r="G80" s="393"/>
      <c r="H80" s="393"/>
      <c r="I80" s="393"/>
      <c r="J80" s="393"/>
      <c r="K80" s="393"/>
      <c r="L80" s="393"/>
      <c r="M80" s="393"/>
      <c r="N80" s="393"/>
      <c r="O80" s="394"/>
    </row>
    <row r="81" spans="1:15" s="389" customFormat="1">
      <c r="A81" s="1036" t="str">
        <f>报表格式!U20</f>
        <v xml:space="preserve">     递延所得税负债增加（减少以“－”号填列）</v>
      </c>
      <c r="B81" s="393">
        <f t="shared" si="15"/>
        <v>0</v>
      </c>
      <c r="C81" s="393">
        <f>TB母公司CF!I81</f>
        <v>0</v>
      </c>
      <c r="D81" s="393"/>
      <c r="E81" s="393"/>
      <c r="F81" s="393"/>
      <c r="G81" s="393"/>
      <c r="H81" s="393"/>
      <c r="I81" s="393"/>
      <c r="J81" s="393"/>
      <c r="K81" s="393"/>
      <c r="L81" s="393"/>
      <c r="M81" s="393"/>
      <c r="N81" s="393"/>
      <c r="O81" s="394"/>
    </row>
    <row r="82" spans="1:15" s="389" customFormat="1">
      <c r="A82" s="1036" t="str">
        <f>报表格式!U21</f>
        <v xml:space="preserve">     存货的减少（增加以“－”号填列）</v>
      </c>
      <c r="B82" s="393">
        <f t="shared" si="15"/>
        <v>0</v>
      </c>
      <c r="C82" s="393">
        <f>TB母公司CF!I82</f>
        <v>0</v>
      </c>
      <c r="D82" s="393"/>
      <c r="E82" s="393"/>
      <c r="F82" s="393"/>
      <c r="G82" s="393"/>
      <c r="H82" s="393"/>
      <c r="I82" s="393"/>
      <c r="J82" s="393"/>
      <c r="K82" s="393"/>
      <c r="L82" s="393"/>
      <c r="M82" s="393"/>
      <c r="N82" s="393"/>
      <c r="O82" s="394"/>
    </row>
    <row r="83" spans="1:15" s="389" customFormat="1">
      <c r="A83" s="1036" t="str">
        <f>报表格式!U22</f>
        <v xml:space="preserve">     经营性应收项目的减少（增加以“－”号填列）</v>
      </c>
      <c r="B83" s="393">
        <f t="shared" si="15"/>
        <v>0</v>
      </c>
      <c r="C83" s="393">
        <f>TB母公司CF!I83</f>
        <v>0</v>
      </c>
      <c r="D83" s="393"/>
      <c r="E83" s="393"/>
      <c r="F83" s="393"/>
      <c r="G83" s="393"/>
      <c r="H83" s="393"/>
      <c r="I83" s="393"/>
      <c r="J83" s="393"/>
      <c r="K83" s="393"/>
      <c r="L83" s="393"/>
      <c r="M83" s="393"/>
      <c r="N83" s="393"/>
      <c r="O83" s="394"/>
    </row>
    <row r="84" spans="1:15" s="389" customFormat="1">
      <c r="A84" s="1036" t="str">
        <f>报表格式!U23</f>
        <v xml:space="preserve">     经营性应付项目的增加（减少以“－”号填列）</v>
      </c>
      <c r="B84" s="393">
        <f t="shared" si="15"/>
        <v>0</v>
      </c>
      <c r="C84" s="393">
        <f>TB母公司CF!I84</f>
        <v>0</v>
      </c>
      <c r="D84" s="393"/>
      <c r="E84" s="393"/>
      <c r="F84" s="393"/>
      <c r="G84" s="393"/>
      <c r="H84" s="393"/>
      <c r="I84" s="393"/>
      <c r="J84" s="393"/>
      <c r="K84" s="393"/>
      <c r="L84" s="393"/>
      <c r="M84" s="393"/>
      <c r="N84" s="393"/>
      <c r="O84" s="394"/>
    </row>
    <row r="85" spans="1:15" s="389" customFormat="1">
      <c r="A85" s="1030" t="str">
        <f>报表格式!U26</f>
        <v xml:space="preserve">     经营活动产生的现金流量净额</v>
      </c>
      <c r="B85" s="399">
        <f>SUM(B69:B84)</f>
        <v>0</v>
      </c>
      <c r="C85" s="393">
        <f t="shared" ref="C85:O85" si="16">SUM(C69:C84)</f>
        <v>0</v>
      </c>
      <c r="D85" s="393">
        <f t="shared" si="16"/>
        <v>0</v>
      </c>
      <c r="E85" s="393">
        <f t="shared" si="16"/>
        <v>0</v>
      </c>
      <c r="F85" s="393">
        <f t="shared" si="16"/>
        <v>0</v>
      </c>
      <c r="G85" s="393">
        <f t="shared" si="16"/>
        <v>0</v>
      </c>
      <c r="H85" s="393">
        <f t="shared" si="16"/>
        <v>0</v>
      </c>
      <c r="I85" s="393">
        <f t="shared" si="16"/>
        <v>0</v>
      </c>
      <c r="J85" s="393">
        <f t="shared" si="16"/>
        <v>0</v>
      </c>
      <c r="K85" s="393">
        <f t="shared" si="16"/>
        <v>0</v>
      </c>
      <c r="L85" s="393">
        <f t="shared" si="16"/>
        <v>0</v>
      </c>
      <c r="M85" s="393">
        <f t="shared" si="16"/>
        <v>0</v>
      </c>
      <c r="N85" s="393">
        <f t="shared" si="16"/>
        <v>0</v>
      </c>
      <c r="O85" s="394">
        <f t="shared" si="16"/>
        <v>0</v>
      </c>
    </row>
    <row r="86" spans="1:15" s="389" customFormat="1">
      <c r="A86" s="1036">
        <f>报表格式!U27</f>
        <v>0</v>
      </c>
      <c r="B86" s="393"/>
      <c r="C86" s="393"/>
      <c r="D86" s="393"/>
      <c r="E86" s="393"/>
      <c r="F86" s="393"/>
      <c r="G86" s="393"/>
      <c r="H86" s="393"/>
      <c r="I86" s="393"/>
      <c r="J86" s="393"/>
      <c r="K86" s="393"/>
      <c r="L86" s="393"/>
      <c r="M86" s="393"/>
      <c r="N86" s="393"/>
      <c r="O86" s="394"/>
    </row>
    <row r="87" spans="1:15" s="389" customFormat="1">
      <c r="A87" s="1043" t="str">
        <f>报表格式!U28</f>
        <v>2、不涉及现金收支的投资和筹资活动：</v>
      </c>
      <c r="B87" s="393"/>
      <c r="C87" s="393"/>
      <c r="D87" s="393"/>
      <c r="E87" s="393"/>
      <c r="F87" s="393"/>
      <c r="G87" s="393"/>
      <c r="H87" s="393"/>
      <c r="I87" s="393"/>
      <c r="J87" s="393"/>
      <c r="K87" s="393"/>
      <c r="L87" s="393"/>
      <c r="M87" s="393"/>
      <c r="N87" s="393"/>
      <c r="O87" s="394"/>
    </row>
    <row r="88" spans="1:15" s="389" customFormat="1">
      <c r="A88" s="1036" t="str">
        <f>报表格式!U29</f>
        <v xml:space="preserve">     债务转为资本</v>
      </c>
      <c r="B88" s="393">
        <f t="shared" si="15"/>
        <v>0</v>
      </c>
      <c r="C88" s="393">
        <f>TB母公司CF!I88</f>
        <v>0</v>
      </c>
      <c r="D88" s="393"/>
      <c r="E88" s="393"/>
      <c r="F88" s="393"/>
      <c r="G88" s="393"/>
      <c r="H88" s="393"/>
      <c r="I88" s="393"/>
      <c r="J88" s="393"/>
      <c r="K88" s="393"/>
      <c r="L88" s="393"/>
      <c r="M88" s="393"/>
      <c r="N88" s="393"/>
      <c r="O88" s="394"/>
    </row>
    <row r="89" spans="1:15" s="389" customFormat="1">
      <c r="A89" s="1036" t="str">
        <f>报表格式!U30</f>
        <v xml:space="preserve">     一年内到期的可转换公司债券</v>
      </c>
      <c r="B89" s="393">
        <f t="shared" si="15"/>
        <v>0</v>
      </c>
      <c r="C89" s="393">
        <f>TB母公司CF!I89</f>
        <v>0</v>
      </c>
      <c r="D89" s="393"/>
      <c r="E89" s="393"/>
      <c r="F89" s="393"/>
      <c r="G89" s="393"/>
      <c r="H89" s="393"/>
      <c r="I89" s="393"/>
      <c r="J89" s="393"/>
      <c r="K89" s="393"/>
      <c r="L89" s="393"/>
      <c r="M89" s="393"/>
      <c r="N89" s="393"/>
      <c r="O89" s="394"/>
    </row>
    <row r="90" spans="1:15" s="389" customFormat="1">
      <c r="A90" s="1036" t="str">
        <f>报表格式!U31</f>
        <v xml:space="preserve">     融资租入固定资产</v>
      </c>
      <c r="B90" s="393">
        <f t="shared" si="15"/>
        <v>0</v>
      </c>
      <c r="C90" s="393">
        <f>TB母公司CF!I90</f>
        <v>0</v>
      </c>
      <c r="D90" s="393"/>
      <c r="E90" s="393"/>
      <c r="F90" s="393"/>
      <c r="G90" s="393"/>
      <c r="H90" s="393"/>
      <c r="I90" s="393"/>
      <c r="J90" s="393"/>
      <c r="K90" s="393"/>
      <c r="L90" s="393"/>
      <c r="M90" s="393"/>
      <c r="N90" s="393"/>
      <c r="O90" s="394"/>
    </row>
    <row r="91" spans="1:15" s="389" customFormat="1">
      <c r="A91" s="1036" t="str">
        <f>报表格式!U32</f>
        <v xml:space="preserve">     其他</v>
      </c>
      <c r="B91" s="393">
        <f t="shared" si="15"/>
        <v>0</v>
      </c>
      <c r="C91" s="393">
        <f>TB母公司CF!I91</f>
        <v>0</v>
      </c>
      <c r="D91" s="393"/>
      <c r="E91" s="393"/>
      <c r="F91" s="393"/>
      <c r="G91" s="393"/>
      <c r="H91" s="393"/>
      <c r="I91" s="393"/>
      <c r="J91" s="393"/>
      <c r="K91" s="393"/>
      <c r="L91" s="393"/>
      <c r="M91" s="393"/>
      <c r="N91" s="393"/>
      <c r="O91" s="394"/>
    </row>
    <row r="92" spans="1:15" s="389" customFormat="1">
      <c r="A92" s="1036">
        <f>报表格式!U34</f>
        <v>0</v>
      </c>
      <c r="B92" s="393">
        <f t="shared" si="15"/>
        <v>0</v>
      </c>
      <c r="C92" s="393">
        <f>TB母公司CF!I92</f>
        <v>0</v>
      </c>
      <c r="D92" s="393"/>
      <c r="E92" s="393"/>
      <c r="F92" s="393"/>
      <c r="G92" s="393"/>
      <c r="H92" s="393"/>
      <c r="I92" s="393"/>
      <c r="J92" s="393"/>
      <c r="K92" s="393"/>
      <c r="L92" s="393"/>
      <c r="M92" s="393"/>
      <c r="N92" s="393"/>
      <c r="O92" s="394"/>
    </row>
    <row r="93" spans="1:15" s="389" customFormat="1">
      <c r="A93" s="1043" t="str">
        <f>报表格式!U35</f>
        <v>3、现金及现金等价物净变动情况：</v>
      </c>
      <c r="B93" s="393"/>
      <c r="C93" s="393"/>
      <c r="D93" s="393"/>
      <c r="E93" s="393"/>
      <c r="F93" s="393"/>
      <c r="G93" s="393"/>
      <c r="H93" s="393"/>
      <c r="I93" s="393"/>
      <c r="J93" s="393"/>
      <c r="K93" s="393"/>
      <c r="L93" s="393"/>
      <c r="M93" s="393"/>
      <c r="N93" s="393"/>
      <c r="O93" s="394"/>
    </row>
    <row r="94" spans="1:15" s="389" customFormat="1">
      <c r="A94" s="1036" t="str">
        <f>报表格式!U36</f>
        <v xml:space="preserve">     现金的期末余额</v>
      </c>
      <c r="B94" s="393">
        <f t="shared" si="15"/>
        <v>0</v>
      </c>
      <c r="C94" s="393">
        <f>TB母公司CF!I94</f>
        <v>0</v>
      </c>
      <c r="D94" s="393"/>
      <c r="E94" s="393"/>
      <c r="F94" s="393"/>
      <c r="G94" s="393"/>
      <c r="H94" s="393"/>
      <c r="I94" s="393"/>
      <c r="J94" s="393"/>
      <c r="K94" s="393"/>
      <c r="L94" s="393"/>
      <c r="M94" s="393"/>
      <c r="N94" s="393"/>
      <c r="O94" s="394"/>
    </row>
    <row r="95" spans="1:15" s="389" customFormat="1">
      <c r="A95" s="1036" t="str">
        <f>报表格式!U37</f>
        <v xml:space="preserve">     减：现金的期初余额</v>
      </c>
      <c r="B95" s="393">
        <f t="shared" si="15"/>
        <v>0</v>
      </c>
      <c r="C95" s="393">
        <f>TB母公司CF!I95</f>
        <v>0</v>
      </c>
      <c r="D95" s="393"/>
      <c r="E95" s="393"/>
      <c r="F95" s="393"/>
      <c r="G95" s="393"/>
      <c r="H95" s="393"/>
      <c r="I95" s="393"/>
      <c r="J95" s="393"/>
      <c r="K95" s="393"/>
      <c r="L95" s="393"/>
      <c r="M95" s="393"/>
      <c r="N95" s="393"/>
      <c r="O95" s="394"/>
    </row>
    <row r="96" spans="1:15" s="389" customFormat="1">
      <c r="A96" s="1036" t="str">
        <f>报表格式!U38</f>
        <v xml:space="preserve">     加：现金等价物的期末余额</v>
      </c>
      <c r="B96" s="393">
        <f t="shared" si="15"/>
        <v>0</v>
      </c>
      <c r="C96" s="393">
        <f>TB母公司CF!I96</f>
        <v>0</v>
      </c>
      <c r="D96" s="393"/>
      <c r="E96" s="393"/>
      <c r="F96" s="393"/>
      <c r="G96" s="393"/>
      <c r="H96" s="393"/>
      <c r="I96" s="393"/>
      <c r="J96" s="393"/>
      <c r="K96" s="393"/>
      <c r="L96" s="393"/>
      <c r="M96" s="393"/>
      <c r="N96" s="393"/>
      <c r="O96" s="394"/>
    </row>
    <row r="97" spans="1:15" s="389" customFormat="1">
      <c r="A97" s="1036" t="str">
        <f>报表格式!U39</f>
        <v xml:space="preserve">     减：现金等价物的期初余额</v>
      </c>
      <c r="B97" s="393">
        <f t="shared" si="15"/>
        <v>0</v>
      </c>
      <c r="C97" s="393">
        <f>TB母公司CF!I97</f>
        <v>0</v>
      </c>
      <c r="D97" s="393"/>
      <c r="E97" s="393"/>
      <c r="F97" s="393"/>
      <c r="G97" s="393"/>
      <c r="H97" s="393"/>
      <c r="I97" s="393"/>
      <c r="J97" s="393"/>
      <c r="K97" s="393"/>
      <c r="L97" s="393"/>
      <c r="M97" s="393"/>
      <c r="N97" s="393"/>
      <c r="O97" s="394"/>
    </row>
    <row r="98" spans="1:15" s="389" customFormat="1">
      <c r="A98" s="1038" t="str">
        <f>报表格式!U50</f>
        <v xml:space="preserve">     现金及现金等价物净增加额</v>
      </c>
      <c r="B98" s="505">
        <f>B94-B95+B96-B97</f>
        <v>0</v>
      </c>
      <c r="C98" s="416">
        <f t="shared" ref="C98:O98" si="17">C94-C95+C96-C97</f>
        <v>0</v>
      </c>
      <c r="D98" s="416">
        <f t="shared" si="17"/>
        <v>0</v>
      </c>
      <c r="E98" s="416">
        <f t="shared" si="17"/>
        <v>0</v>
      </c>
      <c r="F98" s="416">
        <f t="shared" si="17"/>
        <v>0</v>
      </c>
      <c r="G98" s="416">
        <f t="shared" si="17"/>
        <v>0</v>
      </c>
      <c r="H98" s="416">
        <f t="shared" si="17"/>
        <v>0</v>
      </c>
      <c r="I98" s="416">
        <f t="shared" si="17"/>
        <v>0</v>
      </c>
      <c r="J98" s="416">
        <f t="shared" si="17"/>
        <v>0</v>
      </c>
      <c r="K98" s="416">
        <f t="shared" si="17"/>
        <v>0</v>
      </c>
      <c r="L98" s="416">
        <f t="shared" si="17"/>
        <v>0</v>
      </c>
      <c r="M98" s="416">
        <f t="shared" si="17"/>
        <v>0</v>
      </c>
      <c r="N98" s="416">
        <f t="shared" si="17"/>
        <v>0</v>
      </c>
      <c r="O98" s="417">
        <f t="shared" si="17"/>
        <v>0</v>
      </c>
    </row>
    <row r="99" spans="1:15" s="389" customFormat="1">
      <c r="A99" s="1044"/>
      <c r="B99" s="503"/>
      <c r="C99" s="503"/>
      <c r="D99" s="503"/>
      <c r="E99" s="503"/>
      <c r="F99" s="503"/>
      <c r="G99" s="503"/>
      <c r="H99" s="503"/>
      <c r="I99" s="503"/>
      <c r="J99" s="503"/>
      <c r="K99" s="503"/>
      <c r="L99" s="503"/>
      <c r="M99" s="503"/>
      <c r="N99" s="503"/>
      <c r="O99" s="503"/>
    </row>
    <row r="101" spans="1:15" ht="13.5">
      <c r="A101" s="1016" t="s">
        <v>539</v>
      </c>
      <c r="B101" s="56"/>
      <c r="C101" s="42"/>
    </row>
    <row r="102" spans="1:15" s="587" customFormat="1">
      <c r="A102" s="1017" t="s">
        <v>652</v>
      </c>
      <c r="B102" s="646">
        <f>SUM(B7:B19)-SUM(B21:B29)-B31</f>
        <v>0</v>
      </c>
      <c r="C102" s="580">
        <f>SUM(C7:C19)-SUM(C21:C29)-C31</f>
        <v>0</v>
      </c>
      <c r="D102" s="580">
        <f t="shared" ref="D102:O102" si="18">SUM(D7:D19)-SUM(D21:D29)-D31</f>
        <v>0</v>
      </c>
      <c r="E102" s="580">
        <f t="shared" si="18"/>
        <v>0</v>
      </c>
      <c r="F102" s="580">
        <f t="shared" si="18"/>
        <v>0</v>
      </c>
      <c r="G102" s="580">
        <f t="shared" si="18"/>
        <v>0</v>
      </c>
      <c r="H102" s="580">
        <f t="shared" si="18"/>
        <v>0</v>
      </c>
      <c r="I102" s="580">
        <f t="shared" si="18"/>
        <v>0</v>
      </c>
      <c r="J102" s="580">
        <f t="shared" si="18"/>
        <v>0</v>
      </c>
      <c r="K102" s="580">
        <f t="shared" si="18"/>
        <v>0</v>
      </c>
      <c r="L102" s="580">
        <f t="shared" si="18"/>
        <v>0</v>
      </c>
      <c r="M102" s="580">
        <f t="shared" si="18"/>
        <v>0</v>
      </c>
      <c r="N102" s="580">
        <f t="shared" si="18"/>
        <v>0</v>
      </c>
      <c r="O102" s="580">
        <f t="shared" si="18"/>
        <v>0</v>
      </c>
    </row>
    <row r="103" spans="1:15" s="587" customFormat="1">
      <c r="A103" s="1017" t="s">
        <v>653</v>
      </c>
      <c r="B103" s="646">
        <f>SUM(B33:B37)-SUM(B39:B43)-B45</f>
        <v>0</v>
      </c>
      <c r="C103" s="580">
        <f>SUM(C33:C37)-SUM(C39:C43)-C45</f>
        <v>0</v>
      </c>
      <c r="D103" s="580">
        <f t="shared" ref="D103:O103" si="19">SUM(D33:D37)-SUM(D39:D43)-D45</f>
        <v>0</v>
      </c>
      <c r="E103" s="580">
        <f t="shared" si="19"/>
        <v>0</v>
      </c>
      <c r="F103" s="580">
        <f t="shared" si="19"/>
        <v>0</v>
      </c>
      <c r="G103" s="580">
        <f t="shared" si="19"/>
        <v>0</v>
      </c>
      <c r="H103" s="580">
        <f t="shared" si="19"/>
        <v>0</v>
      </c>
      <c r="I103" s="580">
        <f t="shared" si="19"/>
        <v>0</v>
      </c>
      <c r="J103" s="580">
        <f t="shared" si="19"/>
        <v>0</v>
      </c>
      <c r="K103" s="580">
        <f t="shared" si="19"/>
        <v>0</v>
      </c>
      <c r="L103" s="580">
        <f t="shared" si="19"/>
        <v>0</v>
      </c>
      <c r="M103" s="580">
        <f t="shared" si="19"/>
        <v>0</v>
      </c>
      <c r="N103" s="580">
        <f t="shared" si="19"/>
        <v>0</v>
      </c>
      <c r="O103" s="580">
        <f t="shared" si="19"/>
        <v>0</v>
      </c>
    </row>
    <row r="104" spans="1:15" s="587" customFormat="1">
      <c r="A104" s="1017" t="s">
        <v>654</v>
      </c>
      <c r="B104" s="853">
        <f>SUM(B47,B49:B51)-SUM(B53:B54,B56)-B59</f>
        <v>0</v>
      </c>
      <c r="C104" s="853">
        <f t="shared" ref="C104:O104" si="20">SUM(C47,C49:C51)-SUM(C53:C54,C56)-C59</f>
        <v>0</v>
      </c>
      <c r="D104" s="853">
        <f t="shared" si="20"/>
        <v>0</v>
      </c>
      <c r="E104" s="853">
        <f t="shared" si="20"/>
        <v>0</v>
      </c>
      <c r="F104" s="853">
        <f t="shared" si="20"/>
        <v>0</v>
      </c>
      <c r="G104" s="853">
        <f t="shared" si="20"/>
        <v>0</v>
      </c>
      <c r="H104" s="853">
        <f t="shared" si="20"/>
        <v>0</v>
      </c>
      <c r="I104" s="853">
        <f t="shared" si="20"/>
        <v>0</v>
      </c>
      <c r="J104" s="853">
        <f t="shared" si="20"/>
        <v>0</v>
      </c>
      <c r="K104" s="853">
        <f t="shared" si="20"/>
        <v>0</v>
      </c>
      <c r="L104" s="853">
        <f t="shared" si="20"/>
        <v>0</v>
      </c>
      <c r="M104" s="853">
        <f t="shared" si="20"/>
        <v>0</v>
      </c>
      <c r="N104" s="853">
        <f t="shared" si="20"/>
        <v>0</v>
      </c>
      <c r="O104" s="853">
        <f t="shared" si="20"/>
        <v>0</v>
      </c>
    </row>
    <row r="105" spans="1:15" s="587" customFormat="1">
      <c r="A105" s="1017" t="s">
        <v>655</v>
      </c>
      <c r="B105" s="646">
        <f>SUM(B31,B45,B59,B61)-B62</f>
        <v>0</v>
      </c>
      <c r="C105" s="580">
        <f>SUM(C31,C45,C59,C61)-C62</f>
        <v>0</v>
      </c>
      <c r="D105" s="580">
        <f t="shared" ref="D105:O105" si="21">SUM(D31,D45,D59,D61)-D62</f>
        <v>0</v>
      </c>
      <c r="E105" s="580">
        <f t="shared" si="21"/>
        <v>0</v>
      </c>
      <c r="F105" s="580">
        <f t="shared" si="21"/>
        <v>0</v>
      </c>
      <c r="G105" s="580">
        <f t="shared" si="21"/>
        <v>0</v>
      </c>
      <c r="H105" s="580">
        <f t="shared" si="21"/>
        <v>0</v>
      </c>
      <c r="I105" s="580">
        <f t="shared" si="21"/>
        <v>0</v>
      </c>
      <c r="J105" s="580">
        <f t="shared" si="21"/>
        <v>0</v>
      </c>
      <c r="K105" s="580">
        <f t="shared" si="21"/>
        <v>0</v>
      </c>
      <c r="L105" s="580">
        <f t="shared" si="21"/>
        <v>0</v>
      </c>
      <c r="M105" s="580">
        <f t="shared" si="21"/>
        <v>0</v>
      </c>
      <c r="N105" s="580">
        <f t="shared" si="21"/>
        <v>0</v>
      </c>
      <c r="O105" s="580">
        <f t="shared" si="21"/>
        <v>0</v>
      </c>
    </row>
    <row r="106" spans="1:15" s="587" customFormat="1">
      <c r="A106" s="1017" t="s">
        <v>117</v>
      </c>
      <c r="B106" s="646">
        <f>B62+B63-B64</f>
        <v>0</v>
      </c>
      <c r="C106" s="580">
        <f>C62+C63-C64</f>
        <v>0</v>
      </c>
      <c r="D106" s="580">
        <f t="shared" ref="D106:O106" si="22">D62+D63-D64</f>
        <v>0</v>
      </c>
      <c r="E106" s="580">
        <f t="shared" si="22"/>
        <v>0</v>
      </c>
      <c r="F106" s="580">
        <f t="shared" si="22"/>
        <v>0</v>
      </c>
      <c r="G106" s="580">
        <f t="shared" si="22"/>
        <v>0</v>
      </c>
      <c r="H106" s="580">
        <f t="shared" si="22"/>
        <v>0</v>
      </c>
      <c r="I106" s="580">
        <f t="shared" si="22"/>
        <v>0</v>
      </c>
      <c r="J106" s="580">
        <f t="shared" si="22"/>
        <v>0</v>
      </c>
      <c r="K106" s="580">
        <f t="shared" si="22"/>
        <v>0</v>
      </c>
      <c r="L106" s="580">
        <f t="shared" si="22"/>
        <v>0</v>
      </c>
      <c r="M106" s="580">
        <f t="shared" si="22"/>
        <v>0</v>
      </c>
      <c r="N106" s="580">
        <f t="shared" si="22"/>
        <v>0</v>
      </c>
      <c r="O106" s="580">
        <f t="shared" si="22"/>
        <v>0</v>
      </c>
    </row>
    <row r="107" spans="1:15" s="587" customFormat="1">
      <c r="A107" s="1045" t="s">
        <v>650</v>
      </c>
      <c r="B107" s="646">
        <f>SUM(B69:B84)-B85</f>
        <v>0</v>
      </c>
      <c r="C107" s="580">
        <f>SUM(C69:C84)-C85</f>
        <v>0</v>
      </c>
      <c r="D107" s="580">
        <f t="shared" ref="D107:O107" si="23">SUM(D69:D84)-D85</f>
        <v>0</v>
      </c>
      <c r="E107" s="580">
        <f t="shared" si="23"/>
        <v>0</v>
      </c>
      <c r="F107" s="580">
        <f t="shared" si="23"/>
        <v>0</v>
      </c>
      <c r="G107" s="580">
        <f t="shared" si="23"/>
        <v>0</v>
      </c>
      <c r="H107" s="580">
        <f t="shared" si="23"/>
        <v>0</v>
      </c>
      <c r="I107" s="580">
        <f t="shared" si="23"/>
        <v>0</v>
      </c>
      <c r="J107" s="580">
        <f t="shared" si="23"/>
        <v>0</v>
      </c>
      <c r="K107" s="580">
        <f t="shared" si="23"/>
        <v>0</v>
      </c>
      <c r="L107" s="580">
        <f t="shared" si="23"/>
        <v>0</v>
      </c>
      <c r="M107" s="580">
        <f t="shared" si="23"/>
        <v>0</v>
      </c>
      <c r="N107" s="580">
        <f t="shared" si="23"/>
        <v>0</v>
      </c>
      <c r="O107" s="580">
        <f t="shared" si="23"/>
        <v>0</v>
      </c>
    </row>
    <row r="108" spans="1:15" s="587" customFormat="1">
      <c r="A108" s="1017" t="s">
        <v>651</v>
      </c>
      <c r="B108" s="646">
        <f>B94-B95+B96-B97-B98</f>
        <v>0</v>
      </c>
      <c r="C108" s="580">
        <f>C94-C95+C96-C97-C98</f>
        <v>0</v>
      </c>
      <c r="D108" s="580">
        <f t="shared" ref="D108:O108" si="24">D94-D95+D96-D97-D98</f>
        <v>0</v>
      </c>
      <c r="E108" s="580">
        <f t="shared" si="24"/>
        <v>0</v>
      </c>
      <c r="F108" s="580">
        <f t="shared" si="24"/>
        <v>0</v>
      </c>
      <c r="G108" s="580">
        <f t="shared" si="24"/>
        <v>0</v>
      </c>
      <c r="H108" s="580">
        <f t="shared" si="24"/>
        <v>0</v>
      </c>
      <c r="I108" s="580">
        <f t="shared" si="24"/>
        <v>0</v>
      </c>
      <c r="J108" s="580">
        <f t="shared" si="24"/>
        <v>0</v>
      </c>
      <c r="K108" s="580">
        <f t="shared" si="24"/>
        <v>0</v>
      </c>
      <c r="L108" s="580">
        <f t="shared" si="24"/>
        <v>0</v>
      </c>
      <c r="M108" s="580">
        <f t="shared" si="24"/>
        <v>0</v>
      </c>
      <c r="N108" s="580">
        <f t="shared" si="24"/>
        <v>0</v>
      </c>
      <c r="O108" s="580">
        <f t="shared" si="24"/>
        <v>0</v>
      </c>
    </row>
    <row r="109" spans="1:15" s="587" customFormat="1">
      <c r="A109" s="1017" t="s">
        <v>648</v>
      </c>
      <c r="B109" s="646">
        <f>B31-B85</f>
        <v>0</v>
      </c>
      <c r="C109" s="580">
        <f>C31-C85</f>
        <v>0</v>
      </c>
      <c r="D109" s="580">
        <f t="shared" ref="D109:O109" si="25">D31-D85</f>
        <v>0</v>
      </c>
      <c r="E109" s="580">
        <f t="shared" si="25"/>
        <v>0</v>
      </c>
      <c r="F109" s="580">
        <f t="shared" si="25"/>
        <v>0</v>
      </c>
      <c r="G109" s="580">
        <f t="shared" si="25"/>
        <v>0</v>
      </c>
      <c r="H109" s="580">
        <f t="shared" si="25"/>
        <v>0</v>
      </c>
      <c r="I109" s="580">
        <f t="shared" si="25"/>
        <v>0</v>
      </c>
      <c r="J109" s="580">
        <f t="shared" si="25"/>
        <v>0</v>
      </c>
      <c r="K109" s="580">
        <f t="shared" si="25"/>
        <v>0</v>
      </c>
      <c r="L109" s="580">
        <f t="shared" si="25"/>
        <v>0</v>
      </c>
      <c r="M109" s="580">
        <f t="shared" si="25"/>
        <v>0</v>
      </c>
      <c r="N109" s="580">
        <f t="shared" si="25"/>
        <v>0</v>
      </c>
      <c r="O109" s="580">
        <f t="shared" si="25"/>
        <v>0</v>
      </c>
    </row>
    <row r="110" spans="1:15" s="587" customFormat="1">
      <c r="A110" s="1017" t="s">
        <v>649</v>
      </c>
      <c r="B110" s="646">
        <f>B62-B98</f>
        <v>0</v>
      </c>
      <c r="C110" s="580">
        <f t="shared" ref="C110:O110" si="26">C62-C98</f>
        <v>0</v>
      </c>
      <c r="D110" s="580">
        <f t="shared" si="26"/>
        <v>0</v>
      </c>
      <c r="E110" s="580">
        <f t="shared" si="26"/>
        <v>0</v>
      </c>
      <c r="F110" s="580">
        <f t="shared" si="26"/>
        <v>0</v>
      </c>
      <c r="G110" s="580">
        <f t="shared" si="26"/>
        <v>0</v>
      </c>
      <c r="H110" s="580">
        <f t="shared" si="26"/>
        <v>0</v>
      </c>
      <c r="I110" s="580">
        <f t="shared" si="26"/>
        <v>0</v>
      </c>
      <c r="J110" s="580">
        <f t="shared" si="26"/>
        <v>0</v>
      </c>
      <c r="K110" s="580">
        <f t="shared" si="26"/>
        <v>0</v>
      </c>
      <c r="L110" s="580">
        <f t="shared" si="26"/>
        <v>0</v>
      </c>
      <c r="M110" s="580">
        <f t="shared" si="26"/>
        <v>0</v>
      </c>
      <c r="N110" s="580">
        <f t="shared" si="26"/>
        <v>0</v>
      </c>
      <c r="O110" s="580">
        <f t="shared" si="26"/>
        <v>0</v>
      </c>
    </row>
    <row r="111" spans="1:15" s="587" customFormat="1">
      <c r="A111" s="1017" t="s">
        <v>679</v>
      </c>
      <c r="B111" s="646">
        <f>B69-合并PL汇总!B44</f>
        <v>0</v>
      </c>
      <c r="C111" s="580">
        <f>C69-合并PL汇总!C44</f>
        <v>0</v>
      </c>
      <c r="D111" s="580">
        <f>D69-合并PL汇总!D44</f>
        <v>0</v>
      </c>
      <c r="E111" s="580">
        <f>E69-合并PL汇总!E44</f>
        <v>0</v>
      </c>
      <c r="F111" s="580">
        <f>F69-合并PL汇总!F44</f>
        <v>0</v>
      </c>
      <c r="G111" s="580">
        <f>G69-合并PL汇总!G44</f>
        <v>0</v>
      </c>
      <c r="H111" s="580">
        <f>H69-合并PL汇总!H44</f>
        <v>0</v>
      </c>
      <c r="I111" s="580">
        <f>I69-合并PL汇总!I44</f>
        <v>0</v>
      </c>
      <c r="J111" s="580">
        <f>J69-合并PL汇总!J44</f>
        <v>0</v>
      </c>
      <c r="K111" s="580">
        <f>K69-合并PL汇总!K44</f>
        <v>0</v>
      </c>
      <c r="L111" s="580">
        <f>L69-合并PL汇总!L44</f>
        <v>0</v>
      </c>
      <c r="M111" s="580">
        <f>M69-合并PL汇总!M44</f>
        <v>0</v>
      </c>
      <c r="N111" s="580">
        <f>N69-合并PL汇总!N44</f>
        <v>0</v>
      </c>
      <c r="O111" s="580">
        <f>O69-合并PL汇总!O44</f>
        <v>0</v>
      </c>
    </row>
    <row r="112" spans="1:15" s="587" customFormat="1">
      <c r="A112" s="1017" t="s">
        <v>886</v>
      </c>
      <c r="B112" s="646">
        <f>B70-合并PL汇总!B30</f>
        <v>0</v>
      </c>
      <c r="C112" s="580">
        <f>C70-合并PL汇总!C30</f>
        <v>0</v>
      </c>
      <c r="D112" s="580">
        <f>D70-合并PL汇总!D30</f>
        <v>0</v>
      </c>
      <c r="E112" s="580">
        <f>E70-合并PL汇总!E30</f>
        <v>0</v>
      </c>
      <c r="F112" s="580">
        <f>F70-合并PL汇总!F30</f>
        <v>0</v>
      </c>
      <c r="G112" s="580">
        <f>G70-合并PL汇总!G30</f>
        <v>0</v>
      </c>
      <c r="H112" s="580">
        <f>H70-合并PL汇总!H30</f>
        <v>0</v>
      </c>
      <c r="I112" s="580">
        <f>I70-合并PL汇总!I30</f>
        <v>0</v>
      </c>
      <c r="J112" s="580">
        <f>J70-合并PL汇总!J30</f>
        <v>0</v>
      </c>
      <c r="K112" s="580">
        <f>K70-合并PL汇总!K30</f>
        <v>0</v>
      </c>
      <c r="L112" s="580">
        <f>L70-合并PL汇总!L30</f>
        <v>0</v>
      </c>
      <c r="M112" s="580">
        <f>M70-合并PL汇总!M30</f>
        <v>0</v>
      </c>
      <c r="N112" s="580">
        <f>N70-合并PL汇总!N30</f>
        <v>0</v>
      </c>
      <c r="O112" s="580">
        <f>O70-合并PL汇总!O30</f>
        <v>0</v>
      </c>
    </row>
    <row r="113" spans="1:15" s="587" customFormat="1">
      <c r="A113" s="1017" t="s">
        <v>118</v>
      </c>
      <c r="B113" s="646">
        <f>B76+合并PL汇总!B36</f>
        <v>0</v>
      </c>
      <c r="C113" s="646">
        <f>C76+合并PL汇总!C36</f>
        <v>0</v>
      </c>
      <c r="D113" s="646">
        <f>D76+合并PL汇总!D36</f>
        <v>0</v>
      </c>
      <c r="E113" s="646">
        <f>E76+合并PL汇总!E36</f>
        <v>0</v>
      </c>
      <c r="F113" s="646">
        <f>F76+合并PL汇总!F36</f>
        <v>0</v>
      </c>
      <c r="G113" s="646">
        <f>G76+合并PL汇总!G36</f>
        <v>0</v>
      </c>
      <c r="H113" s="646">
        <f>H76+合并PL汇总!H36</f>
        <v>0</v>
      </c>
      <c r="I113" s="646">
        <f>I76+合并PL汇总!I36</f>
        <v>0</v>
      </c>
      <c r="J113" s="646">
        <f>J76+合并PL汇总!J36</f>
        <v>0</v>
      </c>
      <c r="K113" s="646">
        <f>K76+合并PL汇总!K36</f>
        <v>0</v>
      </c>
      <c r="L113" s="646">
        <f>L76+合并PL汇总!L36</f>
        <v>0</v>
      </c>
      <c r="M113" s="646">
        <f>M76+合并PL汇总!M36</f>
        <v>0</v>
      </c>
      <c r="N113" s="646">
        <f>N76+合并PL汇总!N36</f>
        <v>0</v>
      </c>
      <c r="O113" s="646">
        <f>O76+合并PL汇总!O36</f>
        <v>0</v>
      </c>
    </row>
    <row r="114" spans="1:15" s="587" customFormat="1">
      <c r="A114" s="1017" t="s">
        <v>119</v>
      </c>
      <c r="B114" s="646">
        <f>B77-合并PL汇总!B27</f>
        <v>0</v>
      </c>
      <c r="C114" s="580">
        <f>C77-合并PL汇总!C27</f>
        <v>0</v>
      </c>
      <c r="D114" s="580">
        <f>D77-合并PL汇总!D27</f>
        <v>0</v>
      </c>
      <c r="E114" s="580">
        <f>E77-合并PL汇总!E27</f>
        <v>0</v>
      </c>
      <c r="F114" s="580">
        <f>F77-合并PL汇总!F27</f>
        <v>0</v>
      </c>
      <c r="G114" s="580">
        <f>G77-合并PL汇总!G27</f>
        <v>0</v>
      </c>
      <c r="H114" s="580">
        <f>H77-合并PL汇总!H27</f>
        <v>0</v>
      </c>
      <c r="I114" s="580">
        <f>I77-合并PL汇总!I27</f>
        <v>0</v>
      </c>
      <c r="J114" s="580">
        <f>J77-合并PL汇总!J27</f>
        <v>0</v>
      </c>
      <c r="K114" s="580">
        <f>K77-合并PL汇总!K27</f>
        <v>0</v>
      </c>
      <c r="L114" s="580">
        <f>L77-合并PL汇总!L27</f>
        <v>0</v>
      </c>
      <c r="M114" s="580">
        <f>M77-合并PL汇总!M27</f>
        <v>0</v>
      </c>
      <c r="N114" s="580">
        <f>N77-合并PL汇总!N27</f>
        <v>0</v>
      </c>
      <c r="O114" s="580">
        <f>O77-合并PL汇总!O27</f>
        <v>0</v>
      </c>
    </row>
    <row r="115" spans="1:15" s="587" customFormat="1">
      <c r="A115" s="1017" t="s">
        <v>680</v>
      </c>
      <c r="B115" s="646">
        <f>B78+合并PL汇总!B33</f>
        <v>0</v>
      </c>
      <c r="C115" s="580">
        <f>C78+合并PL汇总!C33</f>
        <v>0</v>
      </c>
      <c r="D115" s="580">
        <f>D78+合并PL汇总!D33</f>
        <v>0</v>
      </c>
      <c r="E115" s="580">
        <f>E78+合并PL汇总!E33</f>
        <v>0</v>
      </c>
      <c r="F115" s="580">
        <f>F78+合并PL汇总!F33</f>
        <v>0</v>
      </c>
      <c r="G115" s="580">
        <f>G78+合并PL汇总!G33</f>
        <v>0</v>
      </c>
      <c r="H115" s="580">
        <f>H78+合并PL汇总!H33</f>
        <v>0</v>
      </c>
      <c r="I115" s="580">
        <f>I78+合并PL汇总!I33</f>
        <v>0</v>
      </c>
      <c r="J115" s="580">
        <f>J78+合并PL汇总!J33</f>
        <v>0</v>
      </c>
      <c r="K115" s="580">
        <f>K78+合并PL汇总!K33</f>
        <v>0</v>
      </c>
      <c r="L115" s="580">
        <f>L78+合并PL汇总!L33</f>
        <v>0</v>
      </c>
      <c r="M115" s="580">
        <f>M78+合并PL汇总!M33</f>
        <v>0</v>
      </c>
      <c r="N115" s="580">
        <f>N78+合并PL汇总!N33</f>
        <v>0</v>
      </c>
      <c r="O115" s="580">
        <f>O78+合并PL汇总!O33</f>
        <v>0</v>
      </c>
    </row>
    <row r="116" spans="1:15" s="587" customFormat="1">
      <c r="A116" s="1017" t="s">
        <v>128</v>
      </c>
      <c r="B116" s="646">
        <f>B79-(年初BS审定!E52-合并BS汇总!B52)</f>
        <v>0</v>
      </c>
      <c r="C116" s="646">
        <f>C79-(年初BS审定!F52-合并BS汇总!C52)</f>
        <v>0</v>
      </c>
      <c r="D116" s="646">
        <f>D79-(年初BS审定!G52-合并BS汇总!D52)</f>
        <v>0</v>
      </c>
      <c r="E116" s="646">
        <f>E79-(年初BS审定!H52-合并BS汇总!E52)</f>
        <v>0</v>
      </c>
      <c r="F116" s="646">
        <f>F79-(年初BS审定!I52-合并BS汇总!F52)</f>
        <v>0</v>
      </c>
      <c r="G116" s="646">
        <f>G79-(年初BS审定!J52-合并BS汇总!G52)</f>
        <v>0</v>
      </c>
      <c r="H116" s="646">
        <f>H79-(年初BS审定!K52-合并BS汇总!H52)</f>
        <v>0</v>
      </c>
      <c r="I116" s="646">
        <f>I79-(年初BS审定!L52-合并BS汇总!I52)</f>
        <v>0</v>
      </c>
      <c r="J116" s="646">
        <f>J79-(年初BS审定!M52-合并BS汇总!J52)</f>
        <v>0</v>
      </c>
      <c r="K116" s="646">
        <f>K79-(年初BS审定!N52-合并BS汇总!K52)</f>
        <v>0</v>
      </c>
      <c r="L116" s="646">
        <f>L79-(年初BS审定!O52-合并BS汇总!L52)</f>
        <v>0</v>
      </c>
      <c r="M116" s="646">
        <f>M79-(年初BS审定!P52-合并BS汇总!M52)</f>
        <v>0</v>
      </c>
      <c r="N116" s="646">
        <f>N79-(年初BS审定!Q52-合并BS汇总!N52)</f>
        <v>0</v>
      </c>
      <c r="O116" s="646">
        <f>O79-(年初BS审定!R52-合并BS汇总!O52)</f>
        <v>0</v>
      </c>
    </row>
    <row r="117" spans="1:15" s="587" customFormat="1">
      <c r="A117" s="1017" t="s">
        <v>129</v>
      </c>
      <c r="B117" s="646">
        <f>B80-(合并BS汇总!B98-年初BS审定!E98)</f>
        <v>0</v>
      </c>
      <c r="C117" s="580">
        <f>C80-(合并BS汇总!C98-年初BS审定!F98)</f>
        <v>0</v>
      </c>
      <c r="D117" s="580">
        <f>D80-(合并BS汇总!D98-年初BS审定!G98)</f>
        <v>0</v>
      </c>
      <c r="E117" s="580">
        <f>E80-(合并BS汇总!E98-年初BS审定!H98)</f>
        <v>0</v>
      </c>
      <c r="F117" s="580">
        <f>F80-(合并BS汇总!F98-年初BS审定!I98)</f>
        <v>0</v>
      </c>
      <c r="G117" s="580">
        <f>G80-(合并BS汇总!G98-年初BS审定!J98)</f>
        <v>0</v>
      </c>
      <c r="H117" s="580">
        <f>H80-(合并BS汇总!H98-年初BS审定!K98)</f>
        <v>0</v>
      </c>
      <c r="I117" s="580">
        <f>I80-(合并BS汇总!I98-年初BS审定!L98)</f>
        <v>0</v>
      </c>
      <c r="J117" s="580">
        <f>J80-(合并BS汇总!J98-年初BS审定!M98)</f>
        <v>0</v>
      </c>
      <c r="K117" s="580">
        <f>K80-(合并BS汇总!K98-年初BS审定!N98)</f>
        <v>0</v>
      </c>
      <c r="L117" s="580">
        <f>L80-(合并BS汇总!L98-年初BS审定!O98)</f>
        <v>0</v>
      </c>
      <c r="M117" s="580">
        <f>M80-(合并BS汇总!M98-年初BS审定!P98)</f>
        <v>0</v>
      </c>
      <c r="N117" s="580">
        <f>N80-(合并BS汇总!N98-年初BS审定!Q98)</f>
        <v>0</v>
      </c>
      <c r="O117" s="580">
        <f>O80-(合并BS汇总!O98-年初BS审定!R98)</f>
        <v>0</v>
      </c>
    </row>
    <row r="118" spans="1:15">
      <c r="A118" s="1017" t="s">
        <v>681</v>
      </c>
      <c r="B118" s="646">
        <f>B94-合并BS汇总!B7</f>
        <v>0</v>
      </c>
      <c r="C118" s="580">
        <f>C94-合并BS汇总!C7</f>
        <v>0</v>
      </c>
      <c r="D118" s="580">
        <f>D94-合并BS汇总!D7</f>
        <v>0</v>
      </c>
      <c r="E118" s="580">
        <f>E94-合并BS汇总!E7</f>
        <v>0</v>
      </c>
      <c r="F118" s="580">
        <f>F94-合并BS汇总!F7</f>
        <v>0</v>
      </c>
      <c r="G118" s="580">
        <f>G94-合并BS汇总!G7</f>
        <v>0</v>
      </c>
      <c r="H118" s="580">
        <f>H94-合并BS汇总!H7</f>
        <v>0</v>
      </c>
      <c r="I118" s="580">
        <f>I94-合并BS汇总!I7</f>
        <v>0</v>
      </c>
      <c r="J118" s="580">
        <f>J94-合并BS汇总!J7</f>
        <v>0</v>
      </c>
      <c r="K118" s="580">
        <f>K94-合并BS汇总!K7</f>
        <v>0</v>
      </c>
      <c r="L118" s="580">
        <f>L94-合并BS汇总!L7</f>
        <v>0</v>
      </c>
      <c r="M118" s="580">
        <f>M94-合并BS汇总!M7</f>
        <v>0</v>
      </c>
      <c r="N118" s="580">
        <f>N94-合并BS汇总!N7</f>
        <v>0</v>
      </c>
      <c r="O118" s="580">
        <f>O94-合并BS汇总!O7</f>
        <v>0</v>
      </c>
    </row>
    <row r="119" spans="1:15">
      <c r="A119" s="1017" t="s">
        <v>682</v>
      </c>
      <c r="B119" s="433">
        <f>B95-年初BS审定!E7</f>
        <v>0</v>
      </c>
      <c r="C119" s="433">
        <f>C95-年初BS审定!F7</f>
        <v>0</v>
      </c>
      <c r="D119" s="433">
        <f>D95-年初BS审定!X7</f>
        <v>0</v>
      </c>
      <c r="E119" s="433">
        <f>E95-年初BS审定!Y7</f>
        <v>0</v>
      </c>
      <c r="F119" s="433">
        <f>F95-年初BS审定!Z7</f>
        <v>0</v>
      </c>
      <c r="G119" s="433">
        <f>G95-年初BS审定!AA7</f>
        <v>0</v>
      </c>
      <c r="H119" s="433">
        <f>H95-年初BS审定!AB7</f>
        <v>0</v>
      </c>
      <c r="I119" s="433">
        <f>I95-年初BS审定!AC7</f>
        <v>0</v>
      </c>
      <c r="J119" s="433">
        <f>J95-年初BS审定!AD7</f>
        <v>0</v>
      </c>
      <c r="K119" s="433">
        <f>K95-年初BS审定!AE7</f>
        <v>0</v>
      </c>
      <c r="L119" s="433">
        <f>L95-年初BS审定!AF7</f>
        <v>0</v>
      </c>
      <c r="M119" s="433">
        <f>M95-年初BS审定!AG7</f>
        <v>0</v>
      </c>
      <c r="N119" s="433">
        <f>N95-年初BS审定!AH7</f>
        <v>0</v>
      </c>
      <c r="O119" s="433">
        <f>O95-年初BS审定!AI7</f>
        <v>0</v>
      </c>
    </row>
    <row r="120" spans="1:15">
      <c r="A120" s="1070" t="s">
        <v>130</v>
      </c>
    </row>
    <row r="121" spans="1:15">
      <c r="A121" s="1071" t="s">
        <v>131</v>
      </c>
      <c r="B121" s="652">
        <f>(B49-B53)-SUM(合并BS汇总!B62,合并BS汇总!B85,合并BS汇总!B89,-年初BS审定!E62,-年初BS审定!E85,-年初BS审定!E89)</f>
        <v>0</v>
      </c>
      <c r="C121" s="652">
        <f>(C49-C53)-SUM(合并BS汇总!C62,合并BS汇总!C85,合并BS汇总!C89,-年初BS审定!F62,-年初BS审定!F85,-年初BS审定!F89)</f>
        <v>0</v>
      </c>
      <c r="D121" s="652">
        <f>(D49-D53)-SUM(合并BS汇总!D62,合并BS汇总!D85,合并BS汇总!D89,-年初BS审定!G62,-年初BS审定!G85,-年初BS审定!G89)</f>
        <v>0</v>
      </c>
      <c r="E121" s="652">
        <f>(E49-E53)-SUM(合并BS汇总!E62,合并BS汇总!E85,合并BS汇总!E89,-年初BS审定!H62,-年初BS审定!H85,-年初BS审定!H89)</f>
        <v>0</v>
      </c>
      <c r="F121" s="652">
        <f>(F49-F53)-SUM(合并BS汇总!F62,合并BS汇总!F85,合并BS汇总!F89,-年初BS审定!I62,-年初BS审定!I85,-年初BS审定!I89)</f>
        <v>0</v>
      </c>
      <c r="G121" s="652">
        <f>(G49-G53)-SUM(合并BS汇总!G62,合并BS汇总!G85,合并BS汇总!G89,-年初BS审定!J62,-年初BS审定!J85,-年初BS审定!J89)</f>
        <v>0</v>
      </c>
      <c r="H121" s="652">
        <f>(H49-H53)-SUM(合并BS汇总!H62,合并BS汇总!H85,合并BS汇总!H89,-年初BS审定!K62,-年初BS审定!K85,-年初BS审定!K89)</f>
        <v>0</v>
      </c>
      <c r="I121" s="652">
        <f>(I49-I53)-SUM(合并BS汇总!I62,合并BS汇总!I85,合并BS汇总!I89,-年初BS审定!L62,-年初BS审定!L85,-年初BS审定!L89)</f>
        <v>0</v>
      </c>
      <c r="J121" s="652">
        <f>(J49-J53)-SUM(合并BS汇总!J62,合并BS汇总!J85,合并BS汇总!J89,-年初BS审定!M62,-年初BS审定!M85,-年初BS审定!M89)</f>
        <v>0</v>
      </c>
      <c r="K121" s="652">
        <f>(K49-K53)-SUM(合并BS汇总!K62,合并BS汇总!K85,合并BS汇总!K89,-年初BS审定!N62,-年初BS审定!N85,-年初BS审定!N89)</f>
        <v>0</v>
      </c>
      <c r="L121" s="652">
        <f>(L49-L53)-SUM(合并BS汇总!L62,合并BS汇总!L85,合并BS汇总!L89,-年初BS审定!O62,-年初BS审定!O85,-年初BS审定!O89)</f>
        <v>0</v>
      </c>
      <c r="M121" s="652">
        <f>(M49-M53)-SUM(合并BS汇总!M62,合并BS汇总!M85,合并BS汇总!M89,-年初BS审定!P62,-年初BS审定!P85,-年初BS审定!P89)</f>
        <v>0</v>
      </c>
      <c r="N121" s="652">
        <f>(N49-N53)-SUM(合并BS汇总!N62,合并BS汇总!N85,合并BS汇总!N89,-年初BS审定!Q62,-年初BS审定!Q85,-年初BS审定!Q89)</f>
        <v>0</v>
      </c>
      <c r="O121" s="652">
        <f>(O49-O53)-SUM(合并BS汇总!O62,合并BS汇总!O85,合并BS汇总!O89,-年初BS审定!R62,-年初BS审定!R85,-年初BS审定!R89)</f>
        <v>0</v>
      </c>
    </row>
    <row r="122" spans="1:15">
      <c r="A122" s="1071" t="s">
        <v>132</v>
      </c>
      <c r="B122" s="854">
        <f>B81-(年初BS审定!E24-合并BS汇总!B24)</f>
        <v>0</v>
      </c>
      <c r="C122" s="572">
        <f>C81-(年初BS审定!F24-合并BS汇总!C24)</f>
        <v>0</v>
      </c>
      <c r="D122" s="572">
        <f>D81-(年初BS审定!X24-合并BS汇总!D24)</f>
        <v>0</v>
      </c>
      <c r="E122" s="572">
        <f>E81-(年初BS审定!Y24-合并BS汇总!E24)</f>
        <v>0</v>
      </c>
      <c r="F122" s="572">
        <f>F81-(年初BS审定!Z24-合并BS汇总!F24)</f>
        <v>0</v>
      </c>
      <c r="G122" s="572">
        <f>G81-(年初BS审定!AA24-合并BS汇总!G24)</f>
        <v>0</v>
      </c>
      <c r="H122" s="572">
        <f>H81-(年初BS审定!AB24-合并BS汇总!H24)</f>
        <v>0</v>
      </c>
      <c r="I122" s="572">
        <f>I81-(年初BS审定!AC24-合并BS汇总!I24)</f>
        <v>0</v>
      </c>
      <c r="J122" s="572">
        <f>J81-(年初BS审定!AD24-合并BS汇总!J24)</f>
        <v>0</v>
      </c>
      <c r="K122" s="572">
        <f>K81-(年初BS审定!AE24-合并BS汇总!K24)</f>
        <v>0</v>
      </c>
      <c r="L122" s="572">
        <f>L81-(年初BS审定!AF24-合并BS汇总!L24)</f>
        <v>0</v>
      </c>
      <c r="M122" s="572">
        <f>M81-(年初BS审定!AG24-合并BS汇总!M24)</f>
        <v>0</v>
      </c>
      <c r="N122" s="572">
        <f>N81-(年初BS审定!AH24-合并BS汇总!N24)</f>
        <v>0</v>
      </c>
      <c r="O122" s="572">
        <f>O81-(年初BS审定!AI24-合并BS汇总!O24)</f>
        <v>0</v>
      </c>
    </row>
    <row r="123" spans="1:15">
      <c r="A123" s="1071" t="s">
        <v>133</v>
      </c>
      <c r="B123" s="854">
        <f>B82-SUM(年初BS审定!E13,年初BS审定!E20,-年初BS审定!E71,-合并BS汇总!B13,,-合并BS汇总!B20,合并BS汇总!B71)</f>
        <v>0</v>
      </c>
      <c r="C123" s="652">
        <f>C82-SUM(年初BS审定!F13,年初BS审定!F20,-年初BS审定!F71,-合并BS汇总!C13,,-合并BS汇总!C20,合并BS汇总!C71)</f>
        <v>0</v>
      </c>
      <c r="D123" s="652">
        <f>D82-SUM(年初BS审定!G13,年初BS审定!G20,-年初BS审定!G71,-合并BS汇总!D13,,-合并BS汇总!D20,合并BS汇总!D71)</f>
        <v>0</v>
      </c>
      <c r="E123" s="652">
        <f>E82-SUM(年初BS审定!H13,年初BS审定!H20,-年初BS审定!H71,-合并BS汇总!E13,,-合并BS汇总!E20,合并BS汇总!E71)</f>
        <v>0</v>
      </c>
      <c r="F123" s="652">
        <f>F82-SUM(年初BS审定!I13,年初BS审定!I20,-年初BS审定!I71,-合并BS汇总!F13,,-合并BS汇总!F20,合并BS汇总!F71)</f>
        <v>0</v>
      </c>
      <c r="G123" s="652">
        <f>G82-SUM(年初BS审定!J13,年初BS审定!J20,-年初BS审定!J71,-合并BS汇总!G13,,-合并BS汇总!G20,合并BS汇总!G71)</f>
        <v>0</v>
      </c>
      <c r="H123" s="652">
        <f>H82-SUM(年初BS审定!K13,年初BS审定!K20,-年初BS审定!K71,-合并BS汇总!H13,,-合并BS汇总!H20,合并BS汇总!H71)</f>
        <v>0</v>
      </c>
      <c r="I123" s="652">
        <f>I82-SUM(年初BS审定!L13,年初BS审定!L20,-年初BS审定!L71,-合并BS汇总!I13,,-合并BS汇总!I20,合并BS汇总!I71)</f>
        <v>0</v>
      </c>
      <c r="J123" s="652">
        <f>J82-SUM(年初BS审定!M13,年初BS审定!M20,-年初BS审定!M71,-合并BS汇总!J13,,-合并BS汇总!J20,合并BS汇总!J71)</f>
        <v>0</v>
      </c>
      <c r="K123" s="652">
        <f>K82-SUM(年初BS审定!N13,年初BS审定!N20,-年初BS审定!N71,-合并BS汇总!K13,,-合并BS汇总!K20,合并BS汇总!K71)</f>
        <v>0</v>
      </c>
      <c r="L123" s="652">
        <f>L82-SUM(年初BS审定!O13,年初BS审定!O20,-年初BS审定!O71,-合并BS汇总!L13,,-合并BS汇总!L20,合并BS汇总!L71)</f>
        <v>0</v>
      </c>
      <c r="M123" s="652">
        <f>M82-SUM(年初BS审定!P13,年初BS审定!P20,-年初BS审定!P71,-合并BS汇总!M13,,-合并BS汇总!M20,合并BS汇总!M71)</f>
        <v>0</v>
      </c>
      <c r="N123" s="652">
        <f>N82-SUM(年初BS审定!Q13,年初BS审定!Q20,-年初BS审定!Q71,-合并BS汇总!N13,,-合并BS汇总!N20,合并BS汇总!N71)</f>
        <v>0</v>
      </c>
      <c r="O123" s="652">
        <f>O82-SUM(年初BS审定!R13,年初BS审定!R20,-年初BS审定!R71,-合并BS汇总!O13,,-合并BS汇总!O20,合并BS汇总!O71)</f>
        <v>0</v>
      </c>
    </row>
    <row r="124" spans="1:15">
      <c r="A124" s="1071" t="s">
        <v>134</v>
      </c>
      <c r="B124" s="854">
        <f>B83-SUM(合并BS汇总!B69,合并BS汇总!B75,合并BS汇总!B76,合并BS汇总!B77,-合并BS汇总!B16,-年初BS审定!E70,-年初BS审定!E75,-年初BS审定!E76,-年初BS审定!E77,年初BS审定!E16)</f>
        <v>0</v>
      </c>
      <c r="C124" s="854">
        <f>C83-SUM(合并BS汇总!C69,合并BS汇总!C75,合并BS汇总!C76,合并BS汇总!C77,-合并BS汇总!C16,-年初BS审定!F70,-年初BS审定!F75,-年初BS审定!F76,-年初BS审定!F77,年初BS审定!F16)</f>
        <v>0</v>
      </c>
      <c r="D124" s="854">
        <f>D83-SUM(合并BS汇总!D69,合并BS汇总!D75,合并BS汇总!D76,合并BS汇总!D77,-合并BS汇总!D16,-年初BS审定!G70,-年初BS审定!G75,-年初BS审定!G76,-年初BS审定!G77,年初BS审定!G16)</f>
        <v>0</v>
      </c>
      <c r="E124" s="854">
        <f>E83-SUM(合并BS汇总!E69,合并BS汇总!E75,合并BS汇总!E76,合并BS汇总!E77,-合并BS汇总!E16,-年初BS审定!H70,-年初BS审定!H75,-年初BS审定!H76,-年初BS审定!H77,年初BS审定!H16)</f>
        <v>0</v>
      </c>
      <c r="F124" s="854">
        <f>F83-SUM(合并BS汇总!F69,合并BS汇总!F75,合并BS汇总!F76,合并BS汇总!F77,-合并BS汇总!F16,-年初BS审定!I70,-年初BS审定!I75,-年初BS审定!I76,-年初BS审定!I77,年初BS审定!I16)</f>
        <v>0</v>
      </c>
      <c r="G124" s="854">
        <f>G83-SUM(合并BS汇总!G69,合并BS汇总!G75,合并BS汇总!G76,合并BS汇总!G77,-合并BS汇总!G16,-年初BS审定!J70,-年初BS审定!J75,-年初BS审定!J76,-年初BS审定!J77,年初BS审定!J16)</f>
        <v>0</v>
      </c>
      <c r="H124" s="854">
        <f>H83-SUM(合并BS汇总!H69,合并BS汇总!H75,合并BS汇总!H76,合并BS汇总!H77,-合并BS汇总!H16,-年初BS审定!K70,-年初BS审定!K75,-年初BS审定!K76,-年初BS审定!K77,年初BS审定!K16)</f>
        <v>0</v>
      </c>
      <c r="I124" s="854">
        <f>I83-SUM(合并BS汇总!I69,合并BS汇总!I75,合并BS汇总!I76,合并BS汇总!I77,-合并BS汇总!I16,-年初BS审定!L70,-年初BS审定!L75,-年初BS审定!L76,-年初BS审定!L77,年初BS审定!L16)</f>
        <v>0</v>
      </c>
      <c r="J124" s="854">
        <f>J83-SUM(合并BS汇总!J69,合并BS汇总!J75,合并BS汇总!J76,合并BS汇总!J77,-合并BS汇总!J16,-年初BS审定!M70,-年初BS审定!M75,-年初BS审定!M76,-年初BS审定!M77,年初BS审定!M16)</f>
        <v>0</v>
      </c>
      <c r="K124" s="854">
        <f>K83-SUM(合并BS汇总!K69,合并BS汇总!K75,合并BS汇总!K76,合并BS汇总!K77,-合并BS汇总!K16,-年初BS审定!N70,-年初BS审定!N75,-年初BS审定!N76,-年初BS审定!N77,年初BS审定!N16)</f>
        <v>0</v>
      </c>
      <c r="L124" s="854">
        <f>L83-SUM(合并BS汇总!L69,合并BS汇总!L75,合并BS汇总!L76,合并BS汇总!L77,-合并BS汇总!L16,-年初BS审定!O70,-年初BS审定!O75,-年初BS审定!O76,-年初BS审定!O77,年初BS审定!O16)</f>
        <v>0</v>
      </c>
      <c r="M124" s="854">
        <f>M83-SUM(合并BS汇总!M69,合并BS汇总!M75,合并BS汇总!M76,合并BS汇总!M77,-合并BS汇总!M16,-年初BS审定!P70,-年初BS审定!P75,-年初BS审定!P76,-年初BS审定!P77,年初BS审定!P16)</f>
        <v>0</v>
      </c>
      <c r="N124" s="854">
        <f>N83-SUM(合并BS汇总!N69,合并BS汇总!N75,合并BS汇总!N76,合并BS汇总!N77,-合并BS汇总!N16,-年初BS审定!Q70,-年初BS审定!Q75,-年初BS审定!Q76,-年初BS审定!Q77,年初BS审定!Q16)</f>
        <v>0</v>
      </c>
      <c r="O124" s="854">
        <f>O83-SUM(合并BS汇总!O69,合并BS汇总!O75,合并BS汇总!O76,合并BS汇总!O77,-合并BS汇总!O16,-年初BS审定!R70,-年初BS审定!R75,-年初BS审定!R76,-年初BS审定!R77,年初BS审定!R16)</f>
        <v>0</v>
      </c>
    </row>
    <row r="125" spans="1:15">
      <c r="A125" s="1072" t="s">
        <v>135</v>
      </c>
    </row>
    <row r="126" spans="1:15">
      <c r="A126" s="1073" t="s">
        <v>136</v>
      </c>
      <c r="B126" s="651">
        <f>SUM(C126:O126)</f>
        <v>0</v>
      </c>
      <c r="C126" s="515"/>
      <c r="D126" s="515"/>
      <c r="E126" s="515"/>
      <c r="F126" s="515"/>
      <c r="G126" s="515"/>
      <c r="H126" s="515"/>
      <c r="I126" s="515"/>
      <c r="J126" s="515"/>
      <c r="K126" s="515"/>
      <c r="L126" s="515"/>
      <c r="M126" s="515"/>
      <c r="N126" s="515"/>
      <c r="O126" s="515"/>
    </row>
    <row r="127" spans="1:15">
      <c r="A127" s="1074" t="s">
        <v>137</v>
      </c>
      <c r="B127" s="503">
        <f t="shared" ref="B127:B132" si="27">SUM(C127:O127)</f>
        <v>0</v>
      </c>
      <c r="C127" s="435"/>
      <c r="D127" s="435"/>
      <c r="E127" s="435"/>
      <c r="F127" s="435"/>
      <c r="G127" s="435"/>
      <c r="H127" s="435"/>
      <c r="I127" s="435"/>
      <c r="J127" s="435"/>
      <c r="K127" s="435"/>
      <c r="L127" s="435"/>
      <c r="M127" s="435"/>
      <c r="N127" s="435"/>
    </row>
    <row r="128" spans="1:15">
      <c r="A128" s="1074" t="s">
        <v>138</v>
      </c>
      <c r="B128" s="503">
        <f t="shared" si="27"/>
        <v>0</v>
      </c>
      <c r="C128" s="435"/>
      <c r="D128" s="435"/>
      <c r="E128" s="435"/>
      <c r="F128" s="435"/>
      <c r="G128" s="435"/>
      <c r="H128" s="435"/>
      <c r="I128" s="435"/>
      <c r="J128" s="435"/>
      <c r="K128" s="435"/>
      <c r="L128" s="435"/>
      <c r="M128" s="435"/>
      <c r="N128" s="435"/>
    </row>
    <row r="129" spans="1:15">
      <c r="A129" s="1074" t="s">
        <v>139</v>
      </c>
      <c r="B129" s="503">
        <f t="shared" si="27"/>
        <v>0</v>
      </c>
      <c r="C129" s="435"/>
      <c r="D129" s="435"/>
      <c r="E129" s="435"/>
      <c r="F129" s="435"/>
      <c r="G129" s="435"/>
      <c r="H129" s="435"/>
      <c r="I129" s="435"/>
      <c r="J129" s="435"/>
      <c r="K129" s="435"/>
      <c r="L129" s="435"/>
      <c r="M129" s="435"/>
      <c r="N129" s="435"/>
    </row>
    <row r="130" spans="1:15">
      <c r="A130" s="1074" t="s">
        <v>140</v>
      </c>
      <c r="B130" s="503">
        <f t="shared" si="27"/>
        <v>0</v>
      </c>
      <c r="C130" s="435"/>
      <c r="D130" s="435"/>
      <c r="E130" s="435"/>
      <c r="F130" s="435"/>
      <c r="G130" s="435"/>
      <c r="H130" s="435"/>
      <c r="I130" s="435"/>
      <c r="J130" s="435"/>
      <c r="K130" s="435"/>
      <c r="L130" s="435"/>
      <c r="M130" s="435"/>
      <c r="N130" s="435"/>
    </row>
    <row r="131" spans="1:15">
      <c r="A131" s="1074" t="s">
        <v>141</v>
      </c>
      <c r="B131" s="503">
        <f t="shared" si="27"/>
        <v>0</v>
      </c>
      <c r="C131" s="435"/>
      <c r="D131" s="435"/>
      <c r="E131" s="435"/>
      <c r="F131" s="435"/>
      <c r="G131" s="435"/>
      <c r="H131" s="435"/>
      <c r="I131" s="435"/>
      <c r="J131" s="435"/>
      <c r="K131" s="435"/>
      <c r="L131" s="435"/>
      <c r="M131" s="435"/>
      <c r="N131" s="435"/>
    </row>
    <row r="132" spans="1:15">
      <c r="A132" s="1075" t="s">
        <v>143</v>
      </c>
      <c r="B132" s="654">
        <f t="shared" si="27"/>
        <v>0</v>
      </c>
      <c r="C132" s="520"/>
      <c r="D132" s="520"/>
      <c r="E132" s="520"/>
      <c r="F132" s="520"/>
      <c r="G132" s="520"/>
      <c r="H132" s="520"/>
      <c r="I132" s="520"/>
      <c r="J132" s="520"/>
      <c r="K132" s="520"/>
      <c r="L132" s="520"/>
      <c r="M132" s="520"/>
      <c r="N132" s="520"/>
      <c r="O132" s="520"/>
    </row>
    <row r="133" spans="1:15">
      <c r="A133" s="1072" t="s">
        <v>142</v>
      </c>
    </row>
    <row r="134" spans="1:15">
      <c r="A134" s="1071" t="s">
        <v>136</v>
      </c>
      <c r="B134" s="652">
        <f t="shared" ref="B134:O134" si="28">B126-B70</f>
        <v>0</v>
      </c>
      <c r="C134" s="572">
        <f t="shared" si="28"/>
        <v>0</v>
      </c>
      <c r="D134" s="572">
        <f t="shared" si="28"/>
        <v>0</v>
      </c>
      <c r="E134" s="572">
        <f t="shared" si="28"/>
        <v>0</v>
      </c>
      <c r="F134" s="572">
        <f t="shared" si="28"/>
        <v>0</v>
      </c>
      <c r="G134" s="572">
        <f t="shared" si="28"/>
        <v>0</v>
      </c>
      <c r="H134" s="572">
        <f t="shared" si="28"/>
        <v>0</v>
      </c>
      <c r="I134" s="572">
        <f t="shared" si="28"/>
        <v>0</v>
      </c>
      <c r="J134" s="572">
        <f t="shared" si="28"/>
        <v>0</v>
      </c>
      <c r="K134" s="572">
        <f t="shared" si="28"/>
        <v>0</v>
      </c>
      <c r="L134" s="572">
        <f t="shared" si="28"/>
        <v>0</v>
      </c>
      <c r="M134" s="572">
        <f t="shared" si="28"/>
        <v>0</v>
      </c>
      <c r="N134" s="572">
        <f t="shared" si="28"/>
        <v>0</v>
      </c>
      <c r="O134" s="572">
        <f t="shared" si="28"/>
        <v>0</v>
      </c>
    </row>
    <row r="135" spans="1:15">
      <c r="A135" s="1071" t="s">
        <v>137</v>
      </c>
      <c r="B135" s="652">
        <f t="shared" ref="B135:O135" si="29">B127-B71</f>
        <v>0</v>
      </c>
      <c r="C135" s="572">
        <f t="shared" si="29"/>
        <v>0</v>
      </c>
      <c r="D135" s="572">
        <f t="shared" si="29"/>
        <v>0</v>
      </c>
      <c r="E135" s="572">
        <f t="shared" si="29"/>
        <v>0</v>
      </c>
      <c r="F135" s="572">
        <f t="shared" si="29"/>
        <v>0</v>
      </c>
      <c r="G135" s="572">
        <f t="shared" si="29"/>
        <v>0</v>
      </c>
      <c r="H135" s="572">
        <f t="shared" si="29"/>
        <v>0</v>
      </c>
      <c r="I135" s="572">
        <f t="shared" si="29"/>
        <v>0</v>
      </c>
      <c r="J135" s="572">
        <f t="shared" si="29"/>
        <v>0</v>
      </c>
      <c r="K135" s="572">
        <f t="shared" si="29"/>
        <v>0</v>
      </c>
      <c r="L135" s="572">
        <f t="shared" si="29"/>
        <v>0</v>
      </c>
      <c r="M135" s="572">
        <f t="shared" si="29"/>
        <v>0</v>
      </c>
      <c r="N135" s="572">
        <f t="shared" si="29"/>
        <v>0</v>
      </c>
      <c r="O135" s="572">
        <f t="shared" si="29"/>
        <v>0</v>
      </c>
    </row>
    <row r="136" spans="1:15">
      <c r="A136" s="1071" t="s">
        <v>138</v>
      </c>
      <c r="B136" s="652">
        <f t="shared" ref="B136:O136" si="30">B128-B72</f>
        <v>0</v>
      </c>
      <c r="C136" s="572">
        <f t="shared" si="30"/>
        <v>0</v>
      </c>
      <c r="D136" s="572">
        <f t="shared" si="30"/>
        <v>0</v>
      </c>
      <c r="E136" s="572">
        <f t="shared" si="30"/>
        <v>0</v>
      </c>
      <c r="F136" s="572">
        <f t="shared" si="30"/>
        <v>0</v>
      </c>
      <c r="G136" s="572">
        <f t="shared" si="30"/>
        <v>0</v>
      </c>
      <c r="H136" s="572">
        <f t="shared" si="30"/>
        <v>0</v>
      </c>
      <c r="I136" s="572">
        <f t="shared" si="30"/>
        <v>0</v>
      </c>
      <c r="J136" s="572">
        <f t="shared" si="30"/>
        <v>0</v>
      </c>
      <c r="K136" s="572">
        <f t="shared" si="30"/>
        <v>0</v>
      </c>
      <c r="L136" s="572">
        <f t="shared" si="30"/>
        <v>0</v>
      </c>
      <c r="M136" s="572">
        <f t="shared" si="30"/>
        <v>0</v>
      </c>
      <c r="N136" s="572">
        <f t="shared" si="30"/>
        <v>0</v>
      </c>
      <c r="O136" s="572">
        <f t="shared" si="30"/>
        <v>0</v>
      </c>
    </row>
    <row r="137" spans="1:15">
      <c r="A137" s="1071" t="s">
        <v>139</v>
      </c>
      <c r="B137" s="652">
        <f t="shared" ref="B137:O137" si="31">B129-B73</f>
        <v>0</v>
      </c>
      <c r="C137" s="572">
        <f t="shared" si="31"/>
        <v>0</v>
      </c>
      <c r="D137" s="572">
        <f t="shared" si="31"/>
        <v>0</v>
      </c>
      <c r="E137" s="572">
        <f t="shared" si="31"/>
        <v>0</v>
      </c>
      <c r="F137" s="572">
        <f t="shared" si="31"/>
        <v>0</v>
      </c>
      <c r="G137" s="572">
        <f t="shared" si="31"/>
        <v>0</v>
      </c>
      <c r="H137" s="572">
        <f t="shared" si="31"/>
        <v>0</v>
      </c>
      <c r="I137" s="572">
        <f t="shared" si="31"/>
        <v>0</v>
      </c>
      <c r="J137" s="572">
        <f t="shared" si="31"/>
        <v>0</v>
      </c>
      <c r="K137" s="572">
        <f t="shared" si="31"/>
        <v>0</v>
      </c>
      <c r="L137" s="572">
        <f t="shared" si="31"/>
        <v>0</v>
      </c>
      <c r="M137" s="572">
        <f t="shared" si="31"/>
        <v>0</v>
      </c>
      <c r="N137" s="572">
        <f t="shared" si="31"/>
        <v>0</v>
      </c>
      <c r="O137" s="572">
        <f t="shared" si="31"/>
        <v>0</v>
      </c>
    </row>
    <row r="138" spans="1:15">
      <c r="A138" s="1071" t="s">
        <v>140</v>
      </c>
      <c r="B138" s="652">
        <f t="shared" ref="B138:O138" si="32">B130-B74</f>
        <v>0</v>
      </c>
      <c r="C138" s="572">
        <f t="shared" si="32"/>
        <v>0</v>
      </c>
      <c r="D138" s="572">
        <f t="shared" si="32"/>
        <v>0</v>
      </c>
      <c r="E138" s="572">
        <f t="shared" si="32"/>
        <v>0</v>
      </c>
      <c r="F138" s="572">
        <f t="shared" si="32"/>
        <v>0</v>
      </c>
      <c r="G138" s="572">
        <f t="shared" si="32"/>
        <v>0</v>
      </c>
      <c r="H138" s="572">
        <f t="shared" si="32"/>
        <v>0</v>
      </c>
      <c r="I138" s="572">
        <f t="shared" si="32"/>
        <v>0</v>
      </c>
      <c r="J138" s="572">
        <f t="shared" si="32"/>
        <v>0</v>
      </c>
      <c r="K138" s="572">
        <f t="shared" si="32"/>
        <v>0</v>
      </c>
      <c r="L138" s="572">
        <f t="shared" si="32"/>
        <v>0</v>
      </c>
      <c r="M138" s="572">
        <f t="shared" si="32"/>
        <v>0</v>
      </c>
      <c r="N138" s="572">
        <f t="shared" si="32"/>
        <v>0</v>
      </c>
      <c r="O138" s="572">
        <f t="shared" si="32"/>
        <v>0</v>
      </c>
    </row>
    <row r="139" spans="1:15">
      <c r="A139" s="1071" t="s">
        <v>141</v>
      </c>
      <c r="B139" s="652">
        <f t="shared" ref="B139:O139" si="33">B131-B75</f>
        <v>0</v>
      </c>
      <c r="C139" s="572">
        <f t="shared" si="33"/>
        <v>0</v>
      </c>
      <c r="D139" s="572">
        <f t="shared" si="33"/>
        <v>0</v>
      </c>
      <c r="E139" s="572">
        <f t="shared" si="33"/>
        <v>0</v>
      </c>
      <c r="F139" s="572">
        <f t="shared" si="33"/>
        <v>0</v>
      </c>
      <c r="G139" s="572">
        <f t="shared" si="33"/>
        <v>0</v>
      </c>
      <c r="H139" s="572">
        <f t="shared" si="33"/>
        <v>0</v>
      </c>
      <c r="I139" s="572">
        <f t="shared" si="33"/>
        <v>0</v>
      </c>
      <c r="J139" s="572">
        <f t="shared" si="33"/>
        <v>0</v>
      </c>
      <c r="K139" s="572">
        <f t="shared" si="33"/>
        <v>0</v>
      </c>
      <c r="L139" s="572">
        <f t="shared" si="33"/>
        <v>0</v>
      </c>
      <c r="M139" s="572">
        <f t="shared" si="33"/>
        <v>0</v>
      </c>
      <c r="N139" s="572">
        <f t="shared" si="33"/>
        <v>0</v>
      </c>
      <c r="O139" s="572">
        <f t="shared" si="33"/>
        <v>0</v>
      </c>
    </row>
    <row r="140" spans="1:15">
      <c r="A140" s="1071" t="s">
        <v>144</v>
      </c>
      <c r="B140" s="652">
        <f t="shared" ref="B140:O140" si="34">B132-B76</f>
        <v>0</v>
      </c>
      <c r="C140" s="572">
        <f t="shared" si="34"/>
        <v>0</v>
      </c>
      <c r="D140" s="572">
        <f t="shared" si="34"/>
        <v>0</v>
      </c>
      <c r="E140" s="572">
        <f t="shared" si="34"/>
        <v>0</v>
      </c>
      <c r="F140" s="572">
        <f t="shared" si="34"/>
        <v>0</v>
      </c>
      <c r="G140" s="572">
        <f t="shared" si="34"/>
        <v>0</v>
      </c>
      <c r="H140" s="572">
        <f t="shared" si="34"/>
        <v>0</v>
      </c>
      <c r="I140" s="572">
        <f t="shared" si="34"/>
        <v>0</v>
      </c>
      <c r="J140" s="572">
        <f t="shared" si="34"/>
        <v>0</v>
      </c>
      <c r="K140" s="572">
        <f t="shared" si="34"/>
        <v>0</v>
      </c>
      <c r="L140" s="572">
        <f t="shared" si="34"/>
        <v>0</v>
      </c>
      <c r="M140" s="572">
        <f t="shared" si="34"/>
        <v>0</v>
      </c>
      <c r="N140" s="572">
        <f t="shared" si="34"/>
        <v>0</v>
      </c>
      <c r="O140" s="572">
        <f t="shared" si="34"/>
        <v>0</v>
      </c>
    </row>
  </sheetData>
  <phoneticPr fontId="13" type="noConversion"/>
  <printOptions horizontalCentered="1"/>
  <pageMargins left="0.74803149606299202" right="0.74803149606299202" top="0.98425196850393704" bottom="0.98425196850393704" header="0.511811023622047" footer="0.511811023622047"/>
  <pageSetup paperSize="9" scale="43" orientation="portrait" cellComments="asDisplayed" r:id="rId1"/>
  <headerFooter alignWithMargins="0">
    <oddHeader>&amp;C&amp;F/&amp;A&amp;R
&amp;T  &amp;D</oddHeader>
    <oddFooter>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sheetPr>
  <dimension ref="A1:O234"/>
  <sheetViews>
    <sheetView workbookViewId="0">
      <selection activeCell="N1" sqref="N1:O1048576"/>
    </sheetView>
  </sheetViews>
  <sheetFormatPr defaultColWidth="9" defaultRowHeight="13.5"/>
  <cols>
    <col min="1" max="1" width="3.125" style="201" customWidth="1"/>
    <col min="2" max="2" width="5.5" style="201" customWidth="1"/>
    <col min="3" max="3" width="17.75" style="824" customWidth="1"/>
    <col min="4" max="4" width="3.25" style="825" customWidth="1"/>
    <col min="5" max="5" width="10.625" style="826" customWidth="1"/>
    <col min="6" max="6" width="11.75" style="826" customWidth="1"/>
    <col min="7" max="7" width="3.75" style="825" customWidth="1"/>
    <col min="8" max="9" width="10.5" style="826" customWidth="1"/>
    <col min="10" max="10" width="11.125" style="821" customWidth="1"/>
    <col min="11" max="11" width="7.625" style="826" customWidth="1"/>
    <col min="12" max="12" width="8.75" style="826" customWidth="1"/>
    <col min="13" max="13" width="1" style="826" customWidth="1"/>
    <col min="14" max="14" width="6" style="827" customWidth="1"/>
    <col min="15" max="15" width="22.375" style="828" bestFit="1" customWidth="1"/>
    <col min="16" max="16384" width="9" style="826"/>
  </cols>
  <sheetData>
    <row r="1" spans="1:15" s="20" customFormat="1" ht="19.5" customHeight="1">
      <c r="A1" s="128" t="str">
        <f>IF((L2-(合并TB资产!C60+合并TB负债!C63+合并TB损益!C90)-IF(COUNTIF(E5:E667,"未分配利润")&gt;=1,VLOOKUP("未分配利润",E5:J667,6,0),0))&lt;0.005,"合并权益抵销事项汇总表","调整事项未全部链入试算平衡表，请检查调整科目是否为报表项目!")</f>
        <v>合并权益抵销事项汇总表</v>
      </c>
      <c r="B1" s="18"/>
      <c r="C1" s="147"/>
      <c r="D1" s="19"/>
      <c r="E1" s="19"/>
      <c r="F1" s="19"/>
      <c r="G1" s="19"/>
      <c r="H1" s="19"/>
      <c r="I1" s="19"/>
      <c r="J1" s="143"/>
      <c r="K1" s="564">
        <f>SUM(L2:L3)</f>
        <v>0</v>
      </c>
      <c r="L1" s="564"/>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日期：2019.12.31</v>
      </c>
      <c r="J2" s="805" t="s">
        <v>949</v>
      </c>
      <c r="K2" s="565" t="s">
        <v>283</v>
      </c>
      <c r="L2" s="566">
        <f>SUMIF(E5:E65537,"?*",J5:J65537)</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5" t="s">
        <v>285</v>
      </c>
      <c r="L3" s="566">
        <f>SUMIF(H5:H65537,"?*",J5:J65537)</f>
        <v>0</v>
      </c>
      <c r="N3" s="82">
        <f>母公司汇总抵销!N3</f>
        <v>0</v>
      </c>
      <c r="O3" s="83">
        <f>母公司汇总抵销!O3</f>
        <v>0</v>
      </c>
    </row>
    <row r="4" spans="1:15" s="23" customFormat="1">
      <c r="A4" s="569" t="s">
        <v>311</v>
      </c>
      <c r="B4" s="124" t="s">
        <v>286</v>
      </c>
      <c r="C4" s="149" t="s">
        <v>550</v>
      </c>
      <c r="D4" s="126" t="s">
        <v>452</v>
      </c>
      <c r="E4" s="125" t="s">
        <v>288</v>
      </c>
      <c r="F4" s="127" t="s">
        <v>289</v>
      </c>
      <c r="G4" s="126" t="s">
        <v>452</v>
      </c>
      <c r="H4" s="125" t="s">
        <v>290</v>
      </c>
      <c r="I4" s="127" t="s">
        <v>289</v>
      </c>
      <c r="J4" s="145" t="s">
        <v>262</v>
      </c>
      <c r="K4" s="567"/>
      <c r="L4" s="568">
        <f>L2-L3</f>
        <v>0</v>
      </c>
      <c r="N4" s="82">
        <f>母公司汇总抵销!N4</f>
        <v>0</v>
      </c>
      <c r="O4" s="83">
        <f>母公司汇总抵销!O4</f>
        <v>0</v>
      </c>
    </row>
    <row r="5" spans="1:15" s="23" customFormat="1">
      <c r="A5" s="1159">
        <v>1</v>
      </c>
      <c r="B5" s="1162"/>
      <c r="C5" s="808"/>
      <c r="D5" s="17"/>
      <c r="E5" s="21" t="str">
        <f t="shared" ref="E5:E11" si="0">IF(D5=0,"",VLOOKUP(D5,$N:$O,2,0))</f>
        <v/>
      </c>
      <c r="F5" s="811"/>
      <c r="G5" s="25"/>
      <c r="H5" s="26" t="str">
        <f t="shared" ref="H5:H11" si="1">IF(G5=0,"",VLOOKUP(G5,$N:$O,2,0))</f>
        <v/>
      </c>
      <c r="I5" s="313"/>
      <c r="J5" s="142"/>
      <c r="K5" s="171" t="s">
        <v>453</v>
      </c>
      <c r="N5" s="82">
        <f>母公司汇总抵销!N5</f>
        <v>0</v>
      </c>
      <c r="O5" s="71" t="str">
        <f>母公司汇总抵销!O5</f>
        <v>流动资产：</v>
      </c>
    </row>
    <row r="6" spans="1:15" s="23" customFormat="1">
      <c r="A6" s="1160"/>
      <c r="B6" s="1163"/>
      <c r="C6" s="809"/>
      <c r="D6" s="17"/>
      <c r="E6" s="26" t="str">
        <f t="shared" si="0"/>
        <v/>
      </c>
      <c r="F6" s="811"/>
      <c r="G6" s="27"/>
      <c r="H6" s="26" t="str">
        <f t="shared" si="1"/>
        <v/>
      </c>
      <c r="I6" s="868"/>
      <c r="J6" s="142"/>
      <c r="K6" s="171"/>
      <c r="N6" s="84" t="str">
        <f>母公司汇总抵销!N6</f>
        <v>D1</v>
      </c>
      <c r="O6" s="28" t="str">
        <f>母公司汇总抵销!O6</f>
        <v>货币资金</v>
      </c>
    </row>
    <row r="7" spans="1:15" s="23" customFormat="1">
      <c r="A7" s="1160"/>
      <c r="B7" s="1163"/>
      <c r="C7" s="809"/>
      <c r="D7" s="17"/>
      <c r="E7" s="26" t="str">
        <f t="shared" si="0"/>
        <v/>
      </c>
      <c r="F7" s="811"/>
      <c r="G7" s="27"/>
      <c r="H7" s="26" t="str">
        <f t="shared" si="1"/>
        <v/>
      </c>
      <c r="I7" s="313"/>
      <c r="J7" s="142"/>
      <c r="K7" s="171" t="s">
        <v>454</v>
      </c>
      <c r="N7" s="84" t="str">
        <f>母公司汇总抵销!N7</f>
        <v>D41</v>
      </c>
      <c r="O7" s="28" t="str">
        <f>母公司汇总抵销!O7</f>
        <v>结算备付金</v>
      </c>
    </row>
    <row r="8" spans="1:15" s="23" customFormat="1">
      <c r="A8" s="1160"/>
      <c r="B8" s="1163"/>
      <c r="C8" s="809"/>
      <c r="D8" s="17"/>
      <c r="E8" s="26" t="str">
        <f t="shared" si="0"/>
        <v/>
      </c>
      <c r="F8" s="313"/>
      <c r="G8" s="27"/>
      <c r="H8" s="26" t="str">
        <f t="shared" si="1"/>
        <v/>
      </c>
      <c r="I8" s="811"/>
      <c r="J8" s="142"/>
      <c r="K8" s="171"/>
      <c r="N8" s="84" t="str">
        <f>母公司汇总抵销!N8</f>
        <v>D42</v>
      </c>
      <c r="O8" s="28" t="str">
        <f>母公司汇总抵销!O8</f>
        <v>拆出资金</v>
      </c>
    </row>
    <row r="9" spans="1:15" s="23" customFormat="1">
      <c r="A9" s="1160"/>
      <c r="B9" s="1163"/>
      <c r="C9" s="809"/>
      <c r="D9" s="17"/>
      <c r="E9" s="26" t="str">
        <f t="shared" si="0"/>
        <v/>
      </c>
      <c r="F9" s="313"/>
      <c r="G9" s="27"/>
      <c r="H9" s="26" t="str">
        <f t="shared" si="1"/>
        <v/>
      </c>
      <c r="I9" s="313"/>
      <c r="J9" s="142"/>
      <c r="N9" s="84" t="str">
        <f>母公司汇总抵销!N9</f>
        <v>D2</v>
      </c>
      <c r="O9" s="28" t="str">
        <f>母公司汇总抵销!O9</f>
        <v>交易性金融资产</v>
      </c>
    </row>
    <row r="10" spans="1:15" s="23" customFormat="1">
      <c r="A10" s="1160"/>
      <c r="B10" s="1163"/>
      <c r="C10" s="809"/>
      <c r="D10" s="17"/>
      <c r="E10" s="26" t="str">
        <f t="shared" si="0"/>
        <v/>
      </c>
      <c r="F10" s="313"/>
      <c r="G10" s="27"/>
      <c r="H10" s="26" t="str">
        <f t="shared" si="1"/>
        <v/>
      </c>
      <c r="I10" s="313"/>
      <c r="J10" s="142"/>
      <c r="N10" s="84" t="str">
        <f>母公司汇总抵销!N10</f>
        <v>D3</v>
      </c>
      <c r="O10" s="28" t="str">
        <f>母公司汇总抵销!O10</f>
        <v>以公允价值计量且其变动计入当期损益的金融资产</v>
      </c>
    </row>
    <row r="11" spans="1:15" s="23" customFormat="1">
      <c r="A11" s="1161"/>
      <c r="B11" s="1164"/>
      <c r="C11" s="810"/>
      <c r="D11" s="17"/>
      <c r="E11" s="26" t="str">
        <f t="shared" si="0"/>
        <v/>
      </c>
      <c r="F11" s="313"/>
      <c r="G11" s="27"/>
      <c r="H11" s="26" t="str">
        <f t="shared" si="1"/>
        <v/>
      </c>
      <c r="I11" s="313"/>
      <c r="J11" s="142"/>
      <c r="N11" s="84" t="str">
        <f>母公司汇总抵销!N11</f>
        <v>D4</v>
      </c>
      <c r="O11" s="28" t="str">
        <f>母公司汇总抵销!O11</f>
        <v>衍生金融资产</v>
      </c>
    </row>
    <row r="12" spans="1:15" s="23" customFormat="1">
      <c r="A12" s="308"/>
      <c r="B12" s="308"/>
      <c r="C12" s="309"/>
      <c r="D12" s="310"/>
      <c r="E12" s="311"/>
      <c r="F12" s="311"/>
      <c r="G12" s="310"/>
      <c r="H12" s="311"/>
      <c r="I12" s="311"/>
      <c r="J12" s="312" t="str">
        <f>IF(ABS((SUMIF(E5:E11,"?*",J5:J11)-SUMIF(H5:H11,"?*",J5:J11)))&lt;0.005,"","借贷不等")</f>
        <v/>
      </c>
      <c r="K12" s="24"/>
      <c r="N12" s="84" t="str">
        <f>母公司汇总抵销!N12</f>
        <v>D5</v>
      </c>
      <c r="O12" s="28" t="str">
        <f>母公司汇总抵销!O12</f>
        <v>应收票据</v>
      </c>
    </row>
    <row r="13" spans="1:15" s="23" customFormat="1">
      <c r="A13" s="1159">
        <v>2</v>
      </c>
      <c r="B13" s="1162"/>
      <c r="C13" s="1165"/>
      <c r="D13" s="17"/>
      <c r="E13" s="26" t="str">
        <f t="shared" ref="E13:E18" si="2">IF(D13=0,"",VLOOKUP(D13,$N:$O,2,0))</f>
        <v/>
      </c>
      <c r="F13" s="313"/>
      <c r="G13" s="25"/>
      <c r="H13" s="21" t="str">
        <f t="shared" ref="H13:H18" si="3">IF(G13=0,"",VLOOKUP(G13,$N:$O,2,0))</f>
        <v/>
      </c>
      <c r="I13" s="313"/>
      <c r="J13" s="142"/>
      <c r="K13" s="24"/>
      <c r="N13" s="84" t="str">
        <f>母公司汇总抵销!N13</f>
        <v>D6</v>
      </c>
      <c r="O13" s="28" t="str">
        <f>母公司汇总抵销!O13</f>
        <v>应收账款</v>
      </c>
    </row>
    <row r="14" spans="1:15" s="23" customFormat="1">
      <c r="A14" s="1160"/>
      <c r="B14" s="1163"/>
      <c r="C14" s="1166"/>
      <c r="D14" s="17"/>
      <c r="E14" s="26" t="str">
        <f t="shared" si="2"/>
        <v/>
      </c>
      <c r="F14" s="313"/>
      <c r="G14" s="27"/>
      <c r="H14" s="26" t="str">
        <f t="shared" si="3"/>
        <v/>
      </c>
      <c r="I14" s="313"/>
      <c r="J14" s="142"/>
      <c r="K14" s="24"/>
      <c r="N14" s="84" t="str">
        <f>母公司汇总抵销!N14</f>
        <v>D7</v>
      </c>
      <c r="O14" s="28" t="str">
        <f>母公司汇总抵销!O14</f>
        <v>应收款项融资</v>
      </c>
    </row>
    <row r="15" spans="1:15" s="23" customFormat="1">
      <c r="A15" s="1160"/>
      <c r="B15" s="1163"/>
      <c r="C15" s="1166"/>
      <c r="D15" s="17"/>
      <c r="E15" s="26" t="str">
        <f t="shared" si="2"/>
        <v/>
      </c>
      <c r="F15" s="313"/>
      <c r="G15" s="27"/>
      <c r="H15" s="26" t="str">
        <f t="shared" si="3"/>
        <v/>
      </c>
      <c r="I15" s="313"/>
      <c r="J15" s="142"/>
      <c r="K15" s="24"/>
      <c r="N15" s="84" t="str">
        <f>母公司汇总抵销!N15</f>
        <v>D8</v>
      </c>
      <c r="O15" s="28" t="str">
        <f>母公司汇总抵销!O15</f>
        <v>预付款项</v>
      </c>
    </row>
    <row r="16" spans="1:15" s="23" customFormat="1">
      <c r="A16" s="1160"/>
      <c r="B16" s="1163"/>
      <c r="C16" s="1166"/>
      <c r="D16" s="17"/>
      <c r="E16" s="26" t="str">
        <f t="shared" si="2"/>
        <v/>
      </c>
      <c r="F16" s="313"/>
      <c r="G16" s="27"/>
      <c r="H16" s="26" t="str">
        <f t="shared" si="3"/>
        <v/>
      </c>
      <c r="I16" s="313"/>
      <c r="J16" s="142"/>
      <c r="N16" s="84" t="str">
        <f>母公司汇总抵销!N16</f>
        <v>D43</v>
      </c>
      <c r="O16" s="28" t="str">
        <f>母公司汇总抵销!O16</f>
        <v>应收保费</v>
      </c>
    </row>
    <row r="17" spans="1:15" s="23" customFormat="1">
      <c r="A17" s="1160"/>
      <c r="B17" s="1163"/>
      <c r="C17" s="1166"/>
      <c r="D17" s="17"/>
      <c r="E17" s="26" t="str">
        <f t="shared" si="2"/>
        <v/>
      </c>
      <c r="F17" s="313"/>
      <c r="G17" s="27"/>
      <c r="H17" s="26" t="str">
        <f t="shared" si="3"/>
        <v/>
      </c>
      <c r="I17" s="313"/>
      <c r="J17" s="142"/>
      <c r="N17" s="84" t="str">
        <f>母公司汇总抵销!N17</f>
        <v>D44</v>
      </c>
      <c r="O17" s="28" t="str">
        <f>母公司汇总抵销!O17</f>
        <v>应收分保账款</v>
      </c>
    </row>
    <row r="18" spans="1:15" s="23" customFormat="1">
      <c r="A18" s="1161"/>
      <c r="B18" s="1164"/>
      <c r="C18" s="1167"/>
      <c r="D18" s="17"/>
      <c r="E18" s="26" t="str">
        <f t="shared" si="2"/>
        <v/>
      </c>
      <c r="F18" s="313"/>
      <c r="G18" s="27"/>
      <c r="H18" s="26" t="str">
        <f t="shared" si="3"/>
        <v/>
      </c>
      <c r="I18" s="313"/>
      <c r="J18" s="142"/>
      <c r="N18" s="84" t="str">
        <f>母公司汇总抵销!N18</f>
        <v>D45</v>
      </c>
      <c r="O18" s="28" t="str">
        <f>母公司汇总抵销!O18</f>
        <v>应收分保准备金</v>
      </c>
    </row>
    <row r="19" spans="1:15" s="23" customFormat="1">
      <c r="A19" s="308"/>
      <c r="B19" s="308"/>
      <c r="C19" s="309"/>
      <c r="D19" s="310"/>
      <c r="E19" s="311"/>
      <c r="F19" s="311"/>
      <c r="G19" s="310"/>
      <c r="H19" s="311"/>
      <c r="I19" s="311"/>
      <c r="J19" s="312" t="str">
        <f>IF(ABS((SUMIF(E13:E18,"?*",J13:J18)-SUMIF(H13:H18,"?*",J13:J18)))&lt;0.005,"","借贷不等")</f>
        <v/>
      </c>
      <c r="N19" s="84" t="str">
        <f>母公司汇总抵销!N19</f>
        <v>D9</v>
      </c>
      <c r="O19" s="28" t="str">
        <f>母公司汇总抵销!O19</f>
        <v>其他应收款</v>
      </c>
    </row>
    <row r="20" spans="1:15" s="23" customFormat="1">
      <c r="A20" s="1159">
        <v>3</v>
      </c>
      <c r="B20" s="1162"/>
      <c r="C20" s="1165"/>
      <c r="D20" s="17"/>
      <c r="E20" s="26" t="str">
        <f t="shared" ref="E20:E25" si="4">IF(D20=0,"",VLOOKUP(D20,$N:$O,2,0))</f>
        <v/>
      </c>
      <c r="F20" s="811"/>
      <c r="G20" s="25"/>
      <c r="H20" s="21" t="str">
        <f t="shared" ref="H20:H25" si="5">IF(G20=0,"",VLOOKUP(G20,$N:$O,2,0))</f>
        <v/>
      </c>
      <c r="I20" s="313"/>
      <c r="J20" s="142"/>
      <c r="N20" s="84">
        <f>母公司汇总抵销!N20</f>
        <v>0</v>
      </c>
      <c r="O20" s="28" t="str">
        <f>母公司汇总抵销!O20</f>
        <v>应收利息</v>
      </c>
    </row>
    <row r="21" spans="1:15" s="23" customFormat="1">
      <c r="A21" s="1160"/>
      <c r="B21" s="1163"/>
      <c r="C21" s="1166"/>
      <c r="D21" s="17"/>
      <c r="E21" s="26" t="str">
        <f t="shared" si="4"/>
        <v/>
      </c>
      <c r="F21" s="313"/>
      <c r="G21" s="27"/>
      <c r="H21" s="26" t="str">
        <f t="shared" si="5"/>
        <v/>
      </c>
      <c r="I21" s="811"/>
      <c r="J21" s="142"/>
      <c r="N21" s="84">
        <f>母公司汇总抵销!N21</f>
        <v>0</v>
      </c>
      <c r="O21" s="28" t="str">
        <f>母公司汇总抵销!O21</f>
        <v>应收股利</v>
      </c>
    </row>
    <row r="22" spans="1:15" s="23" customFormat="1">
      <c r="A22" s="1160"/>
      <c r="B22" s="1163"/>
      <c r="C22" s="1166"/>
      <c r="D22" s="17"/>
      <c r="E22" s="26" t="str">
        <f t="shared" si="4"/>
        <v/>
      </c>
      <c r="F22" s="313"/>
      <c r="G22" s="27"/>
      <c r="H22" s="26" t="str">
        <f t="shared" si="5"/>
        <v/>
      </c>
      <c r="I22" s="811"/>
      <c r="J22" s="142"/>
      <c r="N22" s="84" t="str">
        <f>母公司汇总抵销!N22</f>
        <v>D46</v>
      </c>
      <c r="O22" s="28" t="str">
        <f>母公司汇总抵销!O22</f>
        <v>买入返售金融资产</v>
      </c>
    </row>
    <row r="23" spans="1:15" s="23" customFormat="1">
      <c r="A23" s="1160"/>
      <c r="B23" s="1163"/>
      <c r="C23" s="1166"/>
      <c r="D23" s="17"/>
      <c r="E23" s="26" t="str">
        <f t="shared" si="4"/>
        <v/>
      </c>
      <c r="F23" s="313"/>
      <c r="G23" s="27"/>
      <c r="H23" s="26" t="str">
        <f t="shared" si="5"/>
        <v/>
      </c>
      <c r="I23" s="313"/>
      <c r="J23" s="142"/>
      <c r="N23" s="84" t="str">
        <f>母公司汇总抵销!N23</f>
        <v>D10</v>
      </c>
      <c r="O23" s="28" t="str">
        <f>母公司汇总抵销!O23</f>
        <v>存货</v>
      </c>
    </row>
    <row r="24" spans="1:15" s="23" customFormat="1">
      <c r="A24" s="1160"/>
      <c r="B24" s="1163"/>
      <c r="C24" s="1166"/>
      <c r="D24" s="17"/>
      <c r="E24" s="26" t="str">
        <f t="shared" si="4"/>
        <v/>
      </c>
      <c r="F24" s="313"/>
      <c r="G24" s="27"/>
      <c r="H24" s="26" t="str">
        <f t="shared" si="5"/>
        <v/>
      </c>
      <c r="I24" s="313"/>
      <c r="J24" s="142"/>
      <c r="N24" s="84" t="str">
        <f>母公司汇总抵销!N24</f>
        <v>D11</v>
      </c>
      <c r="O24" s="28" t="str">
        <f>母公司汇总抵销!O24</f>
        <v>合同资产</v>
      </c>
    </row>
    <row r="25" spans="1:15" s="23" customFormat="1">
      <c r="A25" s="1161"/>
      <c r="B25" s="1164"/>
      <c r="C25" s="1167"/>
      <c r="D25" s="17"/>
      <c r="E25" s="26" t="str">
        <f t="shared" si="4"/>
        <v/>
      </c>
      <c r="F25" s="313"/>
      <c r="G25" s="27"/>
      <c r="H25" s="26" t="str">
        <f t="shared" si="5"/>
        <v/>
      </c>
      <c r="I25" s="313"/>
      <c r="J25" s="142"/>
      <c r="N25" s="84" t="str">
        <f>母公司汇总抵销!N25</f>
        <v>D12</v>
      </c>
      <c r="O25" s="28" t="str">
        <f>母公司汇总抵销!O25</f>
        <v>持有待售资产</v>
      </c>
    </row>
    <row r="26" spans="1:15" s="23" customFormat="1">
      <c r="A26" s="308"/>
      <c r="B26" s="308"/>
      <c r="C26" s="309"/>
      <c r="D26" s="310"/>
      <c r="E26" s="311"/>
      <c r="F26" s="311"/>
      <c r="G26" s="310"/>
      <c r="H26" s="311"/>
      <c r="I26" s="311"/>
      <c r="J26" s="312" t="str">
        <f>IF(ABS((SUMIF(E20:E25,"?*",J20:J25)-SUMIF(H20:H25,"?*",J20:J25)))&lt;0.005,"","借贷不等")</f>
        <v/>
      </c>
      <c r="N26" s="84" t="str">
        <f>母公司汇总抵销!N26</f>
        <v>D13</v>
      </c>
      <c r="O26" s="28" t="str">
        <f>母公司汇总抵销!O26</f>
        <v>一年内到期的非流动资产</v>
      </c>
    </row>
    <row r="27" spans="1:15" s="23" customFormat="1">
      <c r="A27" s="1159">
        <v>4</v>
      </c>
      <c r="B27" s="1162"/>
      <c r="C27" s="1165"/>
      <c r="D27" s="17"/>
      <c r="E27" s="26" t="str">
        <f t="shared" ref="E27:E32" si="6">IF(D27=0,"",VLOOKUP(D27,$N:$O,2,0))</f>
        <v/>
      </c>
      <c r="F27" s="313"/>
      <c r="G27" s="25"/>
      <c r="H27" s="21" t="str">
        <f t="shared" ref="H27:H32" si="7">IF(G27=0,"",VLOOKUP(G27,$N:$O,2,0))</f>
        <v/>
      </c>
      <c r="I27" s="313"/>
      <c r="J27" s="142"/>
      <c r="N27" s="84" t="str">
        <f>母公司汇总抵销!N27</f>
        <v>D14</v>
      </c>
      <c r="O27" s="28" t="str">
        <f>母公司汇总抵销!O27</f>
        <v>其他流动资产</v>
      </c>
    </row>
    <row r="28" spans="1:15" s="23" customFormat="1">
      <c r="A28" s="1160"/>
      <c r="B28" s="1163"/>
      <c r="C28" s="1166"/>
      <c r="D28" s="17"/>
      <c r="E28" s="26" t="str">
        <f t="shared" si="6"/>
        <v/>
      </c>
      <c r="F28" s="313"/>
      <c r="G28" s="27"/>
      <c r="H28" s="26" t="str">
        <f t="shared" si="7"/>
        <v/>
      </c>
      <c r="I28" s="313"/>
      <c r="J28" s="142"/>
      <c r="N28" s="84" t="str">
        <f>母公司汇总抵销!N28</f>
        <v>D15</v>
      </c>
      <c r="O28" s="28" t="str">
        <f>母公司汇总抵销!O28</f>
        <v>0</v>
      </c>
    </row>
    <row r="29" spans="1:15" s="23" customFormat="1">
      <c r="A29" s="1160"/>
      <c r="B29" s="1163"/>
      <c r="C29" s="1166"/>
      <c r="D29" s="17"/>
      <c r="E29" s="26" t="str">
        <f t="shared" si="6"/>
        <v/>
      </c>
      <c r="F29" s="313"/>
      <c r="G29" s="27"/>
      <c r="H29" s="26" t="str">
        <f t="shared" si="7"/>
        <v/>
      </c>
      <c r="I29" s="313"/>
      <c r="J29" s="142"/>
      <c r="N29" s="84" t="str">
        <f>母公司汇总抵销!N29</f>
        <v>D16</v>
      </c>
      <c r="O29" s="28" t="str">
        <f>母公司汇总抵销!O29</f>
        <v>0</v>
      </c>
    </row>
    <row r="30" spans="1:15" s="23" customFormat="1">
      <c r="A30" s="1160"/>
      <c r="B30" s="1163"/>
      <c r="C30" s="1166"/>
      <c r="D30" s="17"/>
      <c r="E30" s="26" t="str">
        <f t="shared" si="6"/>
        <v/>
      </c>
      <c r="F30" s="313"/>
      <c r="G30" s="27"/>
      <c r="H30" s="26" t="str">
        <f t="shared" si="7"/>
        <v/>
      </c>
      <c r="I30" s="313"/>
      <c r="J30" s="142"/>
      <c r="N30" s="84">
        <f>母公司汇总抵销!N30</f>
        <v>0</v>
      </c>
      <c r="O30" s="859" t="str">
        <f>母公司汇总抵销!O30</f>
        <v>流动资产合计</v>
      </c>
    </row>
    <row r="31" spans="1:15" s="23" customFormat="1">
      <c r="A31" s="1160"/>
      <c r="B31" s="1163"/>
      <c r="C31" s="1166"/>
      <c r="D31" s="17"/>
      <c r="E31" s="26" t="str">
        <f t="shared" si="6"/>
        <v/>
      </c>
      <c r="F31" s="313"/>
      <c r="G31" s="27"/>
      <c r="H31" s="26" t="str">
        <f t="shared" si="7"/>
        <v/>
      </c>
      <c r="I31" s="313"/>
      <c r="J31" s="142"/>
      <c r="N31" s="84">
        <f>母公司汇总抵销!N31</f>
        <v>0</v>
      </c>
      <c r="O31" s="859" t="str">
        <f>母公司汇总抵销!O31</f>
        <v>非流动资产:</v>
      </c>
    </row>
    <row r="32" spans="1:15" s="23" customFormat="1">
      <c r="A32" s="1161"/>
      <c r="B32" s="1164"/>
      <c r="C32" s="1167"/>
      <c r="D32" s="17"/>
      <c r="E32" s="26" t="str">
        <f t="shared" si="6"/>
        <v/>
      </c>
      <c r="F32" s="313"/>
      <c r="G32" s="27"/>
      <c r="H32" s="26" t="str">
        <f t="shared" si="7"/>
        <v/>
      </c>
      <c r="I32" s="313"/>
      <c r="J32" s="142"/>
      <c r="N32" s="84" t="str">
        <f>母公司汇总抵销!N32</f>
        <v>D47</v>
      </c>
      <c r="O32" s="28" t="str">
        <f>母公司汇总抵销!O32</f>
        <v>发放贷款及垫款</v>
      </c>
    </row>
    <row r="33" spans="1:15" s="23" customFormat="1">
      <c r="A33" s="308"/>
      <c r="B33" s="308"/>
      <c r="C33" s="309"/>
      <c r="D33" s="310"/>
      <c r="E33" s="311"/>
      <c r="F33" s="311"/>
      <c r="G33" s="310"/>
      <c r="H33" s="311"/>
      <c r="I33" s="311"/>
      <c r="J33" s="312" t="str">
        <f>IF(ABS((SUMIF(E27:E32,"?*",J27:J32)-SUMIF(H27:H32,"?*",J27:J32)))&lt;0.005,"","借贷不等")</f>
        <v/>
      </c>
      <c r="N33" s="84" t="str">
        <f>母公司汇总抵销!N33</f>
        <v>D17</v>
      </c>
      <c r="O33" s="28" t="str">
        <f>母公司汇总抵销!O33</f>
        <v>债权投资</v>
      </c>
    </row>
    <row r="34" spans="1:15" s="23" customFormat="1">
      <c r="A34" s="1159">
        <v>5</v>
      </c>
      <c r="B34" s="1162"/>
      <c r="C34" s="1165"/>
      <c r="D34" s="17"/>
      <c r="E34" s="26" t="str">
        <f t="shared" ref="E34:E39" si="8">IF(D34=0,"",VLOOKUP(D34,$N:$O,2,0))</f>
        <v/>
      </c>
      <c r="F34" s="313"/>
      <c r="G34" s="25"/>
      <c r="H34" s="21" t="str">
        <f t="shared" ref="H34:H39" si="9">IF(G34=0,"",VLOOKUP(G34,$N:$O,2,0))</f>
        <v/>
      </c>
      <c r="I34" s="313"/>
      <c r="J34" s="142"/>
      <c r="N34" s="84" t="str">
        <f>母公司汇总抵销!N34</f>
        <v>D18</v>
      </c>
      <c r="O34" s="28" t="str">
        <f>母公司汇总抵销!O34</f>
        <v>可供出售金融资产</v>
      </c>
    </row>
    <row r="35" spans="1:15" s="23" customFormat="1">
      <c r="A35" s="1160"/>
      <c r="B35" s="1163"/>
      <c r="C35" s="1166"/>
      <c r="D35" s="17"/>
      <c r="E35" s="26" t="str">
        <f t="shared" si="8"/>
        <v/>
      </c>
      <c r="F35" s="313"/>
      <c r="G35" s="27"/>
      <c r="H35" s="26" t="str">
        <f t="shared" si="9"/>
        <v/>
      </c>
      <c r="I35" s="313"/>
      <c r="J35" s="142"/>
      <c r="N35" s="84" t="str">
        <f>母公司汇总抵销!N35</f>
        <v>D19</v>
      </c>
      <c r="O35" s="28" t="str">
        <f>母公司汇总抵销!O35</f>
        <v>其他债权投资</v>
      </c>
    </row>
    <row r="36" spans="1:15" s="23" customFormat="1">
      <c r="A36" s="1160"/>
      <c r="B36" s="1163"/>
      <c r="C36" s="1166"/>
      <c r="D36" s="17"/>
      <c r="E36" s="26" t="str">
        <f t="shared" si="8"/>
        <v/>
      </c>
      <c r="F36" s="313"/>
      <c r="G36" s="27"/>
      <c r="H36" s="26" t="str">
        <f t="shared" si="9"/>
        <v/>
      </c>
      <c r="I36" s="313"/>
      <c r="J36" s="142"/>
      <c r="N36" s="84" t="str">
        <f>母公司汇总抵销!N36</f>
        <v>D20</v>
      </c>
      <c r="O36" s="28" t="str">
        <f>母公司汇总抵销!O36</f>
        <v>持有至到期投资</v>
      </c>
    </row>
    <row r="37" spans="1:15" s="23" customFormat="1">
      <c r="A37" s="1160"/>
      <c r="B37" s="1163"/>
      <c r="C37" s="1166"/>
      <c r="D37" s="17"/>
      <c r="E37" s="26" t="str">
        <f t="shared" si="8"/>
        <v/>
      </c>
      <c r="F37" s="313"/>
      <c r="G37" s="27"/>
      <c r="H37" s="26" t="str">
        <f t="shared" si="9"/>
        <v/>
      </c>
      <c r="I37" s="313"/>
      <c r="J37" s="142"/>
      <c r="N37" s="84" t="str">
        <f>母公司汇总抵销!N37</f>
        <v>D21</v>
      </c>
      <c r="O37" s="28" t="str">
        <f>母公司汇总抵销!O37</f>
        <v>长期应收款</v>
      </c>
    </row>
    <row r="38" spans="1:15" s="23" customFormat="1">
      <c r="A38" s="1160"/>
      <c r="B38" s="1163"/>
      <c r="C38" s="1166"/>
      <c r="D38" s="17"/>
      <c r="E38" s="26" t="str">
        <f t="shared" si="8"/>
        <v/>
      </c>
      <c r="F38" s="313"/>
      <c r="G38" s="27"/>
      <c r="H38" s="26" t="str">
        <f t="shared" si="9"/>
        <v/>
      </c>
      <c r="I38" s="313"/>
      <c r="J38" s="142"/>
      <c r="N38" s="84" t="str">
        <f>母公司汇总抵销!N38</f>
        <v>D22</v>
      </c>
      <c r="O38" s="28" t="str">
        <f>母公司汇总抵销!O38</f>
        <v>设定受益计划净资产</v>
      </c>
    </row>
    <row r="39" spans="1:15" s="23" customFormat="1">
      <c r="A39" s="1161"/>
      <c r="B39" s="1164"/>
      <c r="C39" s="1167"/>
      <c r="D39" s="17"/>
      <c r="E39" s="26" t="str">
        <f t="shared" si="8"/>
        <v/>
      </c>
      <c r="F39" s="313"/>
      <c r="G39" s="27"/>
      <c r="H39" s="26" t="str">
        <f t="shared" si="9"/>
        <v/>
      </c>
      <c r="I39" s="313"/>
      <c r="J39" s="142"/>
      <c r="N39" s="84" t="str">
        <f>母公司汇总抵销!N39</f>
        <v>D23</v>
      </c>
      <c r="O39" s="28" t="str">
        <f>母公司汇总抵销!O39</f>
        <v>长期股权投资</v>
      </c>
    </row>
    <row r="40" spans="1:15" s="23" customFormat="1">
      <c r="A40" s="308"/>
      <c r="B40" s="308"/>
      <c r="C40" s="309"/>
      <c r="D40" s="310"/>
      <c r="E40" s="311"/>
      <c r="F40" s="311"/>
      <c r="G40" s="310"/>
      <c r="H40" s="311"/>
      <c r="I40" s="311"/>
      <c r="J40" s="312" t="str">
        <f>IF(ABS((SUMIF(E34:E39,"?*",J34:J39)-SUMIF(H34:H39,"?*",J34:J39)))&lt;0.005,"","借贷不等")</f>
        <v/>
      </c>
      <c r="N40" s="84" t="str">
        <f>母公司汇总抵销!N40</f>
        <v>D24</v>
      </c>
      <c r="O40" s="28" t="str">
        <f>母公司汇总抵销!O40</f>
        <v>其他权益工具投资</v>
      </c>
    </row>
    <row r="41" spans="1:15" s="23" customFormat="1">
      <c r="A41" s="1159">
        <v>6</v>
      </c>
      <c r="B41" s="1162"/>
      <c r="C41" s="1165"/>
      <c r="D41" s="17"/>
      <c r="E41" s="26" t="str">
        <f t="shared" ref="E41:E46" si="10">IF(D41=0,"",VLOOKUP(D41,$N:$O,2,0))</f>
        <v/>
      </c>
      <c r="F41" s="313"/>
      <c r="G41" s="25"/>
      <c r="H41" s="21" t="str">
        <f t="shared" ref="H41:H46" si="11">IF(G41=0,"",VLOOKUP(G41,$N:$O,2,0))</f>
        <v/>
      </c>
      <c r="I41" s="313"/>
      <c r="J41" s="142"/>
      <c r="N41" s="84" t="str">
        <f>母公司汇总抵销!N41</f>
        <v>D25</v>
      </c>
      <c r="O41" s="28" t="str">
        <f>母公司汇总抵销!O41</f>
        <v>其他非流动金融资产</v>
      </c>
    </row>
    <row r="42" spans="1:15" s="23" customFormat="1">
      <c r="A42" s="1160"/>
      <c r="B42" s="1163"/>
      <c r="C42" s="1166"/>
      <c r="D42" s="17"/>
      <c r="E42" s="26" t="str">
        <f t="shared" si="10"/>
        <v/>
      </c>
      <c r="F42" s="313"/>
      <c r="G42" s="27"/>
      <c r="H42" s="26" t="str">
        <f t="shared" si="11"/>
        <v/>
      </c>
      <c r="I42" s="313"/>
      <c r="J42" s="142"/>
      <c r="N42" s="84" t="str">
        <f>母公司汇总抵销!N42</f>
        <v>D26</v>
      </c>
      <c r="O42" s="28" t="str">
        <f>母公司汇总抵销!O42</f>
        <v>投资性房地产</v>
      </c>
    </row>
    <row r="43" spans="1:15" s="23" customFormat="1">
      <c r="A43" s="1160"/>
      <c r="B43" s="1163"/>
      <c r="C43" s="1166"/>
      <c r="D43" s="17"/>
      <c r="E43" s="26" t="str">
        <f t="shared" si="10"/>
        <v/>
      </c>
      <c r="F43" s="313"/>
      <c r="G43" s="27"/>
      <c r="H43" s="26" t="str">
        <f t="shared" si="11"/>
        <v/>
      </c>
      <c r="I43" s="313"/>
      <c r="J43" s="142"/>
      <c r="N43" s="84" t="str">
        <f>母公司汇总抵销!N43</f>
        <v>D27</v>
      </c>
      <c r="O43" s="28" t="str">
        <f>母公司汇总抵销!O43</f>
        <v>固定资产</v>
      </c>
    </row>
    <row r="44" spans="1:15" s="23" customFormat="1">
      <c r="A44" s="1160"/>
      <c r="B44" s="1163"/>
      <c r="C44" s="1166"/>
      <c r="D44" s="17"/>
      <c r="E44" s="26" t="str">
        <f t="shared" si="10"/>
        <v/>
      </c>
      <c r="F44" s="313"/>
      <c r="G44" s="27"/>
      <c r="H44" s="26" t="str">
        <f t="shared" si="11"/>
        <v/>
      </c>
      <c r="I44" s="313"/>
      <c r="J44" s="142"/>
      <c r="N44" s="84" t="str">
        <f>母公司汇总抵销!N44</f>
        <v>D28</v>
      </c>
      <c r="O44" s="28" t="str">
        <f>母公司汇总抵销!O44</f>
        <v>在建工程</v>
      </c>
    </row>
    <row r="45" spans="1:15" s="23" customFormat="1">
      <c r="A45" s="1160"/>
      <c r="B45" s="1163"/>
      <c r="C45" s="1166"/>
      <c r="D45" s="17"/>
      <c r="E45" s="26" t="str">
        <f t="shared" si="10"/>
        <v/>
      </c>
      <c r="F45" s="313"/>
      <c r="G45" s="27"/>
      <c r="H45" s="26" t="str">
        <f t="shared" si="11"/>
        <v/>
      </c>
      <c r="I45" s="313"/>
      <c r="J45" s="142"/>
      <c r="N45" s="84" t="str">
        <f>母公司汇总抵销!N45</f>
        <v>D29</v>
      </c>
      <c r="O45" s="28" t="str">
        <f>母公司汇总抵销!O45</f>
        <v>生产性生物资产</v>
      </c>
    </row>
    <row r="46" spans="1:15" s="23" customFormat="1">
      <c r="A46" s="1161"/>
      <c r="B46" s="1164"/>
      <c r="C46" s="1167"/>
      <c r="D46" s="17"/>
      <c r="E46" s="26" t="str">
        <f t="shared" si="10"/>
        <v/>
      </c>
      <c r="F46" s="313"/>
      <c r="G46" s="27"/>
      <c r="H46" s="26" t="str">
        <f t="shared" si="11"/>
        <v/>
      </c>
      <c r="I46" s="313"/>
      <c r="J46" s="142"/>
      <c r="N46" s="84" t="str">
        <f>母公司汇总抵销!N46</f>
        <v>D30</v>
      </c>
      <c r="O46" s="28" t="str">
        <f>母公司汇总抵销!O46</f>
        <v>油气资产</v>
      </c>
    </row>
    <row r="47" spans="1:15" s="23" customFormat="1">
      <c r="A47" s="308"/>
      <c r="B47" s="308"/>
      <c r="C47" s="309"/>
      <c r="D47" s="310"/>
      <c r="E47" s="311"/>
      <c r="F47" s="311"/>
      <c r="G47" s="310"/>
      <c r="H47" s="311"/>
      <c r="I47" s="311"/>
      <c r="J47" s="312" t="str">
        <f>IF(ABS((SUMIF(E41:E46,"?*",J41:J46)-SUMIF(H41:H46,"?*",J41:J46)))&lt;0.005,"","借贷不等")</f>
        <v/>
      </c>
      <c r="N47" s="84" t="str">
        <f>母公司汇总抵销!N47</f>
        <v>D31</v>
      </c>
      <c r="O47" s="28" t="str">
        <f>母公司汇总抵销!O47</f>
        <v>使用权资产</v>
      </c>
    </row>
    <row r="48" spans="1:15" s="23" customFormat="1">
      <c r="A48" s="1159">
        <v>7</v>
      </c>
      <c r="B48" s="1162"/>
      <c r="C48" s="1165"/>
      <c r="D48" s="17"/>
      <c r="E48" s="26" t="str">
        <f t="shared" ref="E48:E53" si="12">IF(D48=0,"",VLOOKUP(D48,$N:$O,2,0))</f>
        <v/>
      </c>
      <c r="F48" s="313"/>
      <c r="G48" s="25"/>
      <c r="H48" s="21" t="str">
        <f t="shared" ref="H48:H53" si="13">IF(G48=0,"",VLOOKUP(G48,$N:$O,2,0))</f>
        <v/>
      </c>
      <c r="I48" s="313"/>
      <c r="J48" s="142"/>
      <c r="N48" s="84" t="str">
        <f>母公司汇总抵销!N48</f>
        <v>D32</v>
      </c>
      <c r="O48" s="28" t="str">
        <f>母公司汇总抵销!O48</f>
        <v>无形资产</v>
      </c>
    </row>
    <row r="49" spans="1:15" s="23" customFormat="1">
      <c r="A49" s="1160"/>
      <c r="B49" s="1163"/>
      <c r="C49" s="1166"/>
      <c r="D49" s="17"/>
      <c r="E49" s="26" t="str">
        <f t="shared" si="12"/>
        <v/>
      </c>
      <c r="F49" s="313"/>
      <c r="G49" s="27"/>
      <c r="H49" s="26" t="str">
        <f t="shared" si="13"/>
        <v/>
      </c>
      <c r="I49" s="313"/>
      <c r="J49" s="142"/>
      <c r="N49" s="84" t="str">
        <f>母公司汇总抵销!N49</f>
        <v>D33</v>
      </c>
      <c r="O49" s="28" t="str">
        <f>母公司汇总抵销!O49</f>
        <v>开发支出</v>
      </c>
    </row>
    <row r="50" spans="1:15" s="23" customFormat="1">
      <c r="A50" s="1160"/>
      <c r="B50" s="1163"/>
      <c r="C50" s="1166"/>
      <c r="D50" s="17"/>
      <c r="E50" s="26" t="str">
        <f t="shared" si="12"/>
        <v/>
      </c>
      <c r="F50" s="313"/>
      <c r="G50" s="27"/>
      <c r="H50" s="26" t="str">
        <f t="shared" si="13"/>
        <v/>
      </c>
      <c r="I50" s="313"/>
      <c r="J50" s="142"/>
      <c r="N50" s="84" t="str">
        <f>母公司汇总抵销!N50</f>
        <v>D34</v>
      </c>
      <c r="O50" s="28" t="str">
        <f>母公司汇总抵销!O50</f>
        <v>商誉</v>
      </c>
    </row>
    <row r="51" spans="1:15" s="23" customFormat="1">
      <c r="A51" s="1160"/>
      <c r="B51" s="1163"/>
      <c r="C51" s="1166"/>
      <c r="D51" s="17"/>
      <c r="E51" s="26" t="str">
        <f t="shared" si="12"/>
        <v/>
      </c>
      <c r="F51" s="313"/>
      <c r="G51" s="27"/>
      <c r="H51" s="26" t="str">
        <f t="shared" si="13"/>
        <v/>
      </c>
      <c r="I51" s="313"/>
      <c r="J51" s="142"/>
      <c r="N51" s="84" t="str">
        <f>母公司汇总抵销!N51</f>
        <v>D35</v>
      </c>
      <c r="O51" s="28" t="str">
        <f>母公司汇总抵销!O51</f>
        <v>长期待摊费用</v>
      </c>
    </row>
    <row r="52" spans="1:15" s="23" customFormat="1">
      <c r="A52" s="1160"/>
      <c r="B52" s="1163"/>
      <c r="C52" s="1166"/>
      <c r="D52" s="17"/>
      <c r="E52" s="26" t="str">
        <f t="shared" si="12"/>
        <v/>
      </c>
      <c r="F52" s="313"/>
      <c r="G52" s="27"/>
      <c r="H52" s="26" t="str">
        <f t="shared" si="13"/>
        <v/>
      </c>
      <c r="I52" s="313"/>
      <c r="J52" s="142"/>
      <c r="N52" s="84" t="str">
        <f>母公司汇总抵销!N52</f>
        <v>D36</v>
      </c>
      <c r="O52" s="28" t="str">
        <f>母公司汇总抵销!O52</f>
        <v>递延所得税资产</v>
      </c>
    </row>
    <row r="53" spans="1:15" s="23" customFormat="1">
      <c r="A53" s="1161"/>
      <c r="B53" s="1164"/>
      <c r="C53" s="1167"/>
      <c r="D53" s="17"/>
      <c r="E53" s="26" t="str">
        <f t="shared" si="12"/>
        <v/>
      </c>
      <c r="F53" s="313"/>
      <c r="G53" s="27"/>
      <c r="H53" s="26" t="str">
        <f t="shared" si="13"/>
        <v/>
      </c>
      <c r="I53" s="313"/>
      <c r="J53" s="142"/>
      <c r="N53" s="84" t="str">
        <f>母公司汇总抵销!N53</f>
        <v>D37</v>
      </c>
      <c r="O53" s="28" t="str">
        <f>母公司汇总抵销!O53</f>
        <v>其他非流动资产</v>
      </c>
    </row>
    <row r="54" spans="1:15" s="23" customFormat="1">
      <c r="A54" s="308"/>
      <c r="B54" s="308"/>
      <c r="C54" s="309"/>
      <c r="D54" s="310"/>
      <c r="E54" s="311"/>
      <c r="F54" s="311"/>
      <c r="G54" s="310"/>
      <c r="H54" s="311"/>
      <c r="I54" s="311"/>
      <c r="J54" s="312" t="str">
        <f>IF(ABS((SUMIF(E48:E53,"?*",J48:J53)-SUMIF(H48:H53,"?*",J48:J53)))&lt;0.005,"","借贷不等")</f>
        <v/>
      </c>
      <c r="N54" s="84" t="str">
        <f>母公司汇总抵销!N54</f>
        <v>D38</v>
      </c>
      <c r="O54" s="28" t="str">
        <f>母公司汇总抵销!O54</f>
        <v>0</v>
      </c>
    </row>
    <row r="55" spans="1:15" s="23" customFormat="1">
      <c r="A55" s="1159">
        <v>8</v>
      </c>
      <c r="B55" s="1162"/>
      <c r="C55" s="1165"/>
      <c r="D55" s="17"/>
      <c r="E55" s="26" t="str">
        <f t="shared" ref="E55:E60" si="14">IF(D55=0,"",VLOOKUP(D55,$N:$O,2,0))</f>
        <v/>
      </c>
      <c r="F55" s="313"/>
      <c r="G55" s="25"/>
      <c r="H55" s="21" t="str">
        <f t="shared" ref="H55:H60" si="15">IF(G55=0,"",VLOOKUP(G55,$N:$O,2,0))</f>
        <v/>
      </c>
      <c r="I55" s="313"/>
      <c r="J55" s="142"/>
      <c r="N55" s="84" t="str">
        <f>母公司汇总抵销!N55</f>
        <v>D39</v>
      </c>
      <c r="O55" s="28" t="str">
        <f>母公司汇总抵销!O55</f>
        <v>0</v>
      </c>
    </row>
    <row r="56" spans="1:15" s="23" customFormat="1">
      <c r="A56" s="1160"/>
      <c r="B56" s="1163"/>
      <c r="C56" s="1166"/>
      <c r="D56" s="17"/>
      <c r="E56" s="26" t="str">
        <f t="shared" si="14"/>
        <v/>
      </c>
      <c r="F56" s="313"/>
      <c r="G56" s="27"/>
      <c r="H56" s="26" t="str">
        <f t="shared" si="15"/>
        <v/>
      </c>
      <c r="I56" s="313"/>
      <c r="J56" s="142"/>
      <c r="N56" s="84" t="str">
        <f>母公司汇总抵销!N56</f>
        <v>D40</v>
      </c>
      <c r="O56" s="28" t="str">
        <f>母公司汇总抵销!O56</f>
        <v>0</v>
      </c>
    </row>
    <row r="57" spans="1:15" s="23" customFormat="1">
      <c r="A57" s="1160"/>
      <c r="B57" s="1163"/>
      <c r="C57" s="1166"/>
      <c r="D57" s="17"/>
      <c r="E57" s="26" t="str">
        <f t="shared" si="14"/>
        <v/>
      </c>
      <c r="F57" s="313"/>
      <c r="G57" s="27"/>
      <c r="H57" s="26" t="str">
        <f t="shared" si="15"/>
        <v/>
      </c>
      <c r="I57" s="313"/>
      <c r="J57" s="142"/>
      <c r="N57" s="84">
        <f>母公司汇总抵销!N57</f>
        <v>0</v>
      </c>
      <c r="O57" s="859" t="str">
        <f>母公司汇总抵销!O57</f>
        <v>非流动资产合计</v>
      </c>
    </row>
    <row r="58" spans="1:15" s="23" customFormat="1">
      <c r="A58" s="1160"/>
      <c r="B58" s="1163"/>
      <c r="C58" s="1166"/>
      <c r="D58" s="17"/>
      <c r="E58" s="26" t="str">
        <f t="shared" si="14"/>
        <v/>
      </c>
      <c r="F58" s="313"/>
      <c r="G58" s="27"/>
      <c r="H58" s="26" t="str">
        <f t="shared" si="15"/>
        <v/>
      </c>
      <c r="I58" s="313"/>
      <c r="J58" s="142"/>
      <c r="N58" s="84">
        <f>母公司汇总抵销!N58</f>
        <v>0</v>
      </c>
      <c r="O58" s="859" t="str">
        <f>母公司汇总抵销!O58</f>
        <v>资 产 总 计</v>
      </c>
    </row>
    <row r="59" spans="1:15" s="23" customFormat="1">
      <c r="A59" s="1160"/>
      <c r="B59" s="1163"/>
      <c r="C59" s="1166"/>
      <c r="D59" s="17"/>
      <c r="E59" s="26" t="str">
        <f t="shared" si="14"/>
        <v/>
      </c>
      <c r="F59" s="313"/>
      <c r="G59" s="27"/>
      <c r="H59" s="26" t="str">
        <f t="shared" si="15"/>
        <v/>
      </c>
      <c r="I59" s="313"/>
      <c r="J59" s="142"/>
      <c r="N59" s="84">
        <f>母公司汇总抵销!N59</f>
        <v>0</v>
      </c>
      <c r="O59" s="859" t="str">
        <f>母公司汇总抵销!O59</f>
        <v/>
      </c>
    </row>
    <row r="60" spans="1:15" s="23" customFormat="1">
      <c r="A60" s="1161"/>
      <c r="B60" s="1164"/>
      <c r="C60" s="1167"/>
      <c r="D60" s="17"/>
      <c r="E60" s="26" t="str">
        <f t="shared" si="14"/>
        <v/>
      </c>
      <c r="F60" s="313"/>
      <c r="G60" s="27"/>
      <c r="H60" s="26" t="str">
        <f t="shared" si="15"/>
        <v/>
      </c>
      <c r="I60" s="313"/>
      <c r="J60" s="142"/>
      <c r="N60" s="84">
        <f>母公司汇总抵销!N60</f>
        <v>0</v>
      </c>
      <c r="O60" s="859" t="str">
        <f>母公司汇总抵销!O60</f>
        <v/>
      </c>
    </row>
    <row r="61" spans="1:15" s="23" customFormat="1">
      <c r="A61" s="308"/>
      <c r="B61" s="308"/>
      <c r="C61" s="309"/>
      <c r="D61" s="310"/>
      <c r="E61" s="311"/>
      <c r="F61" s="311"/>
      <c r="G61" s="310"/>
      <c r="H61" s="311"/>
      <c r="I61" s="311"/>
      <c r="J61" s="312" t="str">
        <f>IF(ABS((SUMIF(E55:E60,"?*",J55:J60)-SUMIF(H55:H60,"?*",J55:J60)))&lt;0.005,"","借贷不等")</f>
        <v/>
      </c>
      <c r="N61" s="84">
        <f>母公司汇总抵销!N61</f>
        <v>0</v>
      </c>
      <c r="O61" s="783" t="str">
        <f>母公司汇总抵销!O61</f>
        <v>流动负债：</v>
      </c>
    </row>
    <row r="62" spans="1:15" s="23" customFormat="1">
      <c r="A62" s="1159">
        <v>9</v>
      </c>
      <c r="B62" s="1162"/>
      <c r="C62" s="1165"/>
      <c r="D62" s="17"/>
      <c r="E62" s="26" t="str">
        <f t="shared" ref="E62:E67" si="16">IF(D62=0,"",VLOOKUP(D62,$N:$O,2,0))</f>
        <v/>
      </c>
      <c r="F62" s="313"/>
      <c r="G62" s="25"/>
      <c r="H62" s="21" t="str">
        <f t="shared" ref="H62:H67" si="17">IF(G62=0,"",VLOOKUP(G62,$N:$O,2,0))</f>
        <v/>
      </c>
      <c r="I62" s="313"/>
      <c r="J62" s="142"/>
      <c r="N62" s="84" t="str">
        <f>母公司汇总抵销!N62</f>
        <v>E1</v>
      </c>
      <c r="O62" s="28" t="str">
        <f>母公司汇总抵销!O62</f>
        <v>短期借款</v>
      </c>
    </row>
    <row r="63" spans="1:15" s="23" customFormat="1">
      <c r="A63" s="1160"/>
      <c r="B63" s="1163"/>
      <c r="C63" s="1166"/>
      <c r="D63" s="17"/>
      <c r="E63" s="26" t="str">
        <f t="shared" si="16"/>
        <v/>
      </c>
      <c r="F63" s="313"/>
      <c r="G63" s="27"/>
      <c r="H63" s="26" t="str">
        <f t="shared" si="17"/>
        <v/>
      </c>
      <c r="I63" s="313"/>
      <c r="J63" s="142"/>
      <c r="N63" s="84" t="str">
        <f>母公司汇总抵销!N63</f>
        <v>E24</v>
      </c>
      <c r="O63" s="28" t="str">
        <f>母公司汇总抵销!O63</f>
        <v>向中央银行借款</v>
      </c>
    </row>
    <row r="64" spans="1:15" s="23" customFormat="1">
      <c r="A64" s="1160"/>
      <c r="B64" s="1163"/>
      <c r="C64" s="1166"/>
      <c r="D64" s="17"/>
      <c r="E64" s="26" t="str">
        <f t="shared" si="16"/>
        <v/>
      </c>
      <c r="F64" s="313"/>
      <c r="G64" s="27"/>
      <c r="H64" s="26" t="str">
        <f t="shared" si="17"/>
        <v/>
      </c>
      <c r="I64" s="313"/>
      <c r="J64" s="142"/>
      <c r="N64" s="84" t="str">
        <f>母公司汇总抵销!N64</f>
        <v>E25</v>
      </c>
      <c r="O64" s="28" t="str">
        <f>母公司汇总抵销!O64</f>
        <v>吸收存款及同业存放</v>
      </c>
    </row>
    <row r="65" spans="1:15" s="23" customFormat="1">
      <c r="A65" s="1160"/>
      <c r="B65" s="1163"/>
      <c r="C65" s="1166"/>
      <c r="D65" s="17"/>
      <c r="E65" s="26" t="str">
        <f t="shared" si="16"/>
        <v/>
      </c>
      <c r="F65" s="313"/>
      <c r="G65" s="27"/>
      <c r="H65" s="26" t="str">
        <f t="shared" si="17"/>
        <v/>
      </c>
      <c r="I65" s="313"/>
      <c r="J65" s="142"/>
      <c r="N65" s="84" t="str">
        <f>母公司汇总抵销!N65</f>
        <v>E26</v>
      </c>
      <c r="O65" s="28" t="str">
        <f>母公司汇总抵销!O65</f>
        <v>拆入资金</v>
      </c>
    </row>
    <row r="66" spans="1:15" s="23" customFormat="1">
      <c r="A66" s="1160"/>
      <c r="B66" s="1163"/>
      <c r="C66" s="1166"/>
      <c r="D66" s="17"/>
      <c r="E66" s="26" t="str">
        <f t="shared" si="16"/>
        <v/>
      </c>
      <c r="F66" s="313"/>
      <c r="G66" s="27"/>
      <c r="H66" s="26" t="str">
        <f t="shared" si="17"/>
        <v/>
      </c>
      <c r="I66" s="313"/>
      <c r="J66" s="142"/>
      <c r="N66" s="84" t="str">
        <f>母公司汇总抵销!N66</f>
        <v>E2</v>
      </c>
      <c r="O66" s="28" t="str">
        <f>母公司汇总抵销!O66</f>
        <v>交易性金融负债</v>
      </c>
    </row>
    <row r="67" spans="1:15" s="23" customFormat="1">
      <c r="A67" s="1161"/>
      <c r="B67" s="1164"/>
      <c r="C67" s="1167"/>
      <c r="D67" s="17"/>
      <c r="E67" s="26" t="str">
        <f t="shared" si="16"/>
        <v/>
      </c>
      <c r="F67" s="313"/>
      <c r="G67" s="27"/>
      <c r="H67" s="26" t="str">
        <f t="shared" si="17"/>
        <v/>
      </c>
      <c r="I67" s="313"/>
      <c r="J67" s="142"/>
      <c r="N67" s="84" t="str">
        <f>母公司汇总抵销!N67</f>
        <v>E3</v>
      </c>
      <c r="O67" s="28" t="str">
        <f>母公司汇总抵销!O67</f>
        <v>以公允价值计量且其变动计入当期损益的金融负债</v>
      </c>
    </row>
    <row r="68" spans="1:15" s="23" customFormat="1">
      <c r="A68" s="308"/>
      <c r="B68" s="308"/>
      <c r="C68" s="309"/>
      <c r="D68" s="310"/>
      <c r="E68" s="311"/>
      <c r="F68" s="311"/>
      <c r="G68" s="310"/>
      <c r="H68" s="311"/>
      <c r="I68" s="311"/>
      <c r="J68" s="312" t="str">
        <f>IF(ABS((SUMIF(E62:E67,"?*",J62:J67)-SUMIF(H62:H67,"?*",J62:J67)))&lt;0.005,"","借贷不等")</f>
        <v/>
      </c>
      <c r="N68" s="84" t="str">
        <f>母公司汇总抵销!N68</f>
        <v>E4</v>
      </c>
      <c r="O68" s="28" t="str">
        <f>母公司汇总抵销!O68</f>
        <v>衍生金融负债</v>
      </c>
    </row>
    <row r="69" spans="1:15" s="23" customFormat="1">
      <c r="A69" s="1159">
        <v>10</v>
      </c>
      <c r="B69" s="1162"/>
      <c r="C69" s="1165"/>
      <c r="D69" s="17"/>
      <c r="E69" s="26" t="str">
        <f t="shared" ref="E69:E74" si="18">IF(D69=0,"",VLOOKUP(D69,$N:$O,2,0))</f>
        <v/>
      </c>
      <c r="F69" s="313"/>
      <c r="G69" s="25"/>
      <c r="H69" s="21" t="str">
        <f t="shared" ref="H69:H74" si="19">IF(G69=0,"",VLOOKUP(G69,$N:$O,2,0))</f>
        <v/>
      </c>
      <c r="I69" s="313"/>
      <c r="J69" s="142"/>
      <c r="N69" s="84" t="str">
        <f>母公司汇总抵销!N69</f>
        <v>E5</v>
      </c>
      <c r="O69" s="28" t="str">
        <f>母公司汇总抵销!O69</f>
        <v>应付票据</v>
      </c>
    </row>
    <row r="70" spans="1:15" s="23" customFormat="1">
      <c r="A70" s="1160"/>
      <c r="B70" s="1163"/>
      <c r="C70" s="1166"/>
      <c r="D70" s="17"/>
      <c r="E70" s="26" t="str">
        <f t="shared" si="18"/>
        <v/>
      </c>
      <c r="F70" s="313"/>
      <c r="G70" s="27"/>
      <c r="H70" s="26" t="str">
        <f t="shared" si="19"/>
        <v/>
      </c>
      <c r="I70" s="313"/>
      <c r="J70" s="142"/>
      <c r="N70" s="84" t="str">
        <f>母公司汇总抵销!N70</f>
        <v>E6</v>
      </c>
      <c r="O70" s="28" t="str">
        <f>母公司汇总抵销!O70</f>
        <v>应付账款</v>
      </c>
    </row>
    <row r="71" spans="1:15" s="23" customFormat="1">
      <c r="A71" s="1160"/>
      <c r="B71" s="1163"/>
      <c r="C71" s="1166"/>
      <c r="D71" s="17"/>
      <c r="E71" s="26" t="str">
        <f t="shared" si="18"/>
        <v/>
      </c>
      <c r="F71" s="313"/>
      <c r="G71" s="27"/>
      <c r="H71" s="26" t="str">
        <f t="shared" si="19"/>
        <v/>
      </c>
      <c r="I71" s="313"/>
      <c r="J71" s="142"/>
      <c r="N71" s="84" t="str">
        <f>母公司汇总抵销!N71</f>
        <v>E7</v>
      </c>
      <c r="O71" s="28" t="str">
        <f>母公司汇总抵销!O71</f>
        <v>预收款项</v>
      </c>
    </row>
    <row r="72" spans="1:15" s="23" customFormat="1">
      <c r="A72" s="1160"/>
      <c r="B72" s="1163"/>
      <c r="C72" s="1166"/>
      <c r="D72" s="17"/>
      <c r="E72" s="26" t="str">
        <f t="shared" si="18"/>
        <v/>
      </c>
      <c r="F72" s="313"/>
      <c r="G72" s="27"/>
      <c r="H72" s="26" t="str">
        <f t="shared" si="19"/>
        <v/>
      </c>
      <c r="I72" s="313"/>
      <c r="J72" s="142"/>
      <c r="N72" s="84" t="str">
        <f>母公司汇总抵销!N72</f>
        <v>E27</v>
      </c>
      <c r="O72" s="28" t="str">
        <f>母公司汇总抵销!O72</f>
        <v>卖出回购金融资产款</v>
      </c>
    </row>
    <row r="73" spans="1:15" s="23" customFormat="1">
      <c r="A73" s="1160"/>
      <c r="B73" s="1163"/>
      <c r="C73" s="1166"/>
      <c r="D73" s="17"/>
      <c r="E73" s="26" t="str">
        <f t="shared" si="18"/>
        <v/>
      </c>
      <c r="F73" s="313"/>
      <c r="G73" s="27"/>
      <c r="H73" s="26" t="str">
        <f t="shared" si="19"/>
        <v/>
      </c>
      <c r="I73" s="313"/>
      <c r="J73" s="142"/>
      <c r="N73" s="84" t="str">
        <f>母公司汇总抵销!N73</f>
        <v>E28</v>
      </c>
      <c r="O73" s="28" t="str">
        <f>母公司汇总抵销!O73</f>
        <v>应付手续费及佣金</v>
      </c>
    </row>
    <row r="74" spans="1:15" s="23" customFormat="1">
      <c r="A74" s="1161"/>
      <c r="B74" s="1164"/>
      <c r="C74" s="1167"/>
      <c r="D74" s="17"/>
      <c r="E74" s="26" t="str">
        <f t="shared" si="18"/>
        <v/>
      </c>
      <c r="F74" s="313"/>
      <c r="G74" s="27"/>
      <c r="H74" s="26" t="str">
        <f t="shared" si="19"/>
        <v/>
      </c>
      <c r="I74" s="313"/>
      <c r="J74" s="142"/>
      <c r="N74" s="84" t="str">
        <f>母公司汇总抵销!N74</f>
        <v>E8</v>
      </c>
      <c r="O74" s="28" t="str">
        <f>母公司汇总抵销!O74</f>
        <v>合同负债</v>
      </c>
    </row>
    <row r="75" spans="1:15" s="23" customFormat="1">
      <c r="A75" s="308"/>
      <c r="B75" s="308"/>
      <c r="C75" s="309"/>
      <c r="D75" s="310"/>
      <c r="E75" s="311"/>
      <c r="F75" s="311"/>
      <c r="G75" s="310"/>
      <c r="H75" s="311"/>
      <c r="I75" s="311"/>
      <c r="J75" s="312" t="str">
        <f>IF(ABS((SUMIF(E69:E74,"?*",J69:J74)-SUMIF(H69:H74,"?*",J69:J74)))&lt;0.005,"","借贷不等")</f>
        <v/>
      </c>
      <c r="N75" s="84" t="str">
        <f>母公司汇总抵销!N75</f>
        <v>E9</v>
      </c>
      <c r="O75" s="28" t="str">
        <f>母公司汇总抵销!O75</f>
        <v>应付职工薪酬</v>
      </c>
    </row>
    <row r="76" spans="1:15" s="23" customFormat="1">
      <c r="A76" s="1159">
        <v>11</v>
      </c>
      <c r="B76" s="1162"/>
      <c r="C76" s="1165"/>
      <c r="D76" s="17"/>
      <c r="E76" s="26" t="str">
        <f t="shared" ref="E76:E81" si="20">IF(D76=0,"",VLOOKUP(D76,$N:$O,2,0))</f>
        <v/>
      </c>
      <c r="F76" s="313"/>
      <c r="G76" s="25"/>
      <c r="H76" s="21" t="str">
        <f t="shared" ref="H76:H81" si="21">IF(G76=0,"",VLOOKUP(G76,$N:$O,2,0))</f>
        <v/>
      </c>
      <c r="I76" s="313"/>
      <c r="J76" s="142"/>
      <c r="N76" s="84" t="str">
        <f>母公司汇总抵销!N76</f>
        <v>E10</v>
      </c>
      <c r="O76" s="28" t="str">
        <f>母公司汇总抵销!O76</f>
        <v>应交税费</v>
      </c>
    </row>
    <row r="77" spans="1:15" s="23" customFormat="1">
      <c r="A77" s="1160"/>
      <c r="B77" s="1163"/>
      <c r="C77" s="1166"/>
      <c r="D77" s="17"/>
      <c r="E77" s="26" t="str">
        <f t="shared" si="20"/>
        <v/>
      </c>
      <c r="F77" s="313"/>
      <c r="G77" s="27"/>
      <c r="H77" s="26" t="str">
        <f t="shared" si="21"/>
        <v/>
      </c>
      <c r="I77" s="313"/>
      <c r="J77" s="142"/>
      <c r="N77" s="84" t="str">
        <f>母公司汇总抵销!N77</f>
        <v>E11</v>
      </c>
      <c r="O77" s="28" t="str">
        <f>母公司汇总抵销!O77</f>
        <v>其他应付款</v>
      </c>
    </row>
    <row r="78" spans="1:15" s="23" customFormat="1">
      <c r="A78" s="1160"/>
      <c r="B78" s="1163"/>
      <c r="C78" s="1166"/>
      <c r="D78" s="17"/>
      <c r="E78" s="26" t="str">
        <f t="shared" si="20"/>
        <v/>
      </c>
      <c r="F78" s="313"/>
      <c r="G78" s="27"/>
      <c r="H78" s="26" t="str">
        <f t="shared" si="21"/>
        <v/>
      </c>
      <c r="I78" s="313"/>
      <c r="J78" s="142"/>
      <c r="N78" s="84">
        <f>母公司汇总抵销!N78</f>
        <v>0</v>
      </c>
      <c r="O78" s="28" t="str">
        <f>母公司汇总抵销!O78</f>
        <v>应付利息</v>
      </c>
    </row>
    <row r="79" spans="1:15" s="23" customFormat="1">
      <c r="A79" s="1160"/>
      <c r="B79" s="1163"/>
      <c r="C79" s="1166"/>
      <c r="D79" s="17"/>
      <c r="E79" s="26" t="str">
        <f t="shared" si="20"/>
        <v/>
      </c>
      <c r="F79" s="313"/>
      <c r="G79" s="27"/>
      <c r="H79" s="26" t="str">
        <f t="shared" si="21"/>
        <v/>
      </c>
      <c r="I79" s="313"/>
      <c r="J79" s="142"/>
      <c r="N79" s="84">
        <f>母公司汇总抵销!N79</f>
        <v>0</v>
      </c>
      <c r="O79" s="28" t="str">
        <f>母公司汇总抵销!O79</f>
        <v>应付股利</v>
      </c>
    </row>
    <row r="80" spans="1:15" s="23" customFormat="1">
      <c r="A80" s="1160"/>
      <c r="B80" s="1163"/>
      <c r="C80" s="1166"/>
      <c r="D80" s="17"/>
      <c r="E80" s="26" t="str">
        <f t="shared" si="20"/>
        <v/>
      </c>
      <c r="F80" s="313"/>
      <c r="G80" s="27"/>
      <c r="H80" s="26" t="str">
        <f t="shared" si="21"/>
        <v/>
      </c>
      <c r="I80" s="313"/>
      <c r="J80" s="142"/>
      <c r="N80" s="84" t="str">
        <f>母公司汇总抵销!N80</f>
        <v>E29</v>
      </c>
      <c r="O80" s="28" t="str">
        <f>母公司汇总抵销!O80</f>
        <v>应付分保账款</v>
      </c>
    </row>
    <row r="81" spans="1:15" s="23" customFormat="1">
      <c r="A81" s="1161"/>
      <c r="B81" s="1164"/>
      <c r="C81" s="1167"/>
      <c r="D81" s="17"/>
      <c r="E81" s="26" t="str">
        <f t="shared" si="20"/>
        <v/>
      </c>
      <c r="F81" s="313"/>
      <c r="G81" s="27"/>
      <c r="H81" s="26" t="str">
        <f t="shared" si="21"/>
        <v/>
      </c>
      <c r="I81" s="313"/>
      <c r="J81" s="142"/>
      <c r="N81" s="84" t="str">
        <f>母公司汇总抵销!N81</f>
        <v>E30</v>
      </c>
      <c r="O81" s="28" t="str">
        <f>母公司汇总抵销!O81</f>
        <v>保险合同准备金</v>
      </c>
    </row>
    <row r="82" spans="1:15" s="23" customFormat="1">
      <c r="A82" s="308"/>
      <c r="B82" s="308"/>
      <c r="C82" s="309"/>
      <c r="D82" s="310"/>
      <c r="E82" s="311"/>
      <c r="F82" s="311"/>
      <c r="G82" s="310"/>
      <c r="H82" s="311"/>
      <c r="I82" s="311"/>
      <c r="J82" s="312" t="str">
        <f>IF(ABS((SUMIF(E76:E81,"?*",J76:J81)-SUMIF(H76:H81,"?*",J76:J81)))&lt;0.005,"","借贷不等")</f>
        <v/>
      </c>
      <c r="N82" s="84" t="str">
        <f>母公司汇总抵销!N82</f>
        <v>E31</v>
      </c>
      <c r="O82" s="28" t="str">
        <f>母公司汇总抵销!O82</f>
        <v>代理买卖证券款</v>
      </c>
    </row>
    <row r="83" spans="1:15" s="23" customFormat="1">
      <c r="A83" s="1159">
        <v>12</v>
      </c>
      <c r="B83" s="1162"/>
      <c r="C83" s="1165"/>
      <c r="D83" s="17"/>
      <c r="E83" s="26" t="str">
        <f t="shared" ref="E83:E88" si="22">IF(D83=0,"",VLOOKUP(D83,$N:$O,2,0))</f>
        <v/>
      </c>
      <c r="F83" s="313"/>
      <c r="G83" s="25"/>
      <c r="H83" s="21" t="str">
        <f t="shared" ref="H83:H88" si="23">IF(G83=0,"",VLOOKUP(G83,$N:$O,2,0))</f>
        <v/>
      </c>
      <c r="I83" s="313"/>
      <c r="J83" s="142"/>
      <c r="N83" s="84" t="str">
        <f>母公司汇总抵销!N83</f>
        <v>E32</v>
      </c>
      <c r="O83" s="28" t="str">
        <f>母公司汇总抵销!O83</f>
        <v>代理承销证券款</v>
      </c>
    </row>
    <row r="84" spans="1:15" s="23" customFormat="1">
      <c r="A84" s="1160"/>
      <c r="B84" s="1163"/>
      <c r="C84" s="1166"/>
      <c r="D84" s="17"/>
      <c r="E84" s="26" t="str">
        <f t="shared" si="22"/>
        <v/>
      </c>
      <c r="F84" s="313"/>
      <c r="G84" s="27"/>
      <c r="H84" s="26" t="str">
        <f t="shared" si="23"/>
        <v/>
      </c>
      <c r="I84" s="313"/>
      <c r="J84" s="142"/>
      <c r="N84" s="84" t="str">
        <f>母公司汇总抵销!N84</f>
        <v>E12</v>
      </c>
      <c r="O84" s="28" t="str">
        <f>母公司汇总抵销!O84</f>
        <v>持有待售负债</v>
      </c>
    </row>
    <row r="85" spans="1:15" s="23" customFormat="1">
      <c r="A85" s="1160"/>
      <c r="B85" s="1163"/>
      <c r="C85" s="1166"/>
      <c r="D85" s="17"/>
      <c r="E85" s="26" t="str">
        <f t="shared" si="22"/>
        <v/>
      </c>
      <c r="F85" s="313"/>
      <c r="G85" s="27"/>
      <c r="H85" s="26" t="str">
        <f t="shared" si="23"/>
        <v/>
      </c>
      <c r="I85" s="313"/>
      <c r="J85" s="142"/>
      <c r="N85" s="84" t="str">
        <f>母公司汇总抵销!N85</f>
        <v>E13</v>
      </c>
      <c r="O85" s="28" t="str">
        <f>母公司汇总抵销!O85</f>
        <v>一年内到期的非流动负债</v>
      </c>
    </row>
    <row r="86" spans="1:15" s="23" customFormat="1">
      <c r="A86" s="1160"/>
      <c r="B86" s="1163"/>
      <c r="C86" s="1166"/>
      <c r="D86" s="17"/>
      <c r="E86" s="26" t="str">
        <f t="shared" si="22"/>
        <v/>
      </c>
      <c r="F86" s="313"/>
      <c r="G86" s="27"/>
      <c r="H86" s="26" t="str">
        <f t="shared" si="23"/>
        <v/>
      </c>
      <c r="I86" s="313"/>
      <c r="J86" s="142"/>
      <c r="N86" s="84" t="str">
        <f>母公司汇总抵销!N86</f>
        <v>E14</v>
      </c>
      <c r="O86" s="28" t="str">
        <f>母公司汇总抵销!O86</f>
        <v>其他流动负债</v>
      </c>
    </row>
    <row r="87" spans="1:15" s="23" customFormat="1">
      <c r="A87" s="1160"/>
      <c r="B87" s="1163"/>
      <c r="C87" s="1166"/>
      <c r="D87" s="17"/>
      <c r="E87" s="26" t="str">
        <f t="shared" si="22"/>
        <v/>
      </c>
      <c r="F87" s="313"/>
      <c r="G87" s="27"/>
      <c r="H87" s="26" t="str">
        <f t="shared" si="23"/>
        <v/>
      </c>
      <c r="I87" s="313"/>
      <c r="J87" s="142"/>
      <c r="N87" s="84">
        <f>母公司汇总抵销!N87</f>
        <v>0</v>
      </c>
      <c r="O87" s="859" t="str">
        <f>母公司汇总抵销!O87</f>
        <v>流动负债合计</v>
      </c>
    </row>
    <row r="88" spans="1:15" s="23" customFormat="1">
      <c r="A88" s="1161"/>
      <c r="B88" s="1164"/>
      <c r="C88" s="1167"/>
      <c r="D88" s="17"/>
      <c r="E88" s="26" t="str">
        <f t="shared" si="22"/>
        <v/>
      </c>
      <c r="F88" s="313"/>
      <c r="G88" s="27"/>
      <c r="H88" s="26" t="str">
        <f t="shared" si="23"/>
        <v/>
      </c>
      <c r="I88" s="313"/>
      <c r="J88" s="142"/>
      <c r="N88" s="84">
        <f>母公司汇总抵销!N88</f>
        <v>0</v>
      </c>
      <c r="O88" s="783" t="str">
        <f>母公司汇总抵销!O88</f>
        <v>非流动负债:</v>
      </c>
    </row>
    <row r="89" spans="1:15" s="23" customFormat="1">
      <c r="A89" s="308"/>
      <c r="B89" s="308"/>
      <c r="C89" s="309"/>
      <c r="D89" s="310"/>
      <c r="E89" s="311"/>
      <c r="F89" s="311"/>
      <c r="G89" s="310"/>
      <c r="H89" s="311"/>
      <c r="I89" s="311"/>
      <c r="J89" s="312" t="str">
        <f>IF(ABS((SUMIF(E83:E88,"?*",J83:J88)-SUMIF(H83:H88,"?*",J83:J88)))&lt;0.005,"","借贷不等")</f>
        <v/>
      </c>
      <c r="N89" s="84" t="str">
        <f>母公司汇总抵销!N89</f>
        <v>E15</v>
      </c>
      <c r="O89" s="28" t="str">
        <f>母公司汇总抵销!O89</f>
        <v>长期借款</v>
      </c>
    </row>
    <row r="90" spans="1:15" s="23" customFormat="1">
      <c r="A90" s="1159">
        <v>13</v>
      </c>
      <c r="B90" s="1162"/>
      <c r="C90" s="1165"/>
      <c r="D90" s="17"/>
      <c r="E90" s="26" t="str">
        <f t="shared" ref="E90:E95" si="24">IF(D90=0,"",VLOOKUP(D90,$N:$O,2,0))</f>
        <v/>
      </c>
      <c r="F90" s="313"/>
      <c r="G90" s="25"/>
      <c r="H90" s="21" t="str">
        <f t="shared" ref="H90:H95" si="25">IF(G90=0,"",VLOOKUP(G90,$N:$O,2,0))</f>
        <v/>
      </c>
      <c r="I90" s="313"/>
      <c r="J90" s="142"/>
      <c r="N90" s="84" t="str">
        <f>母公司汇总抵销!N90</f>
        <v>E16</v>
      </c>
      <c r="O90" s="28" t="str">
        <f>母公司汇总抵销!O90</f>
        <v>应付债券</v>
      </c>
    </row>
    <row r="91" spans="1:15" s="23" customFormat="1">
      <c r="A91" s="1160"/>
      <c r="B91" s="1163"/>
      <c r="C91" s="1166"/>
      <c r="D91" s="17"/>
      <c r="E91" s="26" t="str">
        <f t="shared" si="24"/>
        <v/>
      </c>
      <c r="F91" s="313"/>
      <c r="G91" s="27"/>
      <c r="H91" s="26" t="str">
        <f t="shared" si="25"/>
        <v/>
      </c>
      <c r="I91" s="313"/>
      <c r="J91" s="142"/>
      <c r="N91" s="84">
        <f>母公司汇总抵销!N91</f>
        <v>0</v>
      </c>
      <c r="O91" s="28" t="str">
        <f>母公司汇总抵销!O91</f>
        <v>优先股</v>
      </c>
    </row>
    <row r="92" spans="1:15" s="23" customFormat="1">
      <c r="A92" s="1160"/>
      <c r="B92" s="1163"/>
      <c r="C92" s="1166"/>
      <c r="D92" s="17"/>
      <c r="E92" s="26" t="str">
        <f t="shared" si="24"/>
        <v/>
      </c>
      <c r="F92" s="313"/>
      <c r="G92" s="27"/>
      <c r="H92" s="26" t="str">
        <f t="shared" si="25"/>
        <v/>
      </c>
      <c r="I92" s="313"/>
      <c r="J92" s="142"/>
      <c r="N92" s="84">
        <f>母公司汇总抵销!N92</f>
        <v>0</v>
      </c>
      <c r="O92" s="28" t="str">
        <f>母公司汇总抵销!O92</f>
        <v>永续债</v>
      </c>
    </row>
    <row r="93" spans="1:15" s="23" customFormat="1">
      <c r="A93" s="1160"/>
      <c r="B93" s="1163"/>
      <c r="C93" s="1166"/>
      <c r="D93" s="17"/>
      <c r="E93" s="26" t="str">
        <f t="shared" si="24"/>
        <v/>
      </c>
      <c r="F93" s="313"/>
      <c r="G93" s="27"/>
      <c r="H93" s="26" t="str">
        <f t="shared" si="25"/>
        <v/>
      </c>
      <c r="I93" s="313"/>
      <c r="J93" s="142"/>
      <c r="N93" s="84" t="str">
        <f>母公司汇总抵销!N93</f>
        <v>E17</v>
      </c>
      <c r="O93" s="28" t="str">
        <f>母公司汇总抵销!O93</f>
        <v>租赁负债</v>
      </c>
    </row>
    <row r="94" spans="1:15" s="23" customFormat="1">
      <c r="A94" s="1160"/>
      <c r="B94" s="1163"/>
      <c r="C94" s="1166"/>
      <c r="D94" s="17"/>
      <c r="E94" s="26" t="str">
        <f t="shared" si="24"/>
        <v/>
      </c>
      <c r="F94" s="313"/>
      <c r="G94" s="27"/>
      <c r="H94" s="26" t="str">
        <f t="shared" si="25"/>
        <v/>
      </c>
      <c r="I94" s="313"/>
      <c r="J94" s="142"/>
      <c r="N94" s="84" t="str">
        <f>母公司汇总抵销!N94</f>
        <v>E18</v>
      </c>
      <c r="O94" s="28" t="str">
        <f>母公司汇总抵销!O94</f>
        <v>长期应付款</v>
      </c>
    </row>
    <row r="95" spans="1:15" s="23" customFormat="1">
      <c r="A95" s="1161"/>
      <c r="B95" s="1164"/>
      <c r="C95" s="1167"/>
      <c r="D95" s="17"/>
      <c r="E95" s="26" t="str">
        <f t="shared" si="24"/>
        <v/>
      </c>
      <c r="F95" s="313"/>
      <c r="G95" s="27"/>
      <c r="H95" s="26" t="str">
        <f t="shared" si="25"/>
        <v/>
      </c>
      <c r="I95" s="313"/>
      <c r="J95" s="142"/>
      <c r="N95" s="84" t="str">
        <f>母公司汇总抵销!N95</f>
        <v>E19</v>
      </c>
      <c r="O95" s="28" t="str">
        <f>母公司汇总抵销!O95</f>
        <v>长期应付职工薪酬</v>
      </c>
    </row>
    <row r="96" spans="1:15" s="23" customFormat="1">
      <c r="A96" s="308"/>
      <c r="B96" s="308"/>
      <c r="C96" s="309"/>
      <c r="D96" s="310"/>
      <c r="E96" s="311"/>
      <c r="F96" s="311"/>
      <c r="G96" s="310"/>
      <c r="H96" s="311"/>
      <c r="I96" s="311"/>
      <c r="J96" s="312" t="str">
        <f>IF(ABS((SUMIF(E90:E95,"?*",J90:J95)-SUMIF(H90:H95,"?*",J90:J95)))&lt;0.005,"","借贷不等")</f>
        <v/>
      </c>
      <c r="N96" s="84" t="str">
        <f>母公司汇总抵销!N96</f>
        <v>E20</v>
      </c>
      <c r="O96" s="28" t="str">
        <f>母公司汇总抵销!O96</f>
        <v>预计负债</v>
      </c>
    </row>
    <row r="97" spans="1:15" s="23" customFormat="1">
      <c r="A97" s="1159">
        <v>14</v>
      </c>
      <c r="B97" s="1162"/>
      <c r="C97" s="1165"/>
      <c r="D97" s="17"/>
      <c r="E97" s="26" t="str">
        <f t="shared" ref="E97:E102" si="26">IF(D97=0,"",VLOOKUP(D97,$N:$O,2,0))</f>
        <v/>
      </c>
      <c r="F97" s="313"/>
      <c r="G97" s="25"/>
      <c r="H97" s="21" t="str">
        <f t="shared" ref="H97:H102" si="27">IF(G97=0,"",VLOOKUP(G97,$N:$O,2,0))</f>
        <v/>
      </c>
      <c r="I97" s="313"/>
      <c r="J97" s="142"/>
      <c r="N97" s="84" t="str">
        <f>母公司汇总抵销!N97</f>
        <v>E21</v>
      </c>
      <c r="O97" s="28" t="str">
        <f>母公司汇总抵销!O97</f>
        <v>递延收益</v>
      </c>
    </row>
    <row r="98" spans="1:15" s="23" customFormat="1">
      <c r="A98" s="1160"/>
      <c r="B98" s="1163"/>
      <c r="C98" s="1166"/>
      <c r="D98" s="17"/>
      <c r="E98" s="26" t="str">
        <f t="shared" si="26"/>
        <v/>
      </c>
      <c r="F98" s="313"/>
      <c r="G98" s="27"/>
      <c r="H98" s="26" t="str">
        <f t="shared" si="27"/>
        <v/>
      </c>
      <c r="I98" s="313"/>
      <c r="J98" s="142"/>
      <c r="N98" s="84" t="str">
        <f>母公司汇总抵销!N98</f>
        <v>E22</v>
      </c>
      <c r="O98" s="28" t="str">
        <f>母公司汇总抵销!O98</f>
        <v>递延所得税负债</v>
      </c>
    </row>
    <row r="99" spans="1:15" s="23" customFormat="1">
      <c r="A99" s="1160"/>
      <c r="B99" s="1163"/>
      <c r="C99" s="1166"/>
      <c r="D99" s="17"/>
      <c r="E99" s="26" t="str">
        <f t="shared" si="26"/>
        <v/>
      </c>
      <c r="F99" s="313"/>
      <c r="G99" s="27"/>
      <c r="H99" s="26" t="str">
        <f t="shared" si="27"/>
        <v/>
      </c>
      <c r="I99" s="313"/>
      <c r="J99" s="142"/>
      <c r="N99" s="84" t="str">
        <f>母公司汇总抵销!N99</f>
        <v>E23</v>
      </c>
      <c r="O99" s="28" t="str">
        <f>母公司汇总抵销!O99</f>
        <v>其他非流动负债</v>
      </c>
    </row>
    <row r="100" spans="1:15" s="23" customFormat="1">
      <c r="A100" s="1160"/>
      <c r="B100" s="1163"/>
      <c r="C100" s="1166"/>
      <c r="D100" s="17"/>
      <c r="E100" s="26" t="str">
        <f t="shared" si="26"/>
        <v/>
      </c>
      <c r="F100" s="313"/>
      <c r="G100" s="27"/>
      <c r="H100" s="26" t="str">
        <f t="shared" si="27"/>
        <v/>
      </c>
      <c r="I100" s="313"/>
      <c r="J100" s="142"/>
      <c r="N100" s="84">
        <f>母公司汇总抵销!N100</f>
        <v>0</v>
      </c>
      <c r="O100" s="859" t="str">
        <f>母公司汇总抵销!O100</f>
        <v>非流动负债合计</v>
      </c>
    </row>
    <row r="101" spans="1:15" s="23" customFormat="1">
      <c r="A101" s="1160"/>
      <c r="B101" s="1163"/>
      <c r="C101" s="1166"/>
      <c r="D101" s="17"/>
      <c r="E101" s="26" t="str">
        <f t="shared" si="26"/>
        <v/>
      </c>
      <c r="F101" s="313"/>
      <c r="G101" s="27"/>
      <c r="H101" s="26" t="str">
        <f t="shared" si="27"/>
        <v/>
      </c>
      <c r="I101" s="313"/>
      <c r="J101" s="142"/>
      <c r="N101" s="84">
        <f>母公司汇总抵销!N101</f>
        <v>0</v>
      </c>
      <c r="O101" s="859" t="str">
        <f>母公司汇总抵销!O101</f>
        <v>负 债 合 计</v>
      </c>
    </row>
    <row r="102" spans="1:15" s="23" customFormat="1">
      <c r="A102" s="1161"/>
      <c r="B102" s="1164"/>
      <c r="C102" s="1167"/>
      <c r="D102" s="17"/>
      <c r="E102" s="26" t="str">
        <f t="shared" si="26"/>
        <v/>
      </c>
      <c r="F102" s="313"/>
      <c r="G102" s="27"/>
      <c r="H102" s="26" t="str">
        <f t="shared" si="27"/>
        <v/>
      </c>
      <c r="I102" s="313"/>
      <c r="J102" s="142"/>
      <c r="N102" s="84">
        <f>母公司汇总抵销!N102</f>
        <v>0</v>
      </c>
      <c r="O102" s="783" t="str">
        <f>母公司汇总抵销!O102</f>
        <v>股东权益：</v>
      </c>
    </row>
    <row r="103" spans="1:15" s="23" customFormat="1">
      <c r="A103" s="308"/>
      <c r="B103" s="308"/>
      <c r="C103" s="309"/>
      <c r="D103" s="310"/>
      <c r="E103" s="311"/>
      <c r="F103" s="311"/>
      <c r="G103" s="310"/>
      <c r="H103" s="311"/>
      <c r="I103" s="311"/>
      <c r="J103" s="312" t="str">
        <f>IF(ABS((SUMIF(E97:E102,"?*",J97:J102)-SUMIF(H97:H102,"?*",J97:J102)))&lt;0.005,"","借贷不等")</f>
        <v/>
      </c>
      <c r="N103" s="84" t="str">
        <f>母公司汇总抵销!N103</f>
        <v>F1</v>
      </c>
      <c r="O103" s="28" t="str">
        <f>母公司汇总抵销!O103</f>
        <v>股本</v>
      </c>
    </row>
    <row r="104" spans="1:15" s="23" customFormat="1">
      <c r="A104" s="1159">
        <v>15</v>
      </c>
      <c r="B104" s="1162"/>
      <c r="C104" s="1165"/>
      <c r="D104" s="17"/>
      <c r="E104" s="26" t="str">
        <f t="shared" ref="E104:E109" si="28">IF(D104=0,"",VLOOKUP(D104,$N:$O,2,0))</f>
        <v/>
      </c>
      <c r="F104" s="313"/>
      <c r="G104" s="25"/>
      <c r="H104" s="21" t="str">
        <f t="shared" ref="H104:H109" si="29">IF(G104=0,"",VLOOKUP(G104,$N:$O,2,0))</f>
        <v/>
      </c>
      <c r="I104" s="313"/>
      <c r="J104" s="142"/>
      <c r="N104" s="84" t="str">
        <f>母公司汇总抵销!N104</f>
        <v>F2</v>
      </c>
      <c r="O104" s="28" t="str">
        <f>母公司汇总抵销!O104</f>
        <v>其他权益工具</v>
      </c>
    </row>
    <row r="105" spans="1:15" s="23" customFormat="1">
      <c r="A105" s="1160"/>
      <c r="B105" s="1163"/>
      <c r="C105" s="1166"/>
      <c r="D105" s="17"/>
      <c r="E105" s="26" t="str">
        <f t="shared" si="28"/>
        <v/>
      </c>
      <c r="F105" s="313"/>
      <c r="G105" s="27"/>
      <c r="H105" s="26" t="str">
        <f t="shared" si="29"/>
        <v/>
      </c>
      <c r="I105" s="313"/>
      <c r="J105" s="142"/>
      <c r="N105" s="84">
        <f>母公司汇总抵销!N105</f>
        <v>0</v>
      </c>
      <c r="O105" s="28" t="str">
        <f>母公司汇总抵销!O105</f>
        <v>优先股</v>
      </c>
    </row>
    <row r="106" spans="1:15" s="23" customFormat="1">
      <c r="A106" s="1160"/>
      <c r="B106" s="1163"/>
      <c r="C106" s="1166"/>
      <c r="D106" s="17"/>
      <c r="E106" s="26" t="str">
        <f t="shared" si="28"/>
        <v/>
      </c>
      <c r="F106" s="313"/>
      <c r="G106" s="27"/>
      <c r="H106" s="26" t="str">
        <f t="shared" si="29"/>
        <v/>
      </c>
      <c r="I106" s="313"/>
      <c r="J106" s="142"/>
      <c r="N106" s="84">
        <f>母公司汇总抵销!N106</f>
        <v>0</v>
      </c>
      <c r="O106" s="28" t="str">
        <f>母公司汇总抵销!O106</f>
        <v>永续债</v>
      </c>
    </row>
    <row r="107" spans="1:15" s="23" customFormat="1">
      <c r="A107" s="1160"/>
      <c r="B107" s="1163"/>
      <c r="C107" s="1166"/>
      <c r="D107" s="17"/>
      <c r="E107" s="26" t="str">
        <f t="shared" si="28"/>
        <v/>
      </c>
      <c r="F107" s="313"/>
      <c r="G107" s="27"/>
      <c r="H107" s="26" t="str">
        <f t="shared" si="29"/>
        <v/>
      </c>
      <c r="I107" s="313"/>
      <c r="J107" s="142"/>
      <c r="N107" s="84" t="str">
        <f>母公司汇总抵销!N107</f>
        <v>F3</v>
      </c>
      <c r="O107" s="28" t="str">
        <f>母公司汇总抵销!O107</f>
        <v>资本公积</v>
      </c>
    </row>
    <row r="108" spans="1:15" s="23" customFormat="1">
      <c r="A108" s="1160"/>
      <c r="B108" s="1163"/>
      <c r="C108" s="1166"/>
      <c r="D108" s="17"/>
      <c r="E108" s="26" t="str">
        <f t="shared" si="28"/>
        <v/>
      </c>
      <c r="F108" s="313"/>
      <c r="G108" s="27"/>
      <c r="H108" s="26" t="str">
        <f t="shared" si="29"/>
        <v/>
      </c>
      <c r="I108" s="313"/>
      <c r="J108" s="142"/>
      <c r="N108" s="84" t="str">
        <f>母公司汇总抵销!N108</f>
        <v>F4</v>
      </c>
      <c r="O108" s="28" t="str">
        <f>母公司汇总抵销!O108</f>
        <v>库存股</v>
      </c>
    </row>
    <row r="109" spans="1:15" s="23" customFormat="1">
      <c r="A109" s="1161"/>
      <c r="B109" s="1164"/>
      <c r="C109" s="1167"/>
      <c r="D109" s="17"/>
      <c r="E109" s="26" t="str">
        <f t="shared" si="28"/>
        <v/>
      </c>
      <c r="F109" s="313"/>
      <c r="G109" s="27"/>
      <c r="H109" s="26" t="str">
        <f t="shared" si="29"/>
        <v/>
      </c>
      <c r="I109" s="313"/>
      <c r="J109" s="142"/>
      <c r="N109" s="84" t="str">
        <f>母公司汇总抵销!N109</f>
        <v>F5</v>
      </c>
      <c r="O109" s="28" t="str">
        <f>母公司汇总抵销!O109</f>
        <v>其他综合收益</v>
      </c>
    </row>
    <row r="110" spans="1:15" s="23" customFormat="1">
      <c r="A110" s="308"/>
      <c r="B110" s="308"/>
      <c r="C110" s="309"/>
      <c r="D110" s="310"/>
      <c r="E110" s="311"/>
      <c r="F110" s="311"/>
      <c r="G110" s="310"/>
      <c r="H110" s="311"/>
      <c r="I110" s="311"/>
      <c r="J110" s="312" t="str">
        <f>IF(ABS((SUMIF(E104:E109,"?*",J104:J109)-SUMIF(H104:H109,"?*",J104:J109)))&lt;0.005,"","借贷不等")</f>
        <v/>
      </c>
      <c r="N110" s="84" t="str">
        <f>母公司汇总抵销!N110</f>
        <v>F6</v>
      </c>
      <c r="O110" s="28" t="str">
        <f>母公司汇总抵销!O110</f>
        <v>专项储备</v>
      </c>
    </row>
    <row r="111" spans="1:15" s="23" customFormat="1">
      <c r="A111" s="1159">
        <v>16</v>
      </c>
      <c r="B111" s="1162"/>
      <c r="C111" s="1165"/>
      <c r="D111" s="17"/>
      <c r="E111" s="26" t="str">
        <f t="shared" ref="E111:E116" si="30">IF(D111=0,"",VLOOKUP(D111,$N:$O,2,0))</f>
        <v/>
      </c>
      <c r="F111" s="313"/>
      <c r="G111" s="25"/>
      <c r="H111" s="21" t="str">
        <f t="shared" ref="H111:H116" si="31">IF(G111=0,"",VLOOKUP(G111,$N:$O,2,0))</f>
        <v/>
      </c>
      <c r="I111" s="313"/>
      <c r="J111" s="142"/>
      <c r="N111" s="84" t="str">
        <f>母公司汇总抵销!N111</f>
        <v>F7</v>
      </c>
      <c r="O111" s="28" t="str">
        <f>母公司汇总抵销!O111</f>
        <v>盈余公积</v>
      </c>
    </row>
    <row r="112" spans="1:15" s="23" customFormat="1">
      <c r="A112" s="1160"/>
      <c r="B112" s="1163"/>
      <c r="C112" s="1166"/>
      <c r="D112" s="17"/>
      <c r="E112" s="26" t="str">
        <f t="shared" si="30"/>
        <v/>
      </c>
      <c r="F112" s="313"/>
      <c r="G112" s="27"/>
      <c r="H112" s="26" t="str">
        <f t="shared" si="31"/>
        <v/>
      </c>
      <c r="I112" s="313"/>
      <c r="J112" s="142"/>
      <c r="N112" s="84" t="str">
        <f>母公司汇总抵销!N112</f>
        <v>F10</v>
      </c>
      <c r="O112" s="28" t="str">
        <f>母公司汇总抵销!O112</f>
        <v>一般风险准备</v>
      </c>
    </row>
    <row r="113" spans="1:15" s="23" customFormat="1">
      <c r="A113" s="1160"/>
      <c r="B113" s="1163"/>
      <c r="C113" s="1166"/>
      <c r="D113" s="17"/>
      <c r="E113" s="26" t="str">
        <f t="shared" si="30"/>
        <v/>
      </c>
      <c r="F113" s="313"/>
      <c r="G113" s="27"/>
      <c r="H113" s="26" t="str">
        <f t="shared" si="31"/>
        <v/>
      </c>
      <c r="I113" s="313"/>
      <c r="J113" s="142"/>
      <c r="N113" s="84" t="str">
        <f>母公司汇总抵销!N113</f>
        <v>F8</v>
      </c>
      <c r="O113" s="28" t="str">
        <f>母公司汇总抵销!O113</f>
        <v>未分配利润</v>
      </c>
    </row>
    <row r="114" spans="1:15" s="23" customFormat="1">
      <c r="A114" s="1160"/>
      <c r="B114" s="1163"/>
      <c r="C114" s="1166"/>
      <c r="D114" s="17"/>
      <c r="E114" s="26" t="str">
        <f t="shared" si="30"/>
        <v/>
      </c>
      <c r="F114" s="313"/>
      <c r="G114" s="27"/>
      <c r="H114" s="26" t="str">
        <f t="shared" si="31"/>
        <v/>
      </c>
      <c r="I114" s="313"/>
      <c r="J114" s="142"/>
      <c r="N114" s="84">
        <f>母公司汇总抵销!N114</f>
        <v>0</v>
      </c>
      <c r="O114" s="28" t="str">
        <f>母公司汇总抵销!O114</f>
        <v>归属于母公司股东权益合计</v>
      </c>
    </row>
    <row r="115" spans="1:15" s="23" customFormat="1">
      <c r="A115" s="1160"/>
      <c r="B115" s="1163"/>
      <c r="C115" s="1166"/>
      <c r="D115" s="17"/>
      <c r="E115" s="26" t="str">
        <f t="shared" si="30"/>
        <v/>
      </c>
      <c r="F115" s="313"/>
      <c r="G115" s="27"/>
      <c r="H115" s="26" t="str">
        <f t="shared" si="31"/>
        <v/>
      </c>
      <c r="I115" s="313"/>
      <c r="J115" s="142"/>
      <c r="N115" s="84" t="str">
        <f>母公司汇总抵销!N115</f>
        <v>F9</v>
      </c>
      <c r="O115" s="28" t="str">
        <f>母公司汇总抵销!O115</f>
        <v>少数股东权益</v>
      </c>
    </row>
    <row r="116" spans="1:15" s="23" customFormat="1">
      <c r="A116" s="1161"/>
      <c r="B116" s="1164"/>
      <c r="C116" s="1167"/>
      <c r="D116" s="17"/>
      <c r="E116" s="26" t="str">
        <f t="shared" si="30"/>
        <v/>
      </c>
      <c r="F116" s="313"/>
      <c r="G116" s="27"/>
      <c r="H116" s="26" t="str">
        <f t="shared" si="31"/>
        <v/>
      </c>
      <c r="I116" s="313"/>
      <c r="J116" s="142"/>
      <c r="N116" s="84">
        <f>母公司汇总抵销!N116</f>
        <v>0</v>
      </c>
      <c r="O116" s="859" t="str">
        <f>母公司汇总抵销!O116</f>
        <v>股东权益合计</v>
      </c>
    </row>
    <row r="117" spans="1:15" s="23" customFormat="1">
      <c r="A117" s="308"/>
      <c r="B117" s="308"/>
      <c r="C117" s="309"/>
      <c r="D117" s="310"/>
      <c r="E117" s="311"/>
      <c r="F117" s="311"/>
      <c r="G117" s="310"/>
      <c r="H117" s="311"/>
      <c r="I117" s="311"/>
      <c r="J117" s="312" t="str">
        <f>IF(ABS((SUMIF(E111:E116,"?*",J111:J116)-SUMIF(H111:H116,"?*",J111:J116)))&lt;0.005,"","借贷不等")</f>
        <v/>
      </c>
      <c r="N117" s="84">
        <f>母公司汇总抵销!N117</f>
        <v>0</v>
      </c>
      <c r="O117" s="859" t="str">
        <f>母公司汇总抵销!O117</f>
        <v>负债和股东权益合计</v>
      </c>
    </row>
    <row r="118" spans="1:15" s="23" customFormat="1">
      <c r="A118" s="1159">
        <v>17</v>
      </c>
      <c r="B118" s="1162"/>
      <c r="C118" s="1165"/>
      <c r="D118" s="17"/>
      <c r="E118" s="26" t="str">
        <f t="shared" ref="E118:E123" si="32">IF(D118=0,"",VLOOKUP(D118,$N:$O,2,0))</f>
        <v/>
      </c>
      <c r="F118" s="313"/>
      <c r="G118" s="25"/>
      <c r="H118" s="21" t="str">
        <f t="shared" ref="H118:H123" si="33">IF(G118=0,"",VLOOKUP(G118,$N:$O,2,0))</f>
        <v/>
      </c>
      <c r="I118" s="313"/>
      <c r="J118" s="142"/>
      <c r="N118" s="84">
        <f>母公司汇总抵销!N118</f>
        <v>0</v>
      </c>
      <c r="O118" s="28" t="str">
        <f>母公司汇总抵销!O118</f>
        <v>0</v>
      </c>
    </row>
    <row r="119" spans="1:15" s="23" customFormat="1">
      <c r="A119" s="1160"/>
      <c r="B119" s="1163"/>
      <c r="C119" s="1166"/>
      <c r="D119" s="17"/>
      <c r="E119" s="26" t="str">
        <f t="shared" si="32"/>
        <v/>
      </c>
      <c r="F119" s="313"/>
      <c r="G119" s="27"/>
      <c r="H119" s="26" t="str">
        <f t="shared" si="33"/>
        <v/>
      </c>
      <c r="I119" s="313"/>
      <c r="J119" s="142"/>
      <c r="N119" s="84">
        <f>母公司汇总抵销!N119</f>
        <v>0</v>
      </c>
      <c r="O119" s="28" t="str">
        <f>母公司汇总抵销!O119</f>
        <v>0</v>
      </c>
    </row>
    <row r="120" spans="1:15" s="23" customFormat="1">
      <c r="A120" s="1160"/>
      <c r="B120" s="1163"/>
      <c r="C120" s="1166"/>
      <c r="D120" s="17"/>
      <c r="E120" s="26" t="str">
        <f t="shared" si="32"/>
        <v/>
      </c>
      <c r="F120" s="313"/>
      <c r="G120" s="27"/>
      <c r="H120" s="26" t="str">
        <f t="shared" si="33"/>
        <v/>
      </c>
      <c r="I120" s="313"/>
      <c r="J120" s="142"/>
      <c r="N120" s="84">
        <f>母公司汇总抵销!N120</f>
        <v>0</v>
      </c>
      <c r="O120" s="28" t="str">
        <f>母公司汇总抵销!O120</f>
        <v/>
      </c>
    </row>
    <row r="121" spans="1:15" s="23" customFormat="1">
      <c r="A121" s="1160"/>
      <c r="B121" s="1163"/>
      <c r="C121" s="1166"/>
      <c r="D121" s="17"/>
      <c r="E121" s="26" t="str">
        <f t="shared" si="32"/>
        <v/>
      </c>
      <c r="F121" s="313"/>
      <c r="G121" s="27"/>
      <c r="H121" s="26" t="str">
        <f t="shared" si="33"/>
        <v/>
      </c>
      <c r="I121" s="313"/>
      <c r="J121" s="142"/>
      <c r="N121" s="84" t="str">
        <f>母公司汇总抵销!N121</f>
        <v>G1</v>
      </c>
      <c r="O121" s="782" t="str">
        <f>母公司汇总抵销!O121</f>
        <v>营业收入</v>
      </c>
    </row>
    <row r="122" spans="1:15" s="23" customFormat="1">
      <c r="A122" s="1160"/>
      <c r="B122" s="1163"/>
      <c r="C122" s="1166"/>
      <c r="D122" s="17"/>
      <c r="E122" s="26" t="str">
        <f t="shared" si="32"/>
        <v/>
      </c>
      <c r="F122" s="313"/>
      <c r="G122" s="27"/>
      <c r="H122" s="26" t="str">
        <f t="shared" si="33"/>
        <v/>
      </c>
      <c r="I122" s="313"/>
      <c r="J122" s="142"/>
      <c r="N122" s="84">
        <f>母公司汇总抵销!N122</f>
        <v>0</v>
      </c>
      <c r="O122" s="28" t="str">
        <f>母公司汇总抵销!O122</f>
        <v>主营业务收入</v>
      </c>
    </row>
    <row r="123" spans="1:15" s="23" customFormat="1">
      <c r="A123" s="1161"/>
      <c r="B123" s="1164"/>
      <c r="C123" s="1167"/>
      <c r="D123" s="17"/>
      <c r="E123" s="26" t="str">
        <f t="shared" si="32"/>
        <v/>
      </c>
      <c r="F123" s="313"/>
      <c r="G123" s="27"/>
      <c r="H123" s="26" t="str">
        <f t="shared" si="33"/>
        <v/>
      </c>
      <c r="I123" s="313"/>
      <c r="J123" s="142"/>
      <c r="N123" s="84">
        <f>母公司汇总抵销!N123</f>
        <v>0</v>
      </c>
      <c r="O123" s="28" t="str">
        <f>母公司汇总抵销!O123</f>
        <v>利息收入</v>
      </c>
    </row>
    <row r="124" spans="1:15" s="23" customFormat="1">
      <c r="A124" s="308"/>
      <c r="B124" s="308"/>
      <c r="C124" s="309"/>
      <c r="D124" s="310"/>
      <c r="E124" s="311"/>
      <c r="F124" s="311"/>
      <c r="G124" s="310"/>
      <c r="H124" s="311"/>
      <c r="I124" s="311"/>
      <c r="J124" s="312" t="str">
        <f>IF(ABS((SUMIF(E118:E123,"?*",J118:J123)-SUMIF(H118:H123,"?*",J118:J123)))&lt;0.005,"","借贷不等")</f>
        <v/>
      </c>
      <c r="N124" s="84">
        <f>母公司汇总抵销!N124</f>
        <v>0</v>
      </c>
      <c r="O124" s="28" t="str">
        <f>母公司汇总抵销!O124</f>
        <v>已赚保费</v>
      </c>
    </row>
    <row r="125" spans="1:15" s="23" customFormat="1">
      <c r="A125" s="1159">
        <v>18</v>
      </c>
      <c r="B125" s="1162"/>
      <c r="C125" s="1165"/>
      <c r="D125" s="17"/>
      <c r="E125" s="26" t="str">
        <f t="shared" ref="E125:E130" si="34">IF(D125=0,"",VLOOKUP(D125,$N:$O,2,0))</f>
        <v/>
      </c>
      <c r="F125" s="313"/>
      <c r="G125" s="25"/>
      <c r="H125" s="21" t="str">
        <f t="shared" ref="H125:H130" si="35">IF(G125=0,"",VLOOKUP(G125,$N:$O,2,0))</f>
        <v/>
      </c>
      <c r="I125" s="313"/>
      <c r="J125" s="142"/>
      <c r="N125" s="84">
        <f>母公司汇总抵销!N125</f>
        <v>0</v>
      </c>
      <c r="O125" s="28" t="str">
        <f>母公司汇总抵销!O125</f>
        <v>手续费及佣金收入</v>
      </c>
    </row>
    <row r="126" spans="1:15" s="23" customFormat="1">
      <c r="A126" s="1160"/>
      <c r="B126" s="1163"/>
      <c r="C126" s="1166"/>
      <c r="D126" s="17"/>
      <c r="E126" s="26" t="str">
        <f t="shared" si="34"/>
        <v/>
      </c>
      <c r="F126" s="313"/>
      <c r="G126" s="27"/>
      <c r="H126" s="26" t="str">
        <f t="shared" si="35"/>
        <v/>
      </c>
      <c r="I126" s="313"/>
      <c r="J126" s="142"/>
      <c r="N126" s="84">
        <f>母公司汇总抵销!N126</f>
        <v>0</v>
      </c>
      <c r="O126" s="28" t="str">
        <f>母公司汇总抵销!O126</f>
        <v>其他业务收入</v>
      </c>
    </row>
    <row r="127" spans="1:15" s="23" customFormat="1">
      <c r="A127" s="1160"/>
      <c r="B127" s="1163"/>
      <c r="C127" s="1166"/>
      <c r="D127" s="17"/>
      <c r="E127" s="26" t="str">
        <f t="shared" si="34"/>
        <v/>
      </c>
      <c r="F127" s="313"/>
      <c r="G127" s="27"/>
      <c r="H127" s="26" t="str">
        <f t="shared" si="35"/>
        <v/>
      </c>
      <c r="I127" s="313"/>
      <c r="J127" s="142"/>
      <c r="N127" s="84" t="str">
        <f>母公司汇总抵销!N127</f>
        <v>G2</v>
      </c>
      <c r="O127" s="782" t="str">
        <f>母公司汇总抵销!O127</f>
        <v>营业成本</v>
      </c>
    </row>
    <row r="128" spans="1:15" s="23" customFormat="1">
      <c r="A128" s="1160"/>
      <c r="B128" s="1163"/>
      <c r="C128" s="1166"/>
      <c r="D128" s="17"/>
      <c r="E128" s="26" t="str">
        <f t="shared" si="34"/>
        <v/>
      </c>
      <c r="F128" s="313"/>
      <c r="G128" s="27"/>
      <c r="H128" s="26" t="str">
        <f t="shared" si="35"/>
        <v/>
      </c>
      <c r="I128" s="313"/>
      <c r="J128" s="142"/>
      <c r="N128" s="84">
        <f>母公司汇总抵销!N128</f>
        <v>0</v>
      </c>
      <c r="O128" s="28" t="str">
        <f>母公司汇总抵销!O128</f>
        <v>主营业务成本</v>
      </c>
    </row>
    <row r="129" spans="1:15" s="23" customFormat="1">
      <c r="A129" s="1160"/>
      <c r="B129" s="1163"/>
      <c r="C129" s="1166"/>
      <c r="D129" s="17"/>
      <c r="E129" s="26" t="str">
        <f t="shared" si="34"/>
        <v/>
      </c>
      <c r="F129" s="313"/>
      <c r="G129" s="27"/>
      <c r="H129" s="26" t="str">
        <f t="shared" si="35"/>
        <v/>
      </c>
      <c r="I129" s="313"/>
      <c r="J129" s="142"/>
      <c r="N129" s="84">
        <f>母公司汇总抵销!N129</f>
        <v>0</v>
      </c>
      <c r="O129" s="28" t="str">
        <f>母公司汇总抵销!O129</f>
        <v>利息支出</v>
      </c>
    </row>
    <row r="130" spans="1:15" s="23" customFormat="1">
      <c r="A130" s="1161"/>
      <c r="B130" s="1164"/>
      <c r="C130" s="1167"/>
      <c r="D130" s="17"/>
      <c r="E130" s="26" t="str">
        <f t="shared" si="34"/>
        <v/>
      </c>
      <c r="F130" s="313"/>
      <c r="G130" s="27"/>
      <c r="H130" s="26" t="str">
        <f t="shared" si="35"/>
        <v/>
      </c>
      <c r="I130" s="313"/>
      <c r="J130" s="142"/>
      <c r="N130" s="84">
        <f>母公司汇总抵销!N130</f>
        <v>0</v>
      </c>
      <c r="O130" s="28" t="str">
        <f>母公司汇总抵销!O130</f>
        <v>手续费及佣金支出</v>
      </c>
    </row>
    <row r="131" spans="1:15" s="23" customFormat="1">
      <c r="A131" s="308"/>
      <c r="B131" s="308"/>
      <c r="C131" s="309"/>
      <c r="D131" s="310"/>
      <c r="E131" s="311"/>
      <c r="F131" s="311"/>
      <c r="G131" s="310"/>
      <c r="H131" s="311"/>
      <c r="I131" s="311"/>
      <c r="J131" s="312" t="str">
        <f>IF(ABS((SUMIF(E125:E130,"?*",J125:J130)-SUMIF(H125:H130,"?*",J125:J130)))&lt;0.005,"","借贷不等")</f>
        <v/>
      </c>
      <c r="N131" s="84">
        <f>母公司汇总抵销!N131</f>
        <v>0</v>
      </c>
      <c r="O131" s="28" t="str">
        <f>母公司汇总抵销!O131</f>
        <v>退保金</v>
      </c>
    </row>
    <row r="132" spans="1:15" s="23" customFormat="1">
      <c r="A132" s="1159">
        <v>19</v>
      </c>
      <c r="B132" s="1162"/>
      <c r="C132" s="1165"/>
      <c r="D132" s="17"/>
      <c r="E132" s="26" t="str">
        <f t="shared" ref="E132:E137" si="36">IF(D132=0,"",VLOOKUP(D132,$N:$O,2,0))</f>
        <v/>
      </c>
      <c r="F132" s="313"/>
      <c r="G132" s="25"/>
      <c r="H132" s="21" t="str">
        <f t="shared" ref="H132:H137" si="37">IF(G132=0,"",VLOOKUP(G132,$N:$O,2,0))</f>
        <v/>
      </c>
      <c r="I132" s="313"/>
      <c r="J132" s="142"/>
      <c r="N132" s="84">
        <f>母公司汇总抵销!N132</f>
        <v>0</v>
      </c>
      <c r="O132" s="28" t="str">
        <f>母公司汇总抵销!O132</f>
        <v>赔付支出净额</v>
      </c>
    </row>
    <row r="133" spans="1:15" s="23" customFormat="1">
      <c r="A133" s="1160"/>
      <c r="B133" s="1163"/>
      <c r="C133" s="1166"/>
      <c r="D133" s="17"/>
      <c r="E133" s="26" t="str">
        <f t="shared" si="36"/>
        <v/>
      </c>
      <c r="F133" s="313"/>
      <c r="G133" s="27"/>
      <c r="H133" s="26" t="str">
        <f t="shared" si="37"/>
        <v/>
      </c>
      <c r="I133" s="313"/>
      <c r="J133" s="142"/>
      <c r="N133" s="84">
        <f>母公司汇总抵销!N133</f>
        <v>0</v>
      </c>
      <c r="O133" s="28" t="str">
        <f>母公司汇总抵销!O133</f>
        <v>提取保险合同准备金净额</v>
      </c>
    </row>
    <row r="134" spans="1:15" s="23" customFormat="1">
      <c r="A134" s="1160"/>
      <c r="B134" s="1163"/>
      <c r="C134" s="1166"/>
      <c r="D134" s="17"/>
      <c r="E134" s="26" t="str">
        <f t="shared" si="36"/>
        <v/>
      </c>
      <c r="F134" s="313"/>
      <c r="G134" s="27"/>
      <c r="H134" s="26" t="str">
        <f t="shared" si="37"/>
        <v/>
      </c>
      <c r="I134" s="313"/>
      <c r="J134" s="142"/>
      <c r="N134" s="84">
        <f>母公司汇总抵销!N134</f>
        <v>0</v>
      </c>
      <c r="O134" s="28" t="str">
        <f>母公司汇总抵销!O134</f>
        <v>保单红利支出</v>
      </c>
    </row>
    <row r="135" spans="1:15" s="23" customFormat="1">
      <c r="A135" s="1160"/>
      <c r="B135" s="1163"/>
      <c r="C135" s="1166"/>
      <c r="D135" s="17"/>
      <c r="E135" s="26" t="str">
        <f t="shared" si="36"/>
        <v/>
      </c>
      <c r="F135" s="313"/>
      <c r="G135" s="27"/>
      <c r="H135" s="26" t="str">
        <f t="shared" si="37"/>
        <v/>
      </c>
      <c r="I135" s="313"/>
      <c r="J135" s="142"/>
      <c r="N135" s="84">
        <f>母公司汇总抵销!N135</f>
        <v>0</v>
      </c>
      <c r="O135" s="28" t="str">
        <f>母公司汇总抵销!O135</f>
        <v>分保费用</v>
      </c>
    </row>
    <row r="136" spans="1:15" s="23" customFormat="1">
      <c r="A136" s="1160"/>
      <c r="B136" s="1163"/>
      <c r="C136" s="1166"/>
      <c r="D136" s="17"/>
      <c r="E136" s="26" t="str">
        <f t="shared" si="36"/>
        <v/>
      </c>
      <c r="F136" s="313"/>
      <c r="G136" s="27"/>
      <c r="H136" s="26" t="str">
        <f t="shared" si="37"/>
        <v/>
      </c>
      <c r="I136" s="313"/>
      <c r="J136" s="142"/>
      <c r="N136" s="84">
        <f>母公司汇总抵销!N136</f>
        <v>0</v>
      </c>
      <c r="O136" s="28" t="str">
        <f>母公司汇总抵销!O136</f>
        <v>其他业务成本</v>
      </c>
    </row>
    <row r="137" spans="1:15" s="23" customFormat="1">
      <c r="A137" s="1161"/>
      <c r="B137" s="1164"/>
      <c r="C137" s="1167"/>
      <c r="D137" s="17"/>
      <c r="E137" s="26" t="str">
        <f t="shared" si="36"/>
        <v/>
      </c>
      <c r="F137" s="313"/>
      <c r="G137" s="27"/>
      <c r="H137" s="26" t="str">
        <f t="shared" si="37"/>
        <v/>
      </c>
      <c r="I137" s="313"/>
      <c r="J137" s="142"/>
      <c r="N137" s="84" t="str">
        <f>母公司汇总抵销!N137</f>
        <v>G3</v>
      </c>
      <c r="O137" s="28" t="str">
        <f>母公司汇总抵销!O137</f>
        <v>税金及附加</v>
      </c>
    </row>
    <row r="138" spans="1:15" s="23" customFormat="1">
      <c r="A138" s="308"/>
      <c r="B138" s="308"/>
      <c r="C138" s="309"/>
      <c r="D138" s="310"/>
      <c r="E138" s="311"/>
      <c r="F138" s="311"/>
      <c r="G138" s="310"/>
      <c r="H138" s="311"/>
      <c r="I138" s="311"/>
      <c r="J138" s="312" t="str">
        <f>IF(ABS((SUMIF(E132:E137,"?*",J132:J137)-SUMIF(H132:H137,"?*",J132:J137)))&lt;0.005,"","借贷不等")</f>
        <v/>
      </c>
      <c r="N138" s="84" t="str">
        <f>母公司汇总抵销!N138</f>
        <v>G4</v>
      </c>
      <c r="O138" s="28" t="str">
        <f>母公司汇总抵销!O138</f>
        <v>销售费用</v>
      </c>
    </row>
    <row r="139" spans="1:15" s="23" customFormat="1">
      <c r="A139" s="1159">
        <v>20</v>
      </c>
      <c r="B139" s="1162"/>
      <c r="C139" s="1165"/>
      <c r="D139" s="17"/>
      <c r="E139" s="26" t="str">
        <f t="shared" ref="E139:E144" si="38">IF(D139=0,"",VLOOKUP(D139,$N:$O,2,0))</f>
        <v/>
      </c>
      <c r="F139" s="313"/>
      <c r="G139" s="25"/>
      <c r="H139" s="21" t="str">
        <f t="shared" ref="H139:H144" si="39">IF(G139=0,"",VLOOKUP(G139,$N:$O,2,0))</f>
        <v/>
      </c>
      <c r="I139" s="313"/>
      <c r="J139" s="142"/>
      <c r="N139" s="84" t="str">
        <f>母公司汇总抵销!N139</f>
        <v>G5</v>
      </c>
      <c r="O139" s="28" t="str">
        <f>母公司汇总抵销!O139</f>
        <v>管理费用</v>
      </c>
    </row>
    <row r="140" spans="1:15" s="23" customFormat="1">
      <c r="A140" s="1160"/>
      <c r="B140" s="1163"/>
      <c r="C140" s="1166"/>
      <c r="D140" s="17"/>
      <c r="E140" s="26" t="str">
        <f t="shared" si="38"/>
        <v/>
      </c>
      <c r="F140" s="313"/>
      <c r="G140" s="27"/>
      <c r="H140" s="26" t="str">
        <f t="shared" si="39"/>
        <v/>
      </c>
      <c r="I140" s="313"/>
      <c r="J140" s="142"/>
      <c r="N140" s="84" t="str">
        <f>母公司汇总抵销!N140</f>
        <v>G6</v>
      </c>
      <c r="O140" s="28" t="str">
        <f>母公司汇总抵销!O140</f>
        <v>研发费用</v>
      </c>
    </row>
    <row r="141" spans="1:15" s="23" customFormat="1">
      <c r="A141" s="1160"/>
      <c r="B141" s="1163"/>
      <c r="C141" s="1166"/>
      <c r="D141" s="17"/>
      <c r="E141" s="26" t="str">
        <f t="shared" si="38"/>
        <v/>
      </c>
      <c r="F141" s="313"/>
      <c r="G141" s="27"/>
      <c r="H141" s="26" t="str">
        <f t="shared" si="39"/>
        <v/>
      </c>
      <c r="I141" s="313"/>
      <c r="J141" s="142"/>
      <c r="N141" s="84" t="str">
        <f>母公司汇总抵销!N141</f>
        <v>G7</v>
      </c>
      <c r="O141" s="28" t="str">
        <f>母公司汇总抵销!O141</f>
        <v>财务费用</v>
      </c>
    </row>
    <row r="142" spans="1:15" s="23" customFormat="1">
      <c r="A142" s="1160"/>
      <c r="B142" s="1163"/>
      <c r="C142" s="1166"/>
      <c r="D142" s="17"/>
      <c r="E142" s="26" t="str">
        <f t="shared" si="38"/>
        <v/>
      </c>
      <c r="F142" s="313"/>
      <c r="G142" s="27"/>
      <c r="H142" s="26" t="str">
        <f t="shared" si="39"/>
        <v/>
      </c>
      <c r="I142" s="313"/>
      <c r="J142" s="142"/>
      <c r="N142" s="84">
        <f>母公司汇总抵销!N142</f>
        <v>0</v>
      </c>
      <c r="O142" s="28" t="str">
        <f>母公司汇总抵销!O142</f>
        <v>利息费用</v>
      </c>
    </row>
    <row r="143" spans="1:15" s="23" customFormat="1">
      <c r="A143" s="1160"/>
      <c r="B143" s="1163"/>
      <c r="C143" s="1166"/>
      <c r="D143" s="17"/>
      <c r="E143" s="26" t="str">
        <f t="shared" si="38"/>
        <v/>
      </c>
      <c r="F143" s="313"/>
      <c r="G143" s="27"/>
      <c r="H143" s="26" t="str">
        <f t="shared" si="39"/>
        <v/>
      </c>
      <c r="I143" s="313"/>
      <c r="J143" s="142"/>
      <c r="N143" s="84">
        <f>母公司汇总抵销!N143</f>
        <v>0</v>
      </c>
      <c r="O143" s="28" t="str">
        <f>母公司汇总抵销!O143</f>
        <v>利息收入</v>
      </c>
    </row>
    <row r="144" spans="1:15" s="23" customFormat="1">
      <c r="A144" s="1161"/>
      <c r="B144" s="1164"/>
      <c r="C144" s="1167"/>
      <c r="D144" s="17"/>
      <c r="E144" s="26" t="str">
        <f t="shared" si="38"/>
        <v/>
      </c>
      <c r="F144" s="313"/>
      <c r="G144" s="27"/>
      <c r="H144" s="26" t="str">
        <f t="shared" si="39"/>
        <v/>
      </c>
      <c r="I144" s="313"/>
      <c r="J144" s="142"/>
      <c r="N144" s="84" t="str">
        <f>母公司汇总抵销!N144</f>
        <v>G8</v>
      </c>
      <c r="O144" s="28" t="str">
        <f>母公司汇总抵销!O144</f>
        <v>其他收益</v>
      </c>
    </row>
    <row r="145" spans="1:15" s="23" customFormat="1">
      <c r="A145" s="308"/>
      <c r="B145" s="308"/>
      <c r="C145" s="309"/>
      <c r="D145" s="310"/>
      <c r="E145" s="311"/>
      <c r="F145" s="311"/>
      <c r="G145" s="310"/>
      <c r="H145" s="311"/>
      <c r="I145" s="311"/>
      <c r="J145" s="312" t="str">
        <f>IF(ABS((SUMIF(E139:E144,"?*",J139:J144)-SUMIF(H139:H144,"?*",J139:J144)))&lt;0.005,"","借贷不等")</f>
        <v/>
      </c>
      <c r="N145" s="84" t="str">
        <f>母公司汇总抵销!N145</f>
        <v>G9</v>
      </c>
      <c r="O145" s="28" t="str">
        <f>母公司汇总抵销!O145</f>
        <v>投资收益</v>
      </c>
    </row>
    <row r="146" spans="1:15" s="23" customFormat="1">
      <c r="A146" s="1159">
        <v>21</v>
      </c>
      <c r="B146" s="1162"/>
      <c r="C146" s="1165"/>
      <c r="D146" s="17"/>
      <c r="E146" s="26" t="str">
        <f t="shared" ref="E146:E151" si="40">IF(D146=0,"",VLOOKUP(D146,$N:$O,2,0))</f>
        <v/>
      </c>
      <c r="F146" s="313"/>
      <c r="G146" s="25"/>
      <c r="H146" s="21" t="str">
        <f t="shared" ref="H146:H151" si="41">IF(G146=0,"",VLOOKUP(G146,$N:$O,2,0))</f>
        <v/>
      </c>
      <c r="I146" s="313"/>
      <c r="J146" s="142"/>
      <c r="N146" s="84">
        <f>母公司汇总抵销!N146</f>
        <v>0</v>
      </c>
      <c r="O146" s="28" t="str">
        <f>母公司汇总抵销!O146</f>
        <v>对联营企业和合营企业的投资收益</v>
      </c>
    </row>
    <row r="147" spans="1:15" s="23" customFormat="1">
      <c r="A147" s="1160"/>
      <c r="B147" s="1163"/>
      <c r="C147" s="1166"/>
      <c r="D147" s="17"/>
      <c r="E147" s="26" t="str">
        <f t="shared" si="40"/>
        <v/>
      </c>
      <c r="F147" s="313"/>
      <c r="G147" s="27"/>
      <c r="H147" s="26" t="str">
        <f t="shared" si="41"/>
        <v/>
      </c>
      <c r="I147" s="313"/>
      <c r="J147" s="142"/>
      <c r="N147" s="84">
        <f>母公司汇总抵销!N147</f>
        <v>0</v>
      </c>
      <c r="O147" s="28" t="str">
        <f>母公司汇总抵销!O147</f>
        <v>以摊余成本计量的金融资产终止确认收益</v>
      </c>
    </row>
    <row r="148" spans="1:15" s="23" customFormat="1">
      <c r="A148" s="1160"/>
      <c r="B148" s="1163"/>
      <c r="C148" s="1166"/>
      <c r="D148" s="17"/>
      <c r="E148" s="26" t="str">
        <f t="shared" si="40"/>
        <v/>
      </c>
      <c r="F148" s="313"/>
      <c r="G148" s="27"/>
      <c r="H148" s="26" t="str">
        <f t="shared" si="41"/>
        <v/>
      </c>
      <c r="I148" s="313"/>
      <c r="J148" s="142"/>
      <c r="N148" s="84" t="str">
        <f>母公司汇总抵销!N148</f>
        <v>G10</v>
      </c>
      <c r="O148" s="28" t="str">
        <f>母公司汇总抵销!O148</f>
        <v>净敞口套期收益</v>
      </c>
    </row>
    <row r="149" spans="1:15" s="23" customFormat="1">
      <c r="A149" s="1160"/>
      <c r="B149" s="1163"/>
      <c r="C149" s="1166"/>
      <c r="D149" s="17"/>
      <c r="E149" s="26" t="str">
        <f t="shared" si="40"/>
        <v/>
      </c>
      <c r="F149" s="313"/>
      <c r="G149" s="27"/>
      <c r="H149" s="26" t="str">
        <f t="shared" si="41"/>
        <v/>
      </c>
      <c r="I149" s="313"/>
      <c r="J149" s="142"/>
      <c r="N149" s="84" t="str">
        <f>母公司汇总抵销!N149</f>
        <v>G11</v>
      </c>
      <c r="O149" s="28" t="str">
        <f>母公司汇总抵销!O149</f>
        <v>公允价值变动收益</v>
      </c>
    </row>
    <row r="150" spans="1:15" s="23" customFormat="1">
      <c r="A150" s="1160"/>
      <c r="B150" s="1163"/>
      <c r="C150" s="1166"/>
      <c r="D150" s="17"/>
      <c r="E150" s="26" t="str">
        <f t="shared" si="40"/>
        <v/>
      </c>
      <c r="F150" s="313"/>
      <c r="G150" s="27"/>
      <c r="H150" s="26" t="str">
        <f t="shared" si="41"/>
        <v/>
      </c>
      <c r="I150" s="313"/>
      <c r="J150" s="142"/>
      <c r="N150" s="84" t="str">
        <f>母公司汇总抵销!N150</f>
        <v>G12</v>
      </c>
      <c r="O150" s="28" t="str">
        <f>母公司汇总抵销!O150</f>
        <v>信用减值损失(损</v>
      </c>
    </row>
    <row r="151" spans="1:15" s="23" customFormat="1">
      <c r="A151" s="1161"/>
      <c r="B151" s="1164"/>
      <c r="C151" s="1167"/>
      <c r="D151" s="17"/>
      <c r="E151" s="26" t="str">
        <f t="shared" si="40"/>
        <v/>
      </c>
      <c r="F151" s="313"/>
      <c r="G151" s="27"/>
      <c r="H151" s="26" t="str">
        <f t="shared" si="41"/>
        <v/>
      </c>
      <c r="I151" s="313"/>
      <c r="J151" s="142"/>
      <c r="N151" s="84" t="str">
        <f>母公司汇总抵销!N151</f>
        <v>G13</v>
      </c>
      <c r="O151" s="28" t="str">
        <f>母公司汇总抵销!O151</f>
        <v>资产减值损失</v>
      </c>
    </row>
    <row r="152" spans="1:15" s="23" customFormat="1">
      <c r="A152" s="308"/>
      <c r="B152" s="308"/>
      <c r="C152" s="309"/>
      <c r="D152" s="310"/>
      <c r="E152" s="311"/>
      <c r="F152" s="311"/>
      <c r="G152" s="310"/>
      <c r="H152" s="311"/>
      <c r="I152" s="311"/>
      <c r="J152" s="312" t="str">
        <f>IF(ABS((SUMIF(E146:E151,"?*",J146:J151)-SUMIF(H146:H151,"?*",J146:J151)))&lt;0.005,"","借贷不等")</f>
        <v/>
      </c>
      <c r="N152" s="84" t="str">
        <f>母公司汇总抵销!N152</f>
        <v>G14</v>
      </c>
      <c r="O152" s="28" t="str">
        <f>母公司汇总抵销!O152</f>
        <v>资产处置收益</v>
      </c>
    </row>
    <row r="153" spans="1:15" s="23" customFormat="1">
      <c r="A153" s="1159">
        <v>22</v>
      </c>
      <c r="B153" s="1162"/>
      <c r="C153" s="1165"/>
      <c r="D153" s="17"/>
      <c r="E153" s="26" t="str">
        <f t="shared" ref="E153:E158" si="42">IF(D153=0,"",VLOOKUP(D153,$N:$O,2,0))</f>
        <v/>
      </c>
      <c r="F153" s="313"/>
      <c r="G153" s="25"/>
      <c r="H153" s="21" t="str">
        <f t="shared" ref="H153:H158" si="43">IF(G153=0,"",VLOOKUP(G153,$N:$O,2,0))</f>
        <v/>
      </c>
      <c r="I153" s="313"/>
      <c r="J153" s="142"/>
      <c r="N153" s="84">
        <f>母公司汇总抵销!N153</f>
        <v>0</v>
      </c>
      <c r="O153" s="782" t="str">
        <f>母公司汇总抵销!O153</f>
        <v>营业利润</v>
      </c>
    </row>
    <row r="154" spans="1:15" s="23" customFormat="1">
      <c r="A154" s="1160"/>
      <c r="B154" s="1163"/>
      <c r="C154" s="1166"/>
      <c r="D154" s="17"/>
      <c r="E154" s="26" t="str">
        <f t="shared" si="42"/>
        <v/>
      </c>
      <c r="F154" s="313"/>
      <c r="G154" s="27"/>
      <c r="H154" s="26" t="str">
        <f t="shared" si="43"/>
        <v/>
      </c>
      <c r="I154" s="313"/>
      <c r="J154" s="142"/>
      <c r="N154" s="84" t="str">
        <f>母公司汇总抵销!N154</f>
        <v>G15</v>
      </c>
      <c r="O154" s="28" t="str">
        <f>母公司汇总抵销!O154</f>
        <v>营业外收入</v>
      </c>
    </row>
    <row r="155" spans="1:15" s="23" customFormat="1">
      <c r="A155" s="1160"/>
      <c r="B155" s="1163"/>
      <c r="C155" s="1166"/>
      <c r="D155" s="17"/>
      <c r="E155" s="26" t="str">
        <f t="shared" si="42"/>
        <v/>
      </c>
      <c r="F155" s="313"/>
      <c r="G155" s="27"/>
      <c r="H155" s="26" t="str">
        <f t="shared" si="43"/>
        <v/>
      </c>
      <c r="I155" s="313"/>
      <c r="J155" s="142"/>
      <c r="N155" s="84" t="str">
        <f>母公司汇总抵销!N155</f>
        <v>G16</v>
      </c>
      <c r="O155" s="28" t="str">
        <f>母公司汇总抵销!O155</f>
        <v>营业外支出</v>
      </c>
    </row>
    <row r="156" spans="1:15" s="23" customFormat="1">
      <c r="A156" s="1160"/>
      <c r="B156" s="1163"/>
      <c r="C156" s="1166"/>
      <c r="D156" s="17"/>
      <c r="E156" s="26" t="str">
        <f t="shared" si="42"/>
        <v/>
      </c>
      <c r="F156" s="313"/>
      <c r="G156" s="27"/>
      <c r="H156" s="26" t="str">
        <f t="shared" si="43"/>
        <v/>
      </c>
      <c r="I156" s="313"/>
      <c r="J156" s="142"/>
      <c r="N156" s="84">
        <f>母公司汇总抵销!N156</f>
        <v>0</v>
      </c>
      <c r="O156" s="782" t="str">
        <f>母公司汇总抵销!O156</f>
        <v>利润总额</v>
      </c>
    </row>
    <row r="157" spans="1:15" s="23" customFormat="1">
      <c r="A157" s="1160"/>
      <c r="B157" s="1163"/>
      <c r="C157" s="1166"/>
      <c r="D157" s="17"/>
      <c r="E157" s="26" t="str">
        <f t="shared" si="42"/>
        <v/>
      </c>
      <c r="F157" s="313"/>
      <c r="G157" s="27"/>
      <c r="H157" s="26" t="str">
        <f t="shared" si="43"/>
        <v/>
      </c>
      <c r="I157" s="313"/>
      <c r="J157" s="142"/>
      <c r="N157" s="84" t="str">
        <f>母公司汇总抵销!N157</f>
        <v>G17</v>
      </c>
      <c r="O157" s="28" t="str">
        <f>母公司汇总抵销!O157</f>
        <v>所得税费用</v>
      </c>
    </row>
    <row r="158" spans="1:15" s="23" customFormat="1">
      <c r="A158" s="1161"/>
      <c r="B158" s="1164"/>
      <c r="C158" s="1167"/>
      <c r="D158" s="17"/>
      <c r="E158" s="26" t="str">
        <f t="shared" si="42"/>
        <v/>
      </c>
      <c r="F158" s="313"/>
      <c r="G158" s="27"/>
      <c r="H158" s="26" t="str">
        <f t="shared" si="43"/>
        <v/>
      </c>
      <c r="I158" s="313"/>
      <c r="J158" s="142"/>
      <c r="N158" s="84" t="str">
        <f>母公司汇总抵销!N158</f>
        <v>G18</v>
      </c>
      <c r="O158" s="28" t="str">
        <f>母公司汇总抵销!O158</f>
        <v>0</v>
      </c>
    </row>
    <row r="159" spans="1:15" s="23" customFormat="1">
      <c r="A159" s="308"/>
      <c r="B159" s="308"/>
      <c r="C159" s="309"/>
      <c r="D159" s="310"/>
      <c r="E159" s="311"/>
      <c r="F159" s="311"/>
      <c r="G159" s="310"/>
      <c r="H159" s="311"/>
      <c r="I159" s="311"/>
      <c r="J159" s="312" t="str">
        <f>IF(ABS((SUMIF(E153:E158,"?*",J153:J158)-SUMIF(H153:H158,"?*",J153:J158)))&lt;0.005,"","借贷不等")</f>
        <v/>
      </c>
      <c r="N159" s="84">
        <f>母公司汇总抵销!N159</f>
        <v>0</v>
      </c>
      <c r="O159" s="782" t="str">
        <f>母公司汇总抵销!O159</f>
        <v>净利润</v>
      </c>
    </row>
    <row r="160" spans="1:15" s="23" customFormat="1">
      <c r="A160" s="1159">
        <v>23</v>
      </c>
      <c r="B160" s="1162"/>
      <c r="C160" s="1165"/>
      <c r="D160" s="17"/>
      <c r="E160" s="26" t="str">
        <f t="shared" ref="E160:E165" si="44">IF(D160=0,"",VLOOKUP(D160,$N:$O,2,0))</f>
        <v/>
      </c>
      <c r="F160" s="313"/>
      <c r="G160" s="25"/>
      <c r="H160" s="21" t="str">
        <f t="shared" ref="H160:H165" si="45">IF(G160=0,"",VLOOKUP(G160,$N:$O,2,0))</f>
        <v/>
      </c>
      <c r="I160" s="313"/>
      <c r="J160" s="142"/>
      <c r="N160" s="84">
        <f>母公司汇总抵销!N160</f>
        <v>0</v>
      </c>
      <c r="O160" s="28" t="str">
        <f>母公司汇总抵销!O160</f>
        <v>（一）按经营持续性分类</v>
      </c>
    </row>
    <row r="161" spans="1:15" s="23" customFormat="1">
      <c r="A161" s="1160"/>
      <c r="B161" s="1163"/>
      <c r="C161" s="1166"/>
      <c r="D161" s="17"/>
      <c r="E161" s="26" t="str">
        <f t="shared" si="44"/>
        <v/>
      </c>
      <c r="F161" s="313"/>
      <c r="G161" s="27"/>
      <c r="H161" s="26" t="str">
        <f t="shared" si="45"/>
        <v/>
      </c>
      <c r="I161" s="313"/>
      <c r="J161" s="142"/>
      <c r="N161" s="84">
        <f>母公司汇总抵销!N161</f>
        <v>0</v>
      </c>
      <c r="O161" s="28" t="str">
        <f>母公司汇总抵销!O161</f>
        <v>持续经营净利润</v>
      </c>
    </row>
    <row r="162" spans="1:15" s="23" customFormat="1">
      <c r="A162" s="1160"/>
      <c r="B162" s="1163"/>
      <c r="C162" s="1166"/>
      <c r="D162" s="17"/>
      <c r="E162" s="26" t="str">
        <f t="shared" si="44"/>
        <v/>
      </c>
      <c r="F162" s="313"/>
      <c r="G162" s="27"/>
      <c r="H162" s="26" t="str">
        <f t="shared" si="45"/>
        <v/>
      </c>
      <c r="I162" s="313"/>
      <c r="J162" s="142"/>
      <c r="N162" s="84">
        <f>母公司汇总抵销!N162</f>
        <v>0</v>
      </c>
      <c r="O162" s="28" t="str">
        <f>母公司汇总抵销!O162</f>
        <v>终止经营净利润</v>
      </c>
    </row>
    <row r="163" spans="1:15" s="23" customFormat="1">
      <c r="A163" s="1160"/>
      <c r="B163" s="1163"/>
      <c r="C163" s="1166"/>
      <c r="D163" s="17"/>
      <c r="E163" s="26" t="str">
        <f t="shared" si="44"/>
        <v/>
      </c>
      <c r="F163" s="313"/>
      <c r="G163" s="27"/>
      <c r="H163" s="26" t="str">
        <f t="shared" si="45"/>
        <v/>
      </c>
      <c r="I163" s="313"/>
      <c r="J163" s="142"/>
      <c r="N163" s="84">
        <f>母公司汇总抵销!N163</f>
        <v>0</v>
      </c>
      <c r="O163" s="28" t="str">
        <f>母公司汇总抵销!O163</f>
        <v>（二）按所有权归属分类</v>
      </c>
    </row>
    <row r="164" spans="1:15" s="23" customFormat="1">
      <c r="A164" s="1160"/>
      <c r="B164" s="1163"/>
      <c r="C164" s="1166"/>
      <c r="D164" s="17"/>
      <c r="E164" s="26" t="str">
        <f t="shared" si="44"/>
        <v/>
      </c>
      <c r="F164" s="313"/>
      <c r="G164" s="27"/>
      <c r="H164" s="26" t="str">
        <f t="shared" si="45"/>
        <v/>
      </c>
      <c r="I164" s="313"/>
      <c r="J164" s="142"/>
      <c r="N164" s="84">
        <f>母公司汇总抵销!N164</f>
        <v>0</v>
      </c>
      <c r="O164" s="28" t="str">
        <f>母公司汇总抵销!O164</f>
        <v>归属于母公司股东的净利润</v>
      </c>
    </row>
    <row r="165" spans="1:15" s="23" customFormat="1">
      <c r="A165" s="1161"/>
      <c r="B165" s="1164"/>
      <c r="C165" s="1167"/>
      <c r="D165" s="17"/>
      <c r="E165" s="26" t="str">
        <f t="shared" si="44"/>
        <v/>
      </c>
      <c r="F165" s="313"/>
      <c r="G165" s="27"/>
      <c r="H165" s="26" t="str">
        <f t="shared" si="45"/>
        <v/>
      </c>
      <c r="I165" s="313"/>
      <c r="J165" s="142"/>
      <c r="N165" s="84" t="str">
        <f>母公司汇总抵销!N165</f>
        <v>G19</v>
      </c>
      <c r="O165" s="28" t="str">
        <f>母公司汇总抵销!O165</f>
        <v>少数股东损益</v>
      </c>
    </row>
    <row r="166" spans="1:15" s="23" customFormat="1">
      <c r="A166" s="308"/>
      <c r="B166" s="308"/>
      <c r="C166" s="309"/>
      <c r="D166" s="310"/>
      <c r="E166" s="311"/>
      <c r="F166" s="311"/>
      <c r="G166" s="310"/>
      <c r="H166" s="311"/>
      <c r="I166" s="311"/>
      <c r="J166" s="312" t="str">
        <f>IF(ABS((SUMIF(E160:E165,"?*",J160:J165)-SUMIF(H160:H165,"?*",J160:J165)))&lt;0.005,"","借贷不等")</f>
        <v/>
      </c>
      <c r="N166" s="84">
        <f>母公司汇总抵销!N166</f>
        <v>0</v>
      </c>
      <c r="O166" s="782" t="str">
        <f>母公司汇总抵销!O166</f>
        <v>其他综合收益的税后净额</v>
      </c>
    </row>
    <row r="167" spans="1:15" s="23" customFormat="1">
      <c r="A167" s="1159">
        <v>24</v>
      </c>
      <c r="B167" s="1162"/>
      <c r="C167" s="1165"/>
      <c r="D167" s="17"/>
      <c r="E167" s="26" t="str">
        <f t="shared" ref="E167:E172" si="46">IF(D167=0,"",VLOOKUP(D167,$N:$O,2,0))</f>
        <v/>
      </c>
      <c r="F167" s="313"/>
      <c r="G167" s="25"/>
      <c r="H167" s="21" t="str">
        <f t="shared" ref="H167:H172" si="47">IF(G167=0,"",VLOOKUP(G167,$N:$O,2,0))</f>
        <v/>
      </c>
      <c r="I167" s="313"/>
      <c r="J167" s="142"/>
      <c r="N167" s="84">
        <f>母公司汇总抵销!N167</f>
        <v>0</v>
      </c>
      <c r="O167" s="28" t="str">
        <f>母公司汇总抵销!O167</f>
        <v>归属于母公司股东的其他综合收益的税后净额</v>
      </c>
    </row>
    <row r="168" spans="1:15" s="23" customFormat="1">
      <c r="A168" s="1160"/>
      <c r="B168" s="1163"/>
      <c r="C168" s="1166"/>
      <c r="D168" s="17"/>
      <c r="E168" s="26" t="str">
        <f t="shared" si="46"/>
        <v/>
      </c>
      <c r="F168" s="313"/>
      <c r="G168" s="27"/>
      <c r="H168" s="26" t="str">
        <f t="shared" si="47"/>
        <v/>
      </c>
      <c r="I168" s="313"/>
      <c r="J168" s="142"/>
      <c r="N168" s="84">
        <f>母公司汇总抵销!N168</f>
        <v>0</v>
      </c>
      <c r="O168" s="28" t="str">
        <f>母公司汇总抵销!O168</f>
        <v>（一）不能重分类进损益的其他综合收益</v>
      </c>
    </row>
    <row r="169" spans="1:15" s="23" customFormat="1">
      <c r="A169" s="1160"/>
      <c r="B169" s="1163"/>
      <c r="C169" s="1166"/>
      <c r="D169" s="17"/>
      <c r="E169" s="26" t="str">
        <f t="shared" si="46"/>
        <v/>
      </c>
      <c r="F169" s="313"/>
      <c r="G169" s="27"/>
      <c r="H169" s="26" t="str">
        <f t="shared" si="47"/>
        <v/>
      </c>
      <c r="I169" s="313"/>
      <c r="J169" s="142"/>
      <c r="N169" s="84" t="str">
        <f>母公司汇总抵销!N169</f>
        <v>G21</v>
      </c>
      <c r="O169" s="28" t="str">
        <f>母公司汇总抵销!O169</f>
        <v>1.重新计量设定受益计划变动额</v>
      </c>
    </row>
    <row r="170" spans="1:15" s="23" customFormat="1">
      <c r="A170" s="1160"/>
      <c r="B170" s="1163"/>
      <c r="C170" s="1166"/>
      <c r="D170" s="17"/>
      <c r="E170" s="26" t="str">
        <f t="shared" si="46"/>
        <v/>
      </c>
      <c r="F170" s="313"/>
      <c r="G170" s="27"/>
      <c r="H170" s="26" t="str">
        <f t="shared" si="47"/>
        <v/>
      </c>
      <c r="I170" s="313"/>
      <c r="J170" s="142"/>
      <c r="N170" s="84" t="str">
        <f>母公司汇总抵销!N170</f>
        <v>G22</v>
      </c>
      <c r="O170" s="28" t="str">
        <f>母公司汇总抵销!O170</f>
        <v>2.权益法下不能转损益的其他综合收益</v>
      </c>
    </row>
    <row r="171" spans="1:15" s="23" customFormat="1">
      <c r="A171" s="1160"/>
      <c r="B171" s="1163"/>
      <c r="C171" s="1166"/>
      <c r="D171" s="17"/>
      <c r="E171" s="26" t="str">
        <f t="shared" si="46"/>
        <v/>
      </c>
      <c r="F171" s="313"/>
      <c r="G171" s="27"/>
      <c r="H171" s="26" t="str">
        <f t="shared" si="47"/>
        <v/>
      </c>
      <c r="I171" s="313"/>
      <c r="J171" s="142"/>
      <c r="N171" s="84" t="str">
        <f>母公司汇总抵销!N171</f>
        <v>G23</v>
      </c>
      <c r="O171" s="28" t="str">
        <f>母公司汇总抵销!O171</f>
        <v>3.其他权益工具投资公允价值变动</v>
      </c>
    </row>
    <row r="172" spans="1:15" s="23" customFormat="1">
      <c r="A172" s="1161"/>
      <c r="B172" s="1164"/>
      <c r="C172" s="1167"/>
      <c r="D172" s="17"/>
      <c r="E172" s="26" t="str">
        <f t="shared" si="46"/>
        <v/>
      </c>
      <c r="F172" s="313"/>
      <c r="G172" s="27"/>
      <c r="H172" s="26" t="str">
        <f t="shared" si="47"/>
        <v/>
      </c>
      <c r="I172" s="313"/>
      <c r="J172" s="142"/>
      <c r="N172" s="84" t="str">
        <f>母公司汇总抵销!N172</f>
        <v>G24</v>
      </c>
      <c r="O172" s="28" t="str">
        <f>母公司汇总抵销!O172</f>
        <v>4.企业自身信用风险公允价值变动</v>
      </c>
    </row>
    <row r="173" spans="1:15" s="23" customFormat="1">
      <c r="A173" s="308"/>
      <c r="B173" s="308"/>
      <c r="C173" s="309"/>
      <c r="D173" s="310"/>
      <c r="E173" s="311"/>
      <c r="F173" s="311"/>
      <c r="G173" s="310"/>
      <c r="H173" s="311"/>
      <c r="I173" s="311"/>
      <c r="J173" s="312" t="str">
        <f>IF(ABS((SUMIF(E167:E172,"?*",J167:J172)-SUMIF(H167:H172,"?*",J167:J172)))&lt;0.005,"","借贷不等")</f>
        <v/>
      </c>
      <c r="N173" s="84" t="str">
        <f>母公司汇总抵销!N173</f>
        <v>G25</v>
      </c>
      <c r="O173" s="28" t="str">
        <f>母公司汇总抵销!O173</f>
        <v>5.其他</v>
      </c>
    </row>
    <row r="174" spans="1:15" s="23" customFormat="1">
      <c r="A174" s="1159">
        <v>25</v>
      </c>
      <c r="B174" s="1162"/>
      <c r="C174" s="1165"/>
      <c r="D174" s="17"/>
      <c r="E174" s="26" t="str">
        <f t="shared" ref="E174:E179" si="48">IF(D174=0,"",VLOOKUP(D174,$N:$O,2,0))</f>
        <v/>
      </c>
      <c r="F174" s="313"/>
      <c r="G174" s="25"/>
      <c r="H174" s="21" t="str">
        <f t="shared" ref="H174:H179" si="49">IF(G174=0,"",VLOOKUP(G174,$N:$O,2,0))</f>
        <v/>
      </c>
      <c r="I174" s="313"/>
      <c r="J174" s="142"/>
      <c r="N174" s="84">
        <f>母公司汇总抵销!N174</f>
        <v>0</v>
      </c>
      <c r="O174" s="28" t="str">
        <f>母公司汇总抵销!O174</f>
        <v>（二）将重分类进损益的其他综合收益</v>
      </c>
    </row>
    <row r="175" spans="1:15" s="23" customFormat="1">
      <c r="A175" s="1160"/>
      <c r="B175" s="1163"/>
      <c r="C175" s="1166"/>
      <c r="D175" s="17"/>
      <c r="E175" s="26" t="str">
        <f t="shared" si="48"/>
        <v/>
      </c>
      <c r="F175" s="313"/>
      <c r="G175" s="27"/>
      <c r="H175" s="26" t="str">
        <f t="shared" si="49"/>
        <v/>
      </c>
      <c r="I175" s="313"/>
      <c r="J175" s="142"/>
      <c r="N175" s="84" t="str">
        <f>母公司汇总抵销!N175</f>
        <v>G26</v>
      </c>
      <c r="O175" s="28" t="str">
        <f>母公司汇总抵销!O175</f>
        <v>1.权益法下可转损益的其他综合收益</v>
      </c>
    </row>
    <row r="176" spans="1:15" s="23" customFormat="1">
      <c r="A176" s="1160"/>
      <c r="B176" s="1163"/>
      <c r="C176" s="1166"/>
      <c r="D176" s="17"/>
      <c r="E176" s="26" t="str">
        <f t="shared" si="48"/>
        <v/>
      </c>
      <c r="F176" s="313"/>
      <c r="G176" s="27"/>
      <c r="H176" s="26" t="str">
        <f t="shared" si="49"/>
        <v/>
      </c>
      <c r="I176" s="313"/>
      <c r="J176" s="142"/>
      <c r="N176" s="84" t="str">
        <f>母公司汇总抵销!N176</f>
        <v>G27</v>
      </c>
      <c r="O176" s="28" t="str">
        <f>母公司汇总抵销!O176</f>
        <v>2.其他债权投资公允价值变动</v>
      </c>
    </row>
    <row r="177" spans="1:15" s="23" customFormat="1">
      <c r="A177" s="1160"/>
      <c r="B177" s="1163"/>
      <c r="C177" s="1166"/>
      <c r="D177" s="17"/>
      <c r="E177" s="26" t="str">
        <f t="shared" si="48"/>
        <v/>
      </c>
      <c r="F177" s="313"/>
      <c r="G177" s="27"/>
      <c r="H177" s="26" t="str">
        <f t="shared" si="49"/>
        <v/>
      </c>
      <c r="I177" s="313"/>
      <c r="J177" s="142"/>
      <c r="N177" s="84" t="str">
        <f>母公司汇总抵销!N177</f>
        <v>G28</v>
      </c>
      <c r="O177" s="28" t="str">
        <f>母公司汇总抵销!O177</f>
        <v>3.可供出售金融资产公允价值变动损益</v>
      </c>
    </row>
    <row r="178" spans="1:15" s="23" customFormat="1">
      <c r="A178" s="1160"/>
      <c r="B178" s="1163"/>
      <c r="C178" s="1166"/>
      <c r="D178" s="17"/>
      <c r="E178" s="26" t="str">
        <f t="shared" si="48"/>
        <v/>
      </c>
      <c r="F178" s="313"/>
      <c r="G178" s="27"/>
      <c r="H178" s="26" t="str">
        <f t="shared" si="49"/>
        <v/>
      </c>
      <c r="I178" s="313"/>
      <c r="J178" s="142"/>
      <c r="N178" s="84" t="str">
        <f>母公司汇总抵销!N178</f>
        <v>G29</v>
      </c>
      <c r="O178" s="28" t="str">
        <f>母公司汇总抵销!O178</f>
        <v>4.金融资产重分类计入其他综合收益的金额</v>
      </c>
    </row>
    <row r="179" spans="1:15" s="23" customFormat="1">
      <c r="A179" s="1161"/>
      <c r="B179" s="1164"/>
      <c r="C179" s="1167"/>
      <c r="D179" s="17"/>
      <c r="E179" s="26" t="str">
        <f t="shared" si="48"/>
        <v/>
      </c>
      <c r="F179" s="313"/>
      <c r="G179" s="27"/>
      <c r="H179" s="26" t="str">
        <f t="shared" si="49"/>
        <v/>
      </c>
      <c r="I179" s="313"/>
      <c r="J179" s="142"/>
      <c r="N179" s="84" t="str">
        <f>母公司汇总抵销!N179</f>
        <v>G30</v>
      </c>
      <c r="O179" s="28" t="str">
        <f>母公司汇总抵销!O179</f>
        <v>5.持有至到期投资重分类为可供出售金融资产损益</v>
      </c>
    </row>
    <row r="180" spans="1:15" s="23" customFormat="1">
      <c r="A180" s="308"/>
      <c r="B180" s="308"/>
      <c r="C180" s="309"/>
      <c r="D180" s="310"/>
      <c r="E180" s="311"/>
      <c r="F180" s="311"/>
      <c r="G180" s="310"/>
      <c r="H180" s="311"/>
      <c r="I180" s="311"/>
      <c r="J180" s="312" t="str">
        <f>IF(ABS((SUMIF(E174:E179,"?*",J174:J179)-SUMIF(H174:H179,"?*",J174:J179)))&lt;0.005,"","借贷不等")</f>
        <v/>
      </c>
      <c r="N180" s="84" t="str">
        <f>母公司汇总抵销!N180</f>
        <v>G31</v>
      </c>
      <c r="O180" s="28" t="str">
        <f>母公司汇总抵销!O180</f>
        <v>6.其他债权投资信用减值准备</v>
      </c>
    </row>
    <row r="181" spans="1:15" s="23" customFormat="1">
      <c r="A181" s="1159">
        <v>26</v>
      </c>
      <c r="B181" s="1162"/>
      <c r="C181" s="1165"/>
      <c r="D181" s="17"/>
      <c r="E181" s="26" t="str">
        <f t="shared" ref="E181:E186" si="50">IF(D181=0,"",VLOOKUP(D181,$N:$O,2,0))</f>
        <v/>
      </c>
      <c r="F181" s="313"/>
      <c r="G181" s="25"/>
      <c r="H181" s="21" t="str">
        <f t="shared" ref="H181:H186" si="51">IF(G181=0,"",VLOOKUP(G181,$N:$O,2,0))</f>
        <v/>
      </c>
      <c r="I181" s="313"/>
      <c r="J181" s="142"/>
      <c r="N181" s="84" t="str">
        <f>母公司汇总抵销!N181</f>
        <v>G32</v>
      </c>
      <c r="O181" s="28" t="str">
        <f>母公司汇总抵销!O181</f>
        <v>7.现金流量套期储备</v>
      </c>
    </row>
    <row r="182" spans="1:15" s="23" customFormat="1">
      <c r="A182" s="1160"/>
      <c r="B182" s="1163"/>
      <c r="C182" s="1166"/>
      <c r="D182" s="17"/>
      <c r="E182" s="26" t="str">
        <f t="shared" si="50"/>
        <v/>
      </c>
      <c r="F182" s="313"/>
      <c r="G182" s="27"/>
      <c r="H182" s="26" t="str">
        <f t="shared" si="51"/>
        <v/>
      </c>
      <c r="I182" s="313"/>
      <c r="J182" s="142"/>
      <c r="N182" s="84" t="str">
        <f>母公司汇总抵销!N182</f>
        <v>G33</v>
      </c>
      <c r="O182" s="28" t="str">
        <f>母公司汇总抵销!O182</f>
        <v>8.外币财务报表折算差额</v>
      </c>
    </row>
    <row r="183" spans="1:15" s="23" customFormat="1">
      <c r="A183" s="1160"/>
      <c r="B183" s="1163"/>
      <c r="C183" s="1166"/>
      <c r="D183" s="17"/>
      <c r="E183" s="26" t="str">
        <f t="shared" si="50"/>
        <v/>
      </c>
      <c r="F183" s="313"/>
      <c r="G183" s="27"/>
      <c r="H183" s="26" t="str">
        <f t="shared" si="51"/>
        <v/>
      </c>
      <c r="I183" s="313"/>
      <c r="J183" s="142"/>
      <c r="N183" s="84" t="str">
        <f>母公司汇总抵销!N183</f>
        <v>G34</v>
      </c>
      <c r="O183" s="28" t="str">
        <f>母公司汇总抵销!O183</f>
        <v>9.自用房地产或作为存货的房地产转换为以公允价值计量的投资性房地产在转换日公允价值大于账面价值部分</v>
      </c>
    </row>
    <row r="184" spans="1:15" s="23" customFormat="1">
      <c r="A184" s="1160"/>
      <c r="B184" s="1163"/>
      <c r="C184" s="1166"/>
      <c r="D184" s="17"/>
      <c r="E184" s="26" t="str">
        <f t="shared" si="50"/>
        <v/>
      </c>
      <c r="F184" s="313"/>
      <c r="G184" s="27"/>
      <c r="H184" s="26" t="str">
        <f t="shared" si="51"/>
        <v/>
      </c>
      <c r="I184" s="313"/>
      <c r="J184" s="142"/>
      <c r="N184" s="84" t="str">
        <f>母公司汇总抵销!N184</f>
        <v>G35</v>
      </c>
      <c r="O184" s="28" t="str">
        <f>母公司汇总抵销!O184</f>
        <v>10.多次交易分步处置子公司股权构成一揽子交易的，丧失控制权之前各次交易处置价款与对应净资产账面价值份额的差额</v>
      </c>
    </row>
    <row r="185" spans="1:15" s="23" customFormat="1">
      <c r="A185" s="1160"/>
      <c r="B185" s="1163"/>
      <c r="C185" s="1166"/>
      <c r="D185" s="17"/>
      <c r="E185" s="26" t="str">
        <f t="shared" si="50"/>
        <v/>
      </c>
      <c r="F185" s="313"/>
      <c r="G185" s="27"/>
      <c r="H185" s="26" t="str">
        <f t="shared" si="51"/>
        <v/>
      </c>
      <c r="I185" s="313"/>
      <c r="J185" s="142"/>
      <c r="N185" s="84" t="str">
        <f>母公司汇总抵销!N185</f>
        <v>G36</v>
      </c>
      <c r="O185" s="28" t="str">
        <f>母公司汇总抵销!O185</f>
        <v>11.其他</v>
      </c>
    </row>
    <row r="186" spans="1:15" s="23" customFormat="1">
      <c r="A186" s="1161"/>
      <c r="B186" s="1164"/>
      <c r="C186" s="1167"/>
      <c r="D186" s="17"/>
      <c r="E186" s="26" t="str">
        <f t="shared" si="50"/>
        <v/>
      </c>
      <c r="F186" s="313"/>
      <c r="G186" s="27"/>
      <c r="H186" s="26" t="str">
        <f t="shared" si="51"/>
        <v/>
      </c>
      <c r="I186" s="313"/>
      <c r="J186" s="142"/>
      <c r="N186" s="84" t="str">
        <f>母公司汇总抵销!N186</f>
        <v>G37</v>
      </c>
      <c r="O186" s="28" t="str">
        <f>母公司汇总抵销!O186</f>
        <v>归属于少数股东的其他综合收益的税后净额</v>
      </c>
    </row>
    <row r="187" spans="1:15" s="23" customFormat="1">
      <c r="A187" s="308"/>
      <c r="B187" s="308"/>
      <c r="C187" s="309"/>
      <c r="D187" s="310"/>
      <c r="E187" s="311"/>
      <c r="F187" s="311"/>
      <c r="G187" s="310"/>
      <c r="H187" s="311"/>
      <c r="I187" s="311"/>
      <c r="J187" s="312" t="str">
        <f>IF(ABS((SUMIF(E181:E186,"?*",J181:J186)-SUMIF(H181:H186,"?*",J181:J186)))&lt;0.005,"","借贷不等")</f>
        <v/>
      </c>
      <c r="N187" s="84">
        <f>母公司汇总抵销!N187</f>
        <v>0</v>
      </c>
      <c r="O187" s="782" t="str">
        <f>母公司汇总抵销!O187</f>
        <v>综合收益总额</v>
      </c>
    </row>
    <row r="188" spans="1:15" s="23" customFormat="1">
      <c r="A188" s="1159">
        <v>27</v>
      </c>
      <c r="B188" s="1162"/>
      <c r="C188" s="1165"/>
      <c r="D188" s="17"/>
      <c r="E188" s="26" t="str">
        <f t="shared" ref="E188:E193" si="52">IF(D188=0,"",VLOOKUP(D188,$N:$O,2,0))</f>
        <v/>
      </c>
      <c r="F188" s="313"/>
      <c r="G188" s="25"/>
      <c r="H188" s="21" t="str">
        <f t="shared" ref="H188:H193" si="53">IF(G188=0,"",VLOOKUP(G188,$N:$O,2,0))</f>
        <v/>
      </c>
      <c r="I188" s="313"/>
      <c r="J188" s="142"/>
      <c r="N188" s="84">
        <f>母公司汇总抵销!N188</f>
        <v>0</v>
      </c>
      <c r="O188" s="28" t="str">
        <f>母公司汇总抵销!O188</f>
        <v>归属于母公司股东的综合收益总额</v>
      </c>
    </row>
    <row r="189" spans="1:15" s="23" customFormat="1">
      <c r="A189" s="1160"/>
      <c r="B189" s="1163"/>
      <c r="C189" s="1166"/>
      <c r="D189" s="17"/>
      <c r="E189" s="26" t="str">
        <f t="shared" si="52"/>
        <v/>
      </c>
      <c r="F189" s="313"/>
      <c r="G189" s="27"/>
      <c r="H189" s="26" t="str">
        <f t="shared" si="53"/>
        <v/>
      </c>
      <c r="I189" s="313"/>
      <c r="J189" s="142"/>
      <c r="N189" s="84">
        <f>母公司汇总抵销!N189</f>
        <v>0</v>
      </c>
      <c r="O189" s="28" t="str">
        <f>母公司汇总抵销!O189</f>
        <v>归属于少数股东的综合收益总额</v>
      </c>
    </row>
    <row r="190" spans="1:15" s="23" customFormat="1">
      <c r="A190" s="1160"/>
      <c r="B190" s="1163"/>
      <c r="C190" s="1166"/>
      <c r="D190" s="17"/>
      <c r="E190" s="26" t="str">
        <f t="shared" si="52"/>
        <v/>
      </c>
      <c r="F190" s="313"/>
      <c r="G190" s="27"/>
      <c r="H190" s="26" t="str">
        <f t="shared" si="53"/>
        <v/>
      </c>
      <c r="I190" s="313"/>
      <c r="J190" s="142"/>
      <c r="N190" s="84">
        <f>母公司汇总抵销!N190</f>
        <v>0</v>
      </c>
      <c r="O190" s="782" t="str">
        <f>母公司汇总抵销!O190</f>
        <v>每股收益</v>
      </c>
    </row>
    <row r="191" spans="1:15" s="23" customFormat="1">
      <c r="A191" s="1160"/>
      <c r="B191" s="1163"/>
      <c r="C191" s="1166"/>
      <c r="D191" s="17"/>
      <c r="E191" s="26" t="str">
        <f t="shared" si="52"/>
        <v/>
      </c>
      <c r="F191" s="313"/>
      <c r="G191" s="27"/>
      <c r="H191" s="26" t="str">
        <f t="shared" si="53"/>
        <v/>
      </c>
      <c r="I191" s="313"/>
      <c r="J191" s="142"/>
      <c r="N191" s="84" t="str">
        <f>母公司汇总抵销!N191</f>
        <v>G38</v>
      </c>
      <c r="O191" s="28" t="str">
        <f>母公司汇总抵销!O191</f>
        <v>基本每股收益</v>
      </c>
    </row>
    <row r="192" spans="1:15" s="23" customFormat="1">
      <c r="A192" s="1160"/>
      <c r="B192" s="1163"/>
      <c r="C192" s="1166"/>
      <c r="D192" s="17"/>
      <c r="E192" s="26" t="str">
        <f t="shared" si="52"/>
        <v/>
      </c>
      <c r="F192" s="313"/>
      <c r="G192" s="27"/>
      <c r="H192" s="26" t="str">
        <f t="shared" si="53"/>
        <v/>
      </c>
      <c r="I192" s="313"/>
      <c r="J192" s="142"/>
      <c r="N192" s="84" t="str">
        <f>母公司汇总抵销!N192</f>
        <v>G39</v>
      </c>
      <c r="O192" s="28" t="str">
        <f>母公司汇总抵销!O192</f>
        <v>稀释每股收益</v>
      </c>
    </row>
    <row r="193" spans="1:15" s="23" customFormat="1">
      <c r="A193" s="1161"/>
      <c r="B193" s="1164"/>
      <c r="C193" s="1167"/>
      <c r="D193" s="17"/>
      <c r="E193" s="26" t="str">
        <f t="shared" si="52"/>
        <v/>
      </c>
      <c r="F193" s="313"/>
      <c r="G193" s="27"/>
      <c r="H193" s="26" t="str">
        <f t="shared" si="53"/>
        <v/>
      </c>
      <c r="I193" s="313"/>
      <c r="J193" s="142"/>
      <c r="N193" s="84">
        <f>母公司汇总抵销!N193</f>
        <v>0</v>
      </c>
      <c r="O193" s="782" t="str">
        <f>母公司汇总抵销!O193</f>
        <v>利润分配</v>
      </c>
    </row>
    <row r="194" spans="1:15" s="23" customFormat="1">
      <c r="A194" s="308"/>
      <c r="B194" s="308"/>
      <c r="C194" s="309"/>
      <c r="D194" s="310"/>
      <c r="E194" s="311"/>
      <c r="F194" s="311"/>
      <c r="G194" s="310"/>
      <c r="H194" s="311"/>
      <c r="I194" s="311"/>
      <c r="J194" s="312" t="str">
        <f>IF(ABS((SUMIF(E188:E193,"?*",J188:J193)-SUMIF(H188:H193,"?*",J188:J193)))&lt;0.005,"","借贷不等")</f>
        <v/>
      </c>
      <c r="N194" s="84" t="str">
        <f>母公司汇总抵销!N194</f>
        <v>G40</v>
      </c>
      <c r="O194" s="28" t="str">
        <f>母公司汇总抵销!O194</f>
        <v>年初未分配利润</v>
      </c>
    </row>
    <row r="195" spans="1:15" s="23" customFormat="1">
      <c r="A195" s="1159">
        <v>28</v>
      </c>
      <c r="B195" s="1162"/>
      <c r="C195" s="1165"/>
      <c r="D195" s="17"/>
      <c r="E195" s="26" t="str">
        <f t="shared" ref="E195:E200" si="54">IF(D195=0,"",VLOOKUP(D195,$N:$O,2,0))</f>
        <v/>
      </c>
      <c r="F195" s="313"/>
      <c r="G195" s="25"/>
      <c r="H195" s="21" t="str">
        <f t="shared" ref="H195:H200" si="55">IF(G195=0,"",VLOOKUP(G195,$N:$O,2,0))</f>
        <v/>
      </c>
      <c r="I195" s="313"/>
      <c r="J195" s="142"/>
      <c r="N195" s="84">
        <f>母公司汇总抵销!N195</f>
        <v>0</v>
      </c>
      <c r="O195" s="28" t="str">
        <f>母公司汇总抵销!O195</f>
        <v>可供分配的利润</v>
      </c>
    </row>
    <row r="196" spans="1:15" s="23" customFormat="1">
      <c r="A196" s="1160"/>
      <c r="B196" s="1163"/>
      <c r="C196" s="1166"/>
      <c r="D196" s="17"/>
      <c r="E196" s="26" t="str">
        <f t="shared" si="54"/>
        <v/>
      </c>
      <c r="F196" s="313"/>
      <c r="G196" s="27"/>
      <c r="H196" s="26" t="str">
        <f t="shared" si="55"/>
        <v/>
      </c>
      <c r="I196" s="313"/>
      <c r="J196" s="142"/>
      <c r="N196" s="84" t="str">
        <f>母公司汇总抵销!N196</f>
        <v>G41</v>
      </c>
      <c r="O196" s="28" t="str">
        <f>母公司汇总抵销!O196</f>
        <v>1、提取法定盈余公积</v>
      </c>
    </row>
    <row r="197" spans="1:15" s="23" customFormat="1">
      <c r="A197" s="1160"/>
      <c r="B197" s="1163"/>
      <c r="C197" s="1166"/>
      <c r="D197" s="17"/>
      <c r="E197" s="26" t="str">
        <f t="shared" si="54"/>
        <v/>
      </c>
      <c r="F197" s="313"/>
      <c r="G197" s="27"/>
      <c r="H197" s="26" t="str">
        <f t="shared" si="55"/>
        <v/>
      </c>
      <c r="I197" s="313"/>
      <c r="J197" s="142"/>
      <c r="N197" s="84" t="str">
        <f>母公司汇总抵销!N197</f>
        <v>G42</v>
      </c>
      <c r="O197" s="28" t="str">
        <f>母公司汇总抵销!O197</f>
        <v>2、其他</v>
      </c>
    </row>
    <row r="198" spans="1:15" s="23" customFormat="1">
      <c r="A198" s="1160"/>
      <c r="B198" s="1163"/>
      <c r="C198" s="1166"/>
      <c r="D198" s="17"/>
      <c r="E198" s="26" t="str">
        <f t="shared" si="54"/>
        <v/>
      </c>
      <c r="F198" s="313"/>
      <c r="G198" s="27"/>
      <c r="H198" s="26" t="str">
        <f t="shared" si="55"/>
        <v/>
      </c>
      <c r="I198" s="313"/>
      <c r="J198" s="142"/>
      <c r="N198" s="84">
        <f>母公司汇总抵销!N198</f>
        <v>0</v>
      </c>
      <c r="O198" s="28" t="str">
        <f>母公司汇总抵销!O198</f>
        <v>可供投资者分配的利润</v>
      </c>
    </row>
    <row r="199" spans="1:15" s="23" customFormat="1">
      <c r="A199" s="1160"/>
      <c r="B199" s="1163"/>
      <c r="C199" s="1166"/>
      <c r="D199" s="17"/>
      <c r="E199" s="26" t="str">
        <f t="shared" si="54"/>
        <v/>
      </c>
      <c r="F199" s="313"/>
      <c r="G199" s="27"/>
      <c r="H199" s="26" t="str">
        <f t="shared" si="55"/>
        <v/>
      </c>
      <c r="I199" s="313"/>
      <c r="J199" s="142"/>
      <c r="N199" s="84" t="str">
        <f>母公司汇总抵销!N199</f>
        <v>G43</v>
      </c>
      <c r="O199" s="28" t="str">
        <f>母公司汇总抵销!O199</f>
        <v>1、应付优先股股利</v>
      </c>
    </row>
    <row r="200" spans="1:15" s="23" customFormat="1">
      <c r="A200" s="1161"/>
      <c r="B200" s="1164"/>
      <c r="C200" s="1167"/>
      <c r="D200" s="17"/>
      <c r="E200" s="26" t="str">
        <f t="shared" si="54"/>
        <v/>
      </c>
      <c r="F200" s="313"/>
      <c r="G200" s="27"/>
      <c r="H200" s="26" t="str">
        <f t="shared" si="55"/>
        <v/>
      </c>
      <c r="I200" s="313"/>
      <c r="J200" s="142"/>
      <c r="N200" s="84" t="str">
        <f>母公司汇总抵销!N200</f>
        <v>G44</v>
      </c>
      <c r="O200" s="28" t="str">
        <f>母公司汇总抵销!O200</f>
        <v>2、提取任意盈余公积</v>
      </c>
    </row>
    <row r="201" spans="1:15" s="23" customFormat="1">
      <c r="A201" s="308"/>
      <c r="B201" s="308"/>
      <c r="C201" s="309"/>
      <c r="D201" s="310"/>
      <c r="E201" s="311"/>
      <c r="F201" s="311"/>
      <c r="G201" s="310"/>
      <c r="H201" s="311"/>
      <c r="I201" s="311"/>
      <c r="J201" s="312" t="str">
        <f>IF(ABS((SUMIF(E195:E200,"?*",J195:J200)-SUMIF(H195:H200,"?*",J195:J200)))&lt;0.005,"","借贷不等")</f>
        <v/>
      </c>
      <c r="N201" s="84" t="str">
        <f>母公司汇总抵销!N201</f>
        <v>G45</v>
      </c>
      <c r="O201" s="28" t="str">
        <f>母公司汇总抵销!O201</f>
        <v>3、应付普通股股利（应付利润）</v>
      </c>
    </row>
    <row r="202" spans="1:15" s="23" customFormat="1">
      <c r="A202" s="1159">
        <v>29</v>
      </c>
      <c r="B202" s="1162"/>
      <c r="C202" s="1165"/>
      <c r="D202" s="17"/>
      <c r="E202" s="26" t="str">
        <f t="shared" ref="E202:E207" si="56">IF(D202=0,"",VLOOKUP(D202,$N:$O,2,0))</f>
        <v/>
      </c>
      <c r="F202" s="313"/>
      <c r="G202" s="25"/>
      <c r="H202" s="21" t="str">
        <f t="shared" ref="H202:H207" si="57">IF(G202=0,"",VLOOKUP(G202,$N:$O,2,0))</f>
        <v/>
      </c>
      <c r="I202" s="313"/>
      <c r="J202" s="142"/>
      <c r="N202" s="84" t="str">
        <f>母公司汇总抵销!N202</f>
        <v>G46</v>
      </c>
      <c r="O202" s="28" t="str">
        <f>母公司汇总抵销!O202</f>
        <v>4、转作资本（或股本）的普通股股利</v>
      </c>
    </row>
    <row r="203" spans="1:15" s="23" customFormat="1">
      <c r="A203" s="1160"/>
      <c r="B203" s="1163"/>
      <c r="C203" s="1166"/>
      <c r="D203" s="17"/>
      <c r="E203" s="26" t="str">
        <f t="shared" si="56"/>
        <v/>
      </c>
      <c r="F203" s="313"/>
      <c r="G203" s="27"/>
      <c r="H203" s="26" t="str">
        <f t="shared" si="57"/>
        <v/>
      </c>
      <c r="I203" s="313"/>
      <c r="J203" s="142"/>
      <c r="N203" s="84" t="str">
        <f>母公司汇总抵销!N203</f>
        <v>G47</v>
      </c>
      <c r="O203" s="28" t="str">
        <f>母公司汇总抵销!O203</f>
        <v>5、其他</v>
      </c>
    </row>
    <row r="204" spans="1:15" s="23" customFormat="1">
      <c r="A204" s="1160"/>
      <c r="B204" s="1163"/>
      <c r="C204" s="1166"/>
      <c r="D204" s="17"/>
      <c r="E204" s="26" t="str">
        <f t="shared" si="56"/>
        <v/>
      </c>
      <c r="F204" s="313"/>
      <c r="G204" s="27"/>
      <c r="H204" s="26" t="str">
        <f t="shared" si="57"/>
        <v/>
      </c>
      <c r="I204" s="313"/>
      <c r="J204" s="142"/>
      <c r="N204" s="84">
        <f>母公司汇总抵销!N204</f>
        <v>0</v>
      </c>
      <c r="O204" s="782" t="str">
        <f>母公司汇总抵销!O204</f>
        <v>未分配利润</v>
      </c>
    </row>
    <row r="205" spans="1:15" s="23" customFormat="1">
      <c r="A205" s="1160"/>
      <c r="B205" s="1163"/>
      <c r="C205" s="1166"/>
      <c r="D205" s="17"/>
      <c r="E205" s="26" t="str">
        <f t="shared" si="56"/>
        <v/>
      </c>
      <c r="F205" s="313"/>
      <c r="G205" s="27"/>
      <c r="H205" s="26" t="str">
        <f t="shared" si="57"/>
        <v/>
      </c>
      <c r="I205" s="313"/>
      <c r="J205" s="142"/>
      <c r="N205" s="84">
        <f>母公司汇总抵销!N205</f>
        <v>0</v>
      </c>
      <c r="O205" s="28" t="str">
        <f>母公司汇总抵销!O205</f>
        <v/>
      </c>
    </row>
    <row r="206" spans="1:15" s="23" customFormat="1">
      <c r="A206" s="1160"/>
      <c r="B206" s="1163"/>
      <c r="C206" s="1166"/>
      <c r="D206" s="17"/>
      <c r="E206" s="26" t="str">
        <f t="shared" si="56"/>
        <v/>
      </c>
      <c r="F206" s="313"/>
      <c r="G206" s="27"/>
      <c r="H206" s="26" t="str">
        <f t="shared" si="57"/>
        <v/>
      </c>
      <c r="I206" s="313"/>
      <c r="J206" s="142"/>
      <c r="N206" s="84">
        <f>母公司汇总抵销!N206</f>
        <v>0</v>
      </c>
      <c r="O206" s="28" t="str">
        <f>母公司汇总抵销!O206</f>
        <v/>
      </c>
    </row>
    <row r="207" spans="1:15" s="23" customFormat="1">
      <c r="A207" s="1161"/>
      <c r="B207" s="1164"/>
      <c r="C207" s="1167"/>
      <c r="D207" s="17"/>
      <c r="E207" s="26" t="str">
        <f t="shared" si="56"/>
        <v/>
      </c>
      <c r="F207" s="313"/>
      <c r="G207" s="27"/>
      <c r="H207" s="26" t="str">
        <f t="shared" si="57"/>
        <v/>
      </c>
      <c r="I207" s="313"/>
      <c r="J207" s="142"/>
      <c r="N207" s="84">
        <f>母公司汇总抵销!N207</f>
        <v>0</v>
      </c>
      <c r="O207" s="28" t="str">
        <f>母公司汇总抵销!O207</f>
        <v/>
      </c>
    </row>
    <row r="208" spans="1:15" s="23" customFormat="1">
      <c r="A208" s="308"/>
      <c r="B208" s="308"/>
      <c r="C208" s="309"/>
      <c r="D208" s="310"/>
      <c r="E208" s="311"/>
      <c r="F208" s="311"/>
      <c r="G208" s="310"/>
      <c r="H208" s="311"/>
      <c r="I208" s="311"/>
      <c r="J208" s="312" t="str">
        <f>IF(ABS((SUMIF(E202:E207,"?*",J202:J207)-SUMIF(H202:H207,"?*",J202:J207)))&lt;0.005,"","借贷不等")</f>
        <v/>
      </c>
      <c r="N208" s="84">
        <f>母公司汇总抵销!N208</f>
        <v>0</v>
      </c>
      <c r="O208" s="28" t="str">
        <f>母公司汇总抵销!O208</f>
        <v/>
      </c>
    </row>
    <row r="209" spans="14:15">
      <c r="N209" s="84"/>
      <c r="O209" s="85"/>
    </row>
    <row r="210" spans="14:15">
      <c r="N210" s="84"/>
      <c r="O210" s="85"/>
    </row>
    <row r="211" spans="14:15">
      <c r="N211" s="84"/>
      <c r="O211" s="87"/>
    </row>
    <row r="212" spans="14:15">
      <c r="N212" s="84"/>
      <c r="O212" s="85"/>
    </row>
    <row r="213" spans="14:15">
      <c r="N213" s="84"/>
      <c r="O213" s="85"/>
    </row>
    <row r="214" spans="14:15">
      <c r="N214" s="84"/>
      <c r="O214" s="85"/>
    </row>
    <row r="215" spans="14:15">
      <c r="N215" s="84"/>
      <c r="O215" s="87"/>
    </row>
    <row r="216" spans="14:15">
      <c r="N216" s="84"/>
      <c r="O216" s="85"/>
    </row>
    <row r="217" spans="14:15">
      <c r="N217" s="84"/>
      <c r="O217" s="85"/>
    </row>
    <row r="218" spans="14:15">
      <c r="N218" s="84"/>
      <c r="O218" s="85"/>
    </row>
    <row r="219" spans="14:15">
      <c r="N219" s="84"/>
      <c r="O219" s="85"/>
    </row>
    <row r="220" spans="14:15">
      <c r="N220" s="84"/>
      <c r="O220" s="85"/>
    </row>
    <row r="221" spans="14:15">
      <c r="N221" s="84"/>
      <c r="O221" s="85"/>
    </row>
    <row r="222" spans="14:15">
      <c r="N222" s="84"/>
      <c r="O222" s="85"/>
    </row>
    <row r="223" spans="14:15">
      <c r="N223" s="84"/>
      <c r="O223" s="85"/>
    </row>
    <row r="224" spans="14:15">
      <c r="N224" s="84"/>
      <c r="O224" s="85"/>
    </row>
    <row r="225" spans="14:15">
      <c r="N225" s="84"/>
      <c r="O225" s="87"/>
    </row>
    <row r="226" spans="14:15">
      <c r="N226" s="84"/>
      <c r="O226" s="85"/>
    </row>
    <row r="227" spans="14:15">
      <c r="N227" s="84"/>
      <c r="O227" s="85"/>
    </row>
    <row r="228" spans="14:15">
      <c r="N228" s="84"/>
      <c r="O228" s="85"/>
    </row>
    <row r="229" spans="14:15">
      <c r="N229" s="84"/>
      <c r="O229" s="85"/>
    </row>
    <row r="230" spans="14:15">
      <c r="N230" s="84"/>
      <c r="O230" s="85"/>
    </row>
    <row r="231" spans="14:15">
      <c r="N231" s="84"/>
      <c r="O231" s="86"/>
    </row>
    <row r="232" spans="14:15">
      <c r="N232" s="84"/>
      <c r="O232" s="85"/>
    </row>
    <row r="233" spans="14:15">
      <c r="N233" s="84"/>
      <c r="O233" s="83"/>
    </row>
    <row r="234" spans="14:15">
      <c r="N234" s="23"/>
      <c r="O234" s="23"/>
    </row>
  </sheetData>
  <sheetProtection formatCells="0" formatColumns="0" formatRows="0" insertRows="0" autoFilter="0" pivotTables="0"/>
  <mergeCells count="86">
    <mergeCell ref="A202:A207"/>
    <mergeCell ref="B202:B207"/>
    <mergeCell ref="C202:C207"/>
    <mergeCell ref="A188:A193"/>
    <mergeCell ref="B188:B193"/>
    <mergeCell ref="C188:C193"/>
    <mergeCell ref="A195:A200"/>
    <mergeCell ref="B195:B200"/>
    <mergeCell ref="C195:C200"/>
    <mergeCell ref="A13:A18"/>
    <mergeCell ref="B13:B18"/>
    <mergeCell ref="C13:C18"/>
    <mergeCell ref="A20:A25"/>
    <mergeCell ref="B20:B25"/>
    <mergeCell ref="C20:C25"/>
    <mergeCell ref="A27:A32"/>
    <mergeCell ref="B27:B32"/>
    <mergeCell ref="C27:C32"/>
    <mergeCell ref="A34:A39"/>
    <mergeCell ref="B34:B39"/>
    <mergeCell ref="C34:C39"/>
    <mergeCell ref="A41:A46"/>
    <mergeCell ref="B41:B46"/>
    <mergeCell ref="C41:C46"/>
    <mergeCell ref="A48:A53"/>
    <mergeCell ref="B48:B53"/>
    <mergeCell ref="C48:C53"/>
    <mergeCell ref="A55:A60"/>
    <mergeCell ref="B55:B60"/>
    <mergeCell ref="C55:C60"/>
    <mergeCell ref="A62:A67"/>
    <mergeCell ref="B62:B67"/>
    <mergeCell ref="C62:C67"/>
    <mergeCell ref="A69:A74"/>
    <mergeCell ref="B69:B74"/>
    <mergeCell ref="C69:C74"/>
    <mergeCell ref="A76:A81"/>
    <mergeCell ref="B76:B81"/>
    <mergeCell ref="C76:C81"/>
    <mergeCell ref="A83:A88"/>
    <mergeCell ref="B83:B88"/>
    <mergeCell ref="C83:C88"/>
    <mergeCell ref="A90:A95"/>
    <mergeCell ref="B90:B95"/>
    <mergeCell ref="C90:C95"/>
    <mergeCell ref="A97:A102"/>
    <mergeCell ref="B97:B102"/>
    <mergeCell ref="C97:C102"/>
    <mergeCell ref="A104:A109"/>
    <mergeCell ref="B104:B109"/>
    <mergeCell ref="C104:C109"/>
    <mergeCell ref="C132:C137"/>
    <mergeCell ref="A111:A116"/>
    <mergeCell ref="B111:B116"/>
    <mergeCell ref="C111:C116"/>
    <mergeCell ref="A118:A123"/>
    <mergeCell ref="B118:B123"/>
    <mergeCell ref="C118:C123"/>
    <mergeCell ref="B5:B11"/>
    <mergeCell ref="A5:A11"/>
    <mergeCell ref="A153:A158"/>
    <mergeCell ref="B153:B158"/>
    <mergeCell ref="C153:C158"/>
    <mergeCell ref="A139:A144"/>
    <mergeCell ref="B139:B144"/>
    <mergeCell ref="C139:C144"/>
    <mergeCell ref="A146:A151"/>
    <mergeCell ref="B146:B151"/>
    <mergeCell ref="C146:C151"/>
    <mergeCell ref="A125:A130"/>
    <mergeCell ref="B125:B130"/>
    <mergeCell ref="C125:C130"/>
    <mergeCell ref="A132:A137"/>
    <mergeCell ref="B132:B137"/>
    <mergeCell ref="A160:A165"/>
    <mergeCell ref="B160:B165"/>
    <mergeCell ref="C160:C165"/>
    <mergeCell ref="A167:A172"/>
    <mergeCell ref="B167:B172"/>
    <mergeCell ref="C167:C172"/>
    <mergeCell ref="A174:A179"/>
    <mergeCell ref="B174:B179"/>
    <mergeCell ref="C174:C179"/>
    <mergeCell ref="A181:A186"/>
    <mergeCell ref="B181:B186"/>
    <mergeCell ref="C181:C186"/>
  </mergeCells>
  <phoneticPr fontId="50" type="noConversion"/>
  <conditionalFormatting sqref="A1">
    <cfRule type="cellIs" dxfId="38"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8"/>
    <dataValidation type="list" allowBlank="1" showDropDown="1" showInputMessage="1" showErrorMessage="1" errorTitle="警告" error="   您输入的科目不是报表标准科目_x000a__x000a_请对应“报表项目”核对科目名称" sqref="E202:E207 H5 H7:H11 E6:E11 H6:I6 H196:H200 E195:E200 H189:H193 E188:E193 H182:H186 E181:E186 H175:H179 E174:E179 H168:H172 E167:E172 H161:H165 E160:E165 H154:H158 E153:E158 H147:H151 E146:E151 H140:H144 E139:E144 H133:H137 E132:E137 H126:H130 E125:E130 H119:H123 E118:E123 H112:H116 E111:E116 H105:H109 E104:E109 H98:H102 E97:E102 H91:H95 E90:E95 H84:H88 E83:E88 H77:H81 E76:E81 H70:H74 E69:E74 H63:H67 E62:E67 H56:H60 E55:E60 H49:H53 E48:E53 H42:H46 E41:E46 H35:H39 E34:E39 H28:H32 E27:E32 H21:H25 E20:E25 H14:H18 E13:E18 H203:H207">
      <formula1>$O:$O</formula1>
    </dataValidation>
    <dataValidation type="list" allowBlank="1" showDropDown="1" showInputMessage="1" showErrorMessage="1" errorTitle="警告" error="   您输入的科目不是报表标准科目_x000a__x000a_请对应“调整事项转换表”核对科目名称" sqref="H12 E12 H19 E19 H26 E26 H33 E33 H40 E40 H47 E47 H54 E54 H61 E61 H68 E68 H75 E75 H82 E82 H89 E89 H96 E96 H103 E103 H110 E110 H117 E117 H124 E124 H131 E131 H138 E138 H145 E145 H152 E152 H159 E159 H166 E166 H173 E173 H180 E180 H187 E187 H194 E194 H201 E201 H208 E208">
      <formula1>$O$7:$O$116</formula1>
    </dataValidation>
    <dataValidation type="list" allowBlank="1" showDropDown="1" showInputMessage="1" showErrorMessage="1" prompt="可直接输入科目名称；也可以在“code”列输入代码" sqref="H13 E5 H202 H195 H188 H181 H174 H167 H160 H153 H146 H139 H132 H125 H118 H111 H104 H97 H90 H83 H76 H69 H62 H55 H48 H41 H34 H27 H20">
      <formula1>$O:$O</formula1>
    </dataValidation>
  </dataValidations>
  <printOptions horizontalCentered="1"/>
  <pageMargins left="0.6" right="0.23622047244094491" top="0.63" bottom="0.63" header="0.38" footer="0.28999999999999998"/>
  <pageSetup paperSize="9" orientation="portrait" horizontalDpi="360" verticalDpi="360" r:id="rId1"/>
  <headerFooter alignWithMargins="0">
    <oddFooter>&amp;C&amp;9&amp;P/&amp;N</oddFooter>
  </headerFooter>
  <colBreaks count="1" manualBreakCount="1">
    <brk id="10"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sheetPr>
  <dimension ref="A1:O234"/>
  <sheetViews>
    <sheetView workbookViewId="0">
      <selection activeCell="N1" sqref="N1:O1048576"/>
    </sheetView>
  </sheetViews>
  <sheetFormatPr defaultColWidth="9" defaultRowHeight="13.5"/>
  <cols>
    <col min="1" max="1" width="3.25" style="201" customWidth="1"/>
    <col min="2" max="2" width="5.5" style="201" customWidth="1"/>
    <col min="3" max="3" width="19.375" style="824" customWidth="1"/>
    <col min="4" max="4" width="3.625" style="825" customWidth="1"/>
    <col min="5" max="5" width="9.25" style="826" customWidth="1"/>
    <col min="6" max="6" width="12.375" style="826" customWidth="1"/>
    <col min="7" max="7" width="3.375" style="825" customWidth="1"/>
    <col min="8" max="8" width="10.125" style="826" customWidth="1"/>
    <col min="9" max="9" width="12.5" style="826" customWidth="1"/>
    <col min="10" max="10" width="11.5" style="821" customWidth="1"/>
    <col min="11" max="11" width="7.375" style="826" customWidth="1"/>
    <col min="12" max="12" width="8.75" style="826" customWidth="1"/>
    <col min="13" max="13" width="0.5" style="826" customWidth="1"/>
    <col min="14" max="14" width="6" style="827" customWidth="1"/>
    <col min="15" max="15" width="22.375" style="828" bestFit="1" customWidth="1"/>
    <col min="16" max="16384" width="9" style="826"/>
  </cols>
  <sheetData>
    <row r="1" spans="1:15" s="20" customFormat="1" ht="19.5" customHeight="1">
      <c r="A1" s="128" t="str">
        <f>IF((L2-(合并TB资产!E60+合并TB负债!E63+合并TB损益!E90)-IF(COUNTIF(E5:E666,"未分配利润")&gt;=1,VLOOKUP("未分配利润",E5:J666,6,0),0))&lt;0.005,"合并往来交易抵销事项汇总表","调整事项未全部链入试算平衡表，请检查调整科目是否为报表项目!")</f>
        <v>合并往来交易抵销事项汇总表</v>
      </c>
      <c r="B1" s="18"/>
      <c r="C1" s="147"/>
      <c r="D1" s="19"/>
      <c r="E1" s="19"/>
      <c r="F1" s="19"/>
      <c r="G1" s="19"/>
      <c r="H1" s="19"/>
      <c r="I1" s="19"/>
      <c r="J1" s="143"/>
      <c r="K1" s="564">
        <f>SUM(L2:L3)</f>
        <v>0</v>
      </c>
      <c r="L1" s="564"/>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日期：2019.12.31</v>
      </c>
      <c r="J2" s="805" t="s">
        <v>950</v>
      </c>
      <c r="K2" s="565" t="s">
        <v>283</v>
      </c>
      <c r="L2" s="566">
        <f>SUMIF(E5:E65536,"?*",J5:J65536)</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5" t="s">
        <v>285</v>
      </c>
      <c r="L3" s="566">
        <f>SUMIF(H5:H65536,"?*",J5:J65536)</f>
        <v>0</v>
      </c>
      <c r="N3" s="82">
        <f>母公司汇总抵销!N3</f>
        <v>0</v>
      </c>
      <c r="O3" s="83">
        <f>母公司汇总抵销!O3</f>
        <v>0</v>
      </c>
    </row>
    <row r="4" spans="1:15" s="23" customFormat="1">
      <c r="A4" s="569" t="s">
        <v>311</v>
      </c>
      <c r="B4" s="124" t="s">
        <v>286</v>
      </c>
      <c r="C4" s="149" t="s">
        <v>287</v>
      </c>
      <c r="D4" s="126" t="s">
        <v>452</v>
      </c>
      <c r="E4" s="125" t="s">
        <v>288</v>
      </c>
      <c r="F4" s="127" t="s">
        <v>289</v>
      </c>
      <c r="G4" s="126" t="s">
        <v>452</v>
      </c>
      <c r="H4" s="125" t="s">
        <v>290</v>
      </c>
      <c r="I4" s="127" t="s">
        <v>289</v>
      </c>
      <c r="J4" s="145" t="s">
        <v>262</v>
      </c>
      <c r="K4" s="567"/>
      <c r="L4" s="568">
        <f>L2-L3</f>
        <v>0</v>
      </c>
      <c r="N4" s="82">
        <f>母公司汇总抵销!N4</f>
        <v>0</v>
      </c>
      <c r="O4" s="83">
        <f>母公司汇总抵销!O4</f>
        <v>0</v>
      </c>
    </row>
    <row r="5" spans="1:15" s="23" customFormat="1">
      <c r="A5" s="1159">
        <v>1</v>
      </c>
      <c r="B5" s="1162"/>
      <c r="C5" s="1165"/>
      <c r="D5" s="17"/>
      <c r="E5" s="21" t="str">
        <f t="shared" ref="E5:E10" si="0">IF(D5=0,"",VLOOKUP(D5,$N:$O,2,0))</f>
        <v/>
      </c>
      <c r="F5" s="811"/>
      <c r="G5" s="25"/>
      <c r="H5" s="26" t="str">
        <f t="shared" ref="H5:H10" si="1">IF(G5=0,"",VLOOKUP(G5,$N:$O,2,0))</f>
        <v/>
      </c>
      <c r="I5" s="313"/>
      <c r="J5" s="142"/>
      <c r="K5" s="171" t="s">
        <v>453</v>
      </c>
      <c r="N5" s="82">
        <f>母公司汇总抵销!N5</f>
        <v>0</v>
      </c>
      <c r="O5" s="71" t="str">
        <f>母公司汇总抵销!O5</f>
        <v>流动资产：</v>
      </c>
    </row>
    <row r="6" spans="1:15" s="23" customFormat="1">
      <c r="A6" s="1160"/>
      <c r="B6" s="1163"/>
      <c r="C6" s="1166"/>
      <c r="D6" s="17"/>
      <c r="E6" s="26" t="str">
        <f t="shared" si="0"/>
        <v/>
      </c>
      <c r="F6" s="811"/>
      <c r="G6" s="864"/>
      <c r="H6" s="26" t="str">
        <f t="shared" si="1"/>
        <v/>
      </c>
      <c r="I6" s="868"/>
      <c r="J6" s="142"/>
      <c r="K6" s="171" t="s">
        <v>454</v>
      </c>
      <c r="N6" s="84" t="str">
        <f>母公司汇总抵销!N6</f>
        <v>D1</v>
      </c>
      <c r="O6" s="28" t="str">
        <f>母公司汇总抵销!O6</f>
        <v>货币资金</v>
      </c>
    </row>
    <row r="7" spans="1:15" s="23" customFormat="1">
      <c r="A7" s="1160"/>
      <c r="B7" s="1163"/>
      <c r="C7" s="1166"/>
      <c r="D7" s="850"/>
      <c r="E7" s="26" t="str">
        <f t="shared" si="0"/>
        <v/>
      </c>
      <c r="F7" s="811"/>
      <c r="G7" s="27"/>
      <c r="H7" s="26" t="str">
        <f t="shared" si="1"/>
        <v/>
      </c>
      <c r="I7" s="313"/>
      <c r="J7" s="142"/>
      <c r="N7" s="84" t="str">
        <f>母公司汇总抵销!N7</f>
        <v>D41</v>
      </c>
      <c r="O7" s="28" t="str">
        <f>母公司汇总抵销!O7</f>
        <v>结算备付金</v>
      </c>
    </row>
    <row r="8" spans="1:15" s="23" customFormat="1">
      <c r="A8" s="1160"/>
      <c r="B8" s="1163"/>
      <c r="C8" s="1166"/>
      <c r="D8" s="17"/>
      <c r="E8" s="26" t="str">
        <f t="shared" si="0"/>
        <v/>
      </c>
      <c r="F8" s="313"/>
      <c r="G8" s="27"/>
      <c r="H8" s="26" t="str">
        <f t="shared" si="1"/>
        <v/>
      </c>
      <c r="I8" s="811"/>
      <c r="J8" s="142"/>
      <c r="N8" s="84" t="str">
        <f>母公司汇总抵销!N8</f>
        <v>D42</v>
      </c>
      <c r="O8" s="28" t="str">
        <f>母公司汇总抵销!O8</f>
        <v>拆出资金</v>
      </c>
    </row>
    <row r="9" spans="1:15" s="23" customFormat="1">
      <c r="A9" s="1160"/>
      <c r="B9" s="1163"/>
      <c r="C9" s="1166"/>
      <c r="D9" s="17"/>
      <c r="E9" s="26" t="str">
        <f t="shared" si="0"/>
        <v/>
      </c>
      <c r="F9" s="313"/>
      <c r="G9" s="27"/>
      <c r="H9" s="26" t="str">
        <f t="shared" si="1"/>
        <v/>
      </c>
      <c r="I9" s="313"/>
      <c r="J9" s="142"/>
      <c r="K9" s="24"/>
      <c r="N9" s="84" t="str">
        <f>母公司汇总抵销!N9</f>
        <v>D2</v>
      </c>
      <c r="O9" s="28" t="str">
        <f>母公司汇总抵销!O9</f>
        <v>交易性金融资产</v>
      </c>
    </row>
    <row r="10" spans="1:15" s="23" customFormat="1">
      <c r="A10" s="1161"/>
      <c r="B10" s="1164"/>
      <c r="C10" s="1167"/>
      <c r="D10" s="17"/>
      <c r="E10" s="26" t="str">
        <f t="shared" si="0"/>
        <v/>
      </c>
      <c r="F10" s="313"/>
      <c r="G10" s="27"/>
      <c r="H10" s="26" t="str">
        <f t="shared" si="1"/>
        <v/>
      </c>
      <c r="I10" s="313"/>
      <c r="J10" s="142"/>
      <c r="K10" s="24"/>
      <c r="N10" s="84" t="str">
        <f>母公司汇总抵销!N10</f>
        <v>D3</v>
      </c>
      <c r="O10" s="28" t="str">
        <f>母公司汇总抵销!O10</f>
        <v>以公允价值计量且其变动计入当期损益的金融资产</v>
      </c>
    </row>
    <row r="11" spans="1:15" s="23" customFormat="1">
      <c r="A11" s="308"/>
      <c r="B11" s="308"/>
      <c r="C11" s="309"/>
      <c r="D11" s="310"/>
      <c r="E11" s="311"/>
      <c r="F11" s="311"/>
      <c r="G11" s="310"/>
      <c r="H11" s="311"/>
      <c r="I11" s="311"/>
      <c r="J11" s="755" t="str">
        <f>IF(ABS((SUMIF(E5:E10,"?*",J5:J10)-SUMIF(H5:H10,"?*",J5:J10)))&lt;0.005,"","借贷不等")</f>
        <v/>
      </c>
      <c r="N11" s="84" t="str">
        <f>母公司汇总抵销!N11</f>
        <v>D4</v>
      </c>
      <c r="O11" s="28" t="str">
        <f>母公司汇总抵销!O11</f>
        <v>衍生金融资产</v>
      </c>
    </row>
    <row r="12" spans="1:15" s="23" customFormat="1">
      <c r="A12" s="1159">
        <v>2</v>
      </c>
      <c r="B12" s="1162"/>
      <c r="C12" s="1165"/>
      <c r="D12" s="17"/>
      <c r="E12" s="26" t="str">
        <f t="shared" ref="E12:E17" si="2">IF(D12=0,"",VLOOKUP(D12,$N:$O,2,0))</f>
        <v/>
      </c>
      <c r="F12" s="313"/>
      <c r="G12" s="27"/>
      <c r="H12" s="26" t="str">
        <f t="shared" ref="H12:H17" si="3">IF(G12=0,"",VLOOKUP(G12,$N:$O,2,0))</f>
        <v/>
      </c>
      <c r="I12" s="313"/>
      <c r="J12" s="142"/>
      <c r="N12" s="84" t="str">
        <f>母公司汇总抵销!N12</f>
        <v>D5</v>
      </c>
      <c r="O12" s="28" t="str">
        <f>母公司汇总抵销!O12</f>
        <v>应收票据</v>
      </c>
    </row>
    <row r="13" spans="1:15" s="23" customFormat="1">
      <c r="A13" s="1160"/>
      <c r="B13" s="1163"/>
      <c r="C13" s="1166"/>
      <c r="D13" s="17"/>
      <c r="E13" s="26" t="str">
        <f t="shared" si="2"/>
        <v/>
      </c>
      <c r="F13" s="313"/>
      <c r="G13" s="27"/>
      <c r="H13" s="26" t="str">
        <f t="shared" si="3"/>
        <v/>
      </c>
      <c r="I13" s="313"/>
      <c r="J13" s="142"/>
      <c r="N13" s="84" t="str">
        <f>母公司汇总抵销!N13</f>
        <v>D6</v>
      </c>
      <c r="O13" s="28" t="str">
        <f>母公司汇总抵销!O13</f>
        <v>应收账款</v>
      </c>
    </row>
    <row r="14" spans="1:15" s="23" customFormat="1">
      <c r="A14" s="1160"/>
      <c r="B14" s="1163"/>
      <c r="C14" s="1166"/>
      <c r="D14" s="17"/>
      <c r="E14" s="26" t="str">
        <f t="shared" si="2"/>
        <v/>
      </c>
      <c r="F14" s="313"/>
      <c r="G14" s="27"/>
      <c r="H14" s="26" t="str">
        <f t="shared" si="3"/>
        <v/>
      </c>
      <c r="I14" s="313"/>
      <c r="J14" s="142"/>
      <c r="N14" s="84" t="str">
        <f>母公司汇总抵销!N14</f>
        <v>D7</v>
      </c>
      <c r="O14" s="28" t="str">
        <f>母公司汇总抵销!O14</f>
        <v>应收款项融资</v>
      </c>
    </row>
    <row r="15" spans="1:15" s="23" customFormat="1">
      <c r="A15" s="1160"/>
      <c r="B15" s="1163"/>
      <c r="C15" s="1166"/>
      <c r="D15" s="17"/>
      <c r="E15" s="26" t="str">
        <f t="shared" si="2"/>
        <v/>
      </c>
      <c r="F15" s="313"/>
      <c r="G15" s="27"/>
      <c r="H15" s="26" t="str">
        <f t="shared" si="3"/>
        <v/>
      </c>
      <c r="I15" s="313"/>
      <c r="J15" s="142"/>
      <c r="N15" s="84" t="str">
        <f>母公司汇总抵销!N15</f>
        <v>D8</v>
      </c>
      <c r="O15" s="28" t="str">
        <f>母公司汇总抵销!O15</f>
        <v>预付款项</v>
      </c>
    </row>
    <row r="16" spans="1:15" s="23" customFormat="1">
      <c r="A16" s="1160"/>
      <c r="B16" s="1163"/>
      <c r="C16" s="1166"/>
      <c r="D16" s="17"/>
      <c r="E16" s="26" t="str">
        <f t="shared" si="2"/>
        <v/>
      </c>
      <c r="F16" s="811"/>
      <c r="G16" s="27"/>
      <c r="H16" s="26" t="str">
        <f t="shared" si="3"/>
        <v/>
      </c>
      <c r="I16" s="313"/>
      <c r="J16" s="142"/>
      <c r="N16" s="84" t="str">
        <f>母公司汇总抵销!N16</f>
        <v>D43</v>
      </c>
      <c r="O16" s="28" t="str">
        <f>母公司汇总抵销!O16</f>
        <v>应收保费</v>
      </c>
    </row>
    <row r="17" spans="1:15" s="23" customFormat="1">
      <c r="A17" s="1161"/>
      <c r="B17" s="1164"/>
      <c r="C17" s="1167"/>
      <c r="D17" s="17"/>
      <c r="E17" s="26" t="str">
        <f t="shared" si="2"/>
        <v/>
      </c>
      <c r="F17" s="313"/>
      <c r="G17" s="27"/>
      <c r="H17" s="26" t="str">
        <f t="shared" si="3"/>
        <v/>
      </c>
      <c r="I17" s="313"/>
      <c r="J17" s="142"/>
      <c r="N17" s="84" t="str">
        <f>母公司汇总抵销!N17</f>
        <v>D44</v>
      </c>
      <c r="O17" s="28" t="str">
        <f>母公司汇总抵销!O17</f>
        <v>应收分保账款</v>
      </c>
    </row>
    <row r="18" spans="1:15" s="23" customFormat="1">
      <c r="A18" s="308"/>
      <c r="B18" s="308"/>
      <c r="C18" s="309"/>
      <c r="D18" s="310"/>
      <c r="E18" s="311"/>
      <c r="F18" s="311"/>
      <c r="G18" s="310"/>
      <c r="H18" s="311"/>
      <c r="I18" s="311"/>
      <c r="J18" s="755" t="str">
        <f>IF(ABS((SUMIF(E12:E17,"?*",J12:J17)-SUMIF(H12:H17,"?*",J12:J17)))&lt;0.005,"","借贷不等")</f>
        <v/>
      </c>
      <c r="N18" s="84" t="str">
        <f>母公司汇总抵销!N18</f>
        <v>D45</v>
      </c>
      <c r="O18" s="28" t="str">
        <f>母公司汇总抵销!O18</f>
        <v>应收分保准备金</v>
      </c>
    </row>
    <row r="19" spans="1:15" s="23" customFormat="1">
      <c r="A19" s="1159">
        <v>3</v>
      </c>
      <c r="B19" s="1162"/>
      <c r="C19" s="1165"/>
      <c r="D19" s="17"/>
      <c r="E19" s="26" t="str">
        <f t="shared" ref="E19:E24" si="4">IF(D19=0,"",VLOOKUP(D19,$N:$O,2,0))</f>
        <v/>
      </c>
      <c r="F19" s="811"/>
      <c r="G19" s="27"/>
      <c r="H19" s="26" t="str">
        <f t="shared" ref="H19:H24" si="5">IF(G19=0,"",VLOOKUP(G19,$N:$O,2,0))</f>
        <v/>
      </c>
      <c r="I19" s="313"/>
      <c r="J19" s="142"/>
      <c r="N19" s="84" t="str">
        <f>母公司汇总抵销!N19</f>
        <v>D9</v>
      </c>
      <c r="O19" s="28" t="str">
        <f>母公司汇总抵销!O19</f>
        <v>其他应收款</v>
      </c>
    </row>
    <row r="20" spans="1:15" s="23" customFormat="1">
      <c r="A20" s="1160"/>
      <c r="B20" s="1163"/>
      <c r="C20" s="1166"/>
      <c r="D20" s="17"/>
      <c r="E20" s="26" t="str">
        <f t="shared" si="4"/>
        <v/>
      </c>
      <c r="F20" s="313"/>
      <c r="G20" s="864"/>
      <c r="H20" s="26" t="str">
        <f t="shared" si="5"/>
        <v/>
      </c>
      <c r="I20" s="811"/>
      <c r="J20" s="142"/>
      <c r="N20" s="84">
        <f>母公司汇总抵销!N20</f>
        <v>0</v>
      </c>
      <c r="O20" s="28" t="str">
        <f>母公司汇总抵销!O20</f>
        <v>应收利息</v>
      </c>
    </row>
    <row r="21" spans="1:15" s="23" customFormat="1">
      <c r="A21" s="1160"/>
      <c r="B21" s="1163"/>
      <c r="C21" s="1166"/>
      <c r="D21" s="17"/>
      <c r="E21" s="26" t="str">
        <f t="shared" si="4"/>
        <v/>
      </c>
      <c r="F21" s="313"/>
      <c r="G21" s="27"/>
      <c r="H21" s="26" t="str">
        <f t="shared" si="5"/>
        <v/>
      </c>
      <c r="I21" s="313"/>
      <c r="J21" s="142"/>
      <c r="N21" s="84">
        <f>母公司汇总抵销!N21</f>
        <v>0</v>
      </c>
      <c r="O21" s="28" t="str">
        <f>母公司汇总抵销!O21</f>
        <v>应收股利</v>
      </c>
    </row>
    <row r="22" spans="1:15" s="23" customFormat="1">
      <c r="A22" s="1160"/>
      <c r="B22" s="1163"/>
      <c r="C22" s="1166"/>
      <c r="D22" s="17"/>
      <c r="E22" s="26" t="str">
        <f t="shared" si="4"/>
        <v/>
      </c>
      <c r="F22" s="313"/>
      <c r="G22" s="25"/>
      <c r="H22" s="26" t="str">
        <f t="shared" si="5"/>
        <v/>
      </c>
      <c r="I22" s="313"/>
      <c r="J22" s="146"/>
      <c r="N22" s="84" t="str">
        <f>母公司汇总抵销!N22</f>
        <v>D46</v>
      </c>
      <c r="O22" s="28" t="str">
        <f>母公司汇总抵销!O22</f>
        <v>买入返售金融资产</v>
      </c>
    </row>
    <row r="23" spans="1:15" s="23" customFormat="1">
      <c r="A23" s="1160"/>
      <c r="B23" s="1163"/>
      <c r="C23" s="1166"/>
      <c r="D23" s="17"/>
      <c r="E23" s="26" t="str">
        <f t="shared" si="4"/>
        <v/>
      </c>
      <c r="F23" s="313"/>
      <c r="G23" s="27"/>
      <c r="H23" s="26" t="str">
        <f t="shared" si="5"/>
        <v/>
      </c>
      <c r="I23" s="313"/>
      <c r="J23" s="142"/>
      <c r="N23" s="84" t="str">
        <f>母公司汇总抵销!N23</f>
        <v>D10</v>
      </c>
      <c r="O23" s="28" t="str">
        <f>母公司汇总抵销!O23</f>
        <v>存货</v>
      </c>
    </row>
    <row r="24" spans="1:15" s="23" customFormat="1">
      <c r="A24" s="1161"/>
      <c r="B24" s="1164"/>
      <c r="C24" s="1167"/>
      <c r="D24" s="17"/>
      <c r="E24" s="26" t="str">
        <f t="shared" si="4"/>
        <v/>
      </c>
      <c r="F24" s="313"/>
      <c r="G24" s="27"/>
      <c r="H24" s="26" t="str">
        <f t="shared" si="5"/>
        <v/>
      </c>
      <c r="I24" s="313"/>
      <c r="J24" s="142"/>
      <c r="N24" s="84" t="str">
        <f>母公司汇总抵销!N24</f>
        <v>D11</v>
      </c>
      <c r="O24" s="28" t="str">
        <f>母公司汇总抵销!O24</f>
        <v>合同资产</v>
      </c>
    </row>
    <row r="25" spans="1:15" s="23" customFormat="1">
      <c r="A25" s="308"/>
      <c r="B25" s="308"/>
      <c r="C25" s="309"/>
      <c r="D25" s="310"/>
      <c r="E25" s="311"/>
      <c r="F25" s="311"/>
      <c r="G25" s="310"/>
      <c r="H25" s="311"/>
      <c r="I25" s="311"/>
      <c r="J25" s="755" t="str">
        <f>IF(ABS((SUMIF(E19:E24,"?*",J19:J24)-SUMIF(H19:H24,"?*",J19:J24)))&lt;0.005,"","借贷不等")</f>
        <v/>
      </c>
      <c r="N25" s="84" t="str">
        <f>母公司汇总抵销!N25</f>
        <v>D12</v>
      </c>
      <c r="O25" s="28" t="str">
        <f>母公司汇总抵销!O25</f>
        <v>持有待售资产</v>
      </c>
    </row>
    <row r="26" spans="1:15" s="23" customFormat="1">
      <c r="A26" s="1159">
        <v>4</v>
      </c>
      <c r="B26" s="1162"/>
      <c r="C26" s="1165"/>
      <c r="D26" s="17"/>
      <c r="E26" s="26" t="str">
        <f t="shared" ref="E26:E31" si="6">IF(D26=0,"",VLOOKUP(D26,$N:$O,2,0))</f>
        <v/>
      </c>
      <c r="F26" s="811"/>
      <c r="G26" s="27"/>
      <c r="H26" s="26" t="str">
        <f t="shared" ref="H26:H31" si="7">IF(G26=0,"",VLOOKUP(G26,$N:$O,2,0))</f>
        <v/>
      </c>
      <c r="I26" s="313"/>
      <c r="J26" s="142"/>
      <c r="N26" s="84" t="str">
        <f>母公司汇总抵销!N26</f>
        <v>D13</v>
      </c>
      <c r="O26" s="28" t="str">
        <f>母公司汇总抵销!O26</f>
        <v>一年内到期的非流动资产</v>
      </c>
    </row>
    <row r="27" spans="1:15" s="23" customFormat="1">
      <c r="A27" s="1160"/>
      <c r="B27" s="1163"/>
      <c r="C27" s="1166"/>
      <c r="D27" s="17"/>
      <c r="E27" s="26" t="str">
        <f t="shared" si="6"/>
        <v/>
      </c>
      <c r="F27" s="313"/>
      <c r="G27" s="864"/>
      <c r="H27" s="26" t="str">
        <f t="shared" si="7"/>
        <v/>
      </c>
      <c r="I27" s="811"/>
      <c r="J27" s="142"/>
      <c r="N27" s="84" t="str">
        <f>母公司汇总抵销!N27</f>
        <v>D14</v>
      </c>
      <c r="O27" s="28" t="str">
        <f>母公司汇总抵销!O27</f>
        <v>其他流动资产</v>
      </c>
    </row>
    <row r="28" spans="1:15" s="23" customFormat="1">
      <c r="A28" s="1160"/>
      <c r="B28" s="1163"/>
      <c r="C28" s="1166"/>
      <c r="D28" s="17"/>
      <c r="E28" s="26" t="str">
        <f t="shared" si="6"/>
        <v/>
      </c>
      <c r="F28" s="313"/>
      <c r="G28" s="27"/>
      <c r="H28" s="26" t="str">
        <f t="shared" si="7"/>
        <v/>
      </c>
      <c r="I28" s="313"/>
      <c r="J28" s="142"/>
      <c r="N28" s="84" t="str">
        <f>母公司汇总抵销!N28</f>
        <v>D15</v>
      </c>
      <c r="O28" s="28" t="str">
        <f>母公司汇总抵销!O28</f>
        <v>0</v>
      </c>
    </row>
    <row r="29" spans="1:15" s="23" customFormat="1">
      <c r="A29" s="1160"/>
      <c r="B29" s="1163"/>
      <c r="C29" s="1166"/>
      <c r="D29" s="17"/>
      <c r="E29" s="26" t="str">
        <f t="shared" si="6"/>
        <v/>
      </c>
      <c r="F29" s="313"/>
      <c r="G29" s="27"/>
      <c r="H29" s="26" t="str">
        <f t="shared" si="7"/>
        <v/>
      </c>
      <c r="I29" s="313"/>
      <c r="J29" s="142"/>
      <c r="N29" s="84" t="str">
        <f>母公司汇总抵销!N29</f>
        <v>D16</v>
      </c>
      <c r="O29" s="28" t="str">
        <f>母公司汇总抵销!O29</f>
        <v>0</v>
      </c>
    </row>
    <row r="30" spans="1:15" s="23" customFormat="1">
      <c r="A30" s="1160"/>
      <c r="B30" s="1163"/>
      <c r="C30" s="1166"/>
      <c r="D30" s="17"/>
      <c r="E30" s="26" t="str">
        <f t="shared" si="6"/>
        <v/>
      </c>
      <c r="F30" s="313"/>
      <c r="G30" s="27"/>
      <c r="H30" s="26" t="str">
        <f t="shared" si="7"/>
        <v/>
      </c>
      <c r="I30" s="313"/>
      <c r="J30" s="142"/>
      <c r="N30" s="84">
        <f>母公司汇总抵销!N30</f>
        <v>0</v>
      </c>
      <c r="O30" s="859" t="str">
        <f>母公司汇总抵销!O30</f>
        <v>流动资产合计</v>
      </c>
    </row>
    <row r="31" spans="1:15" s="23" customFormat="1">
      <c r="A31" s="1161"/>
      <c r="B31" s="1164"/>
      <c r="C31" s="1167"/>
      <c r="D31" s="17"/>
      <c r="E31" s="26" t="str">
        <f t="shared" si="6"/>
        <v/>
      </c>
      <c r="F31" s="313"/>
      <c r="G31" s="27"/>
      <c r="H31" s="26" t="str">
        <f t="shared" si="7"/>
        <v/>
      </c>
      <c r="I31" s="313"/>
      <c r="J31" s="142"/>
      <c r="N31" s="84">
        <f>母公司汇总抵销!N31</f>
        <v>0</v>
      </c>
      <c r="O31" s="859" t="str">
        <f>母公司汇总抵销!O31</f>
        <v>非流动资产:</v>
      </c>
    </row>
    <row r="32" spans="1:15" s="23" customFormat="1">
      <c r="A32" s="308"/>
      <c r="B32" s="308"/>
      <c r="C32" s="309"/>
      <c r="D32" s="310"/>
      <c r="E32" s="311"/>
      <c r="F32" s="311"/>
      <c r="G32" s="310"/>
      <c r="H32" s="311"/>
      <c r="I32" s="311"/>
      <c r="J32" s="755" t="str">
        <f>IF(ABS((SUMIF(E26:E31,"?*",J26:J31)-SUMIF(H26:H31,"?*",J26:J31)))&lt;0.005,"","借贷不等")</f>
        <v/>
      </c>
      <c r="N32" s="84" t="str">
        <f>母公司汇总抵销!N32</f>
        <v>D47</v>
      </c>
      <c r="O32" s="28" t="str">
        <f>母公司汇总抵销!O32</f>
        <v>发放贷款及垫款</v>
      </c>
    </row>
    <row r="33" spans="1:15" s="23" customFormat="1">
      <c r="A33" s="1159">
        <v>5</v>
      </c>
      <c r="B33" s="1162"/>
      <c r="C33" s="1165"/>
      <c r="D33" s="17"/>
      <c r="E33" s="26" t="str">
        <f t="shared" ref="E33:E38" si="8">IF(D33=0,"",VLOOKUP(D33,$N:$O,2,0))</f>
        <v/>
      </c>
      <c r="F33" s="313"/>
      <c r="G33" s="25"/>
      <c r="H33" s="21" t="str">
        <f t="shared" ref="H33:H38" si="9">IF(G33=0,"",VLOOKUP(G33,$N:$O,2,0))</f>
        <v/>
      </c>
      <c r="I33" s="313"/>
      <c r="J33" s="754"/>
      <c r="N33" s="84" t="str">
        <f>母公司汇总抵销!N33</f>
        <v>D17</v>
      </c>
      <c r="O33" s="28" t="str">
        <f>母公司汇总抵销!O33</f>
        <v>债权投资</v>
      </c>
    </row>
    <row r="34" spans="1:15" s="23" customFormat="1">
      <c r="A34" s="1160"/>
      <c r="B34" s="1163"/>
      <c r="C34" s="1166"/>
      <c r="D34" s="17"/>
      <c r="E34" s="26" t="str">
        <f t="shared" si="8"/>
        <v/>
      </c>
      <c r="F34" s="313"/>
      <c r="G34" s="27"/>
      <c r="H34" s="26" t="str">
        <f t="shared" si="9"/>
        <v/>
      </c>
      <c r="I34" s="313"/>
      <c r="J34" s="142"/>
      <c r="N34" s="84" t="str">
        <f>母公司汇总抵销!N34</f>
        <v>D18</v>
      </c>
      <c r="O34" s="28" t="str">
        <f>母公司汇总抵销!O34</f>
        <v>可供出售金融资产</v>
      </c>
    </row>
    <row r="35" spans="1:15" s="23" customFormat="1">
      <c r="A35" s="1160"/>
      <c r="B35" s="1163"/>
      <c r="C35" s="1166"/>
      <c r="D35" s="17"/>
      <c r="E35" s="26" t="str">
        <f t="shared" si="8"/>
        <v/>
      </c>
      <c r="F35" s="313"/>
      <c r="G35" s="27"/>
      <c r="H35" s="26" t="str">
        <f t="shared" si="9"/>
        <v/>
      </c>
      <c r="I35" s="313"/>
      <c r="J35" s="142"/>
      <c r="N35" s="84" t="str">
        <f>母公司汇总抵销!N35</f>
        <v>D19</v>
      </c>
      <c r="O35" s="28" t="str">
        <f>母公司汇总抵销!O35</f>
        <v>其他债权投资</v>
      </c>
    </row>
    <row r="36" spans="1:15" s="23" customFormat="1">
      <c r="A36" s="1160"/>
      <c r="B36" s="1163"/>
      <c r="C36" s="1166"/>
      <c r="D36" s="17"/>
      <c r="E36" s="26" t="str">
        <f t="shared" si="8"/>
        <v/>
      </c>
      <c r="F36" s="313"/>
      <c r="G36" s="27"/>
      <c r="H36" s="26" t="str">
        <f t="shared" si="9"/>
        <v/>
      </c>
      <c r="I36" s="313"/>
      <c r="J36" s="142"/>
      <c r="N36" s="84" t="str">
        <f>母公司汇总抵销!N36</f>
        <v>D20</v>
      </c>
      <c r="O36" s="28" t="str">
        <f>母公司汇总抵销!O36</f>
        <v>持有至到期投资</v>
      </c>
    </row>
    <row r="37" spans="1:15" s="23" customFormat="1">
      <c r="A37" s="1160"/>
      <c r="B37" s="1163"/>
      <c r="C37" s="1166"/>
      <c r="D37" s="17"/>
      <c r="E37" s="26" t="str">
        <f t="shared" si="8"/>
        <v/>
      </c>
      <c r="F37" s="313"/>
      <c r="G37" s="27"/>
      <c r="H37" s="26" t="str">
        <f t="shared" si="9"/>
        <v/>
      </c>
      <c r="I37" s="313"/>
      <c r="J37" s="142"/>
      <c r="N37" s="84" t="str">
        <f>母公司汇总抵销!N37</f>
        <v>D21</v>
      </c>
      <c r="O37" s="28" t="str">
        <f>母公司汇总抵销!O37</f>
        <v>长期应收款</v>
      </c>
    </row>
    <row r="38" spans="1:15" s="23" customFormat="1">
      <c r="A38" s="1161"/>
      <c r="B38" s="1164"/>
      <c r="C38" s="1167"/>
      <c r="D38" s="17"/>
      <c r="E38" s="26" t="str">
        <f t="shared" si="8"/>
        <v/>
      </c>
      <c r="F38" s="313"/>
      <c r="G38" s="27"/>
      <c r="H38" s="26" t="str">
        <f t="shared" si="9"/>
        <v/>
      </c>
      <c r="I38" s="313"/>
      <c r="J38" s="142"/>
      <c r="N38" s="84" t="str">
        <f>母公司汇总抵销!N38</f>
        <v>D22</v>
      </c>
      <c r="O38" s="28" t="str">
        <f>母公司汇总抵销!O38</f>
        <v>设定受益计划净资产</v>
      </c>
    </row>
    <row r="39" spans="1:15" s="23" customFormat="1">
      <c r="A39" s="308"/>
      <c r="B39" s="308"/>
      <c r="C39" s="309"/>
      <c r="D39" s="310"/>
      <c r="E39" s="311"/>
      <c r="F39" s="311"/>
      <c r="G39" s="310"/>
      <c r="H39" s="311"/>
      <c r="I39" s="311"/>
      <c r="J39" s="755" t="str">
        <f>IF(ABS((SUMIF(E33:E38,"?*",J33:J38)-SUMIF(H33:H38,"?*",J33:J38)))&lt;0.005,"","借贷不等")</f>
        <v/>
      </c>
      <c r="N39" s="84" t="str">
        <f>母公司汇总抵销!N39</f>
        <v>D23</v>
      </c>
      <c r="O39" s="28" t="str">
        <f>母公司汇总抵销!O39</f>
        <v>长期股权投资</v>
      </c>
    </row>
    <row r="40" spans="1:15" s="23" customFormat="1">
      <c r="A40" s="1159">
        <v>6</v>
      </c>
      <c r="B40" s="1162"/>
      <c r="C40" s="1165"/>
      <c r="D40" s="17"/>
      <c r="E40" s="26" t="str">
        <f t="shared" ref="E40:E45" si="10">IF(D40=0,"",VLOOKUP(D40,$N:$O,2,0))</f>
        <v/>
      </c>
      <c r="F40" s="313"/>
      <c r="G40" s="25"/>
      <c r="H40" s="21" t="str">
        <f t="shared" ref="H40:H45" si="11">IF(G40=0,"",VLOOKUP(G40,$N:$O,2,0))</f>
        <v/>
      </c>
      <c r="I40" s="313"/>
      <c r="J40" s="754"/>
      <c r="N40" s="84" t="str">
        <f>母公司汇总抵销!N40</f>
        <v>D24</v>
      </c>
      <c r="O40" s="28" t="str">
        <f>母公司汇总抵销!O40</f>
        <v>其他权益工具投资</v>
      </c>
    </row>
    <row r="41" spans="1:15" s="23" customFormat="1">
      <c r="A41" s="1160"/>
      <c r="B41" s="1163"/>
      <c r="C41" s="1166"/>
      <c r="D41" s="17"/>
      <c r="E41" s="26" t="str">
        <f t="shared" si="10"/>
        <v/>
      </c>
      <c r="F41" s="313"/>
      <c r="G41" s="27"/>
      <c r="H41" s="26" t="str">
        <f t="shared" si="11"/>
        <v/>
      </c>
      <c r="I41" s="313"/>
      <c r="J41" s="142"/>
      <c r="N41" s="84" t="str">
        <f>母公司汇总抵销!N41</f>
        <v>D25</v>
      </c>
      <c r="O41" s="28" t="str">
        <f>母公司汇总抵销!O41</f>
        <v>其他非流动金融资产</v>
      </c>
    </row>
    <row r="42" spans="1:15" s="23" customFormat="1">
      <c r="A42" s="1160"/>
      <c r="B42" s="1163"/>
      <c r="C42" s="1166"/>
      <c r="D42" s="17"/>
      <c r="E42" s="26" t="str">
        <f t="shared" si="10"/>
        <v/>
      </c>
      <c r="F42" s="313"/>
      <c r="G42" s="27"/>
      <c r="H42" s="26" t="str">
        <f t="shared" si="11"/>
        <v/>
      </c>
      <c r="I42" s="313"/>
      <c r="J42" s="142"/>
      <c r="N42" s="84" t="str">
        <f>母公司汇总抵销!N42</f>
        <v>D26</v>
      </c>
      <c r="O42" s="28" t="str">
        <f>母公司汇总抵销!O42</f>
        <v>投资性房地产</v>
      </c>
    </row>
    <row r="43" spans="1:15" s="23" customFormat="1">
      <c r="A43" s="1160"/>
      <c r="B43" s="1163"/>
      <c r="C43" s="1166"/>
      <c r="D43" s="17"/>
      <c r="E43" s="26" t="str">
        <f t="shared" si="10"/>
        <v/>
      </c>
      <c r="F43" s="313"/>
      <c r="G43" s="27"/>
      <c r="H43" s="26" t="str">
        <f t="shared" si="11"/>
        <v/>
      </c>
      <c r="I43" s="313"/>
      <c r="J43" s="142"/>
      <c r="N43" s="84" t="str">
        <f>母公司汇总抵销!N43</f>
        <v>D27</v>
      </c>
      <c r="O43" s="28" t="str">
        <f>母公司汇总抵销!O43</f>
        <v>固定资产</v>
      </c>
    </row>
    <row r="44" spans="1:15" s="23" customFormat="1">
      <c r="A44" s="1160"/>
      <c r="B44" s="1163"/>
      <c r="C44" s="1166"/>
      <c r="D44" s="17"/>
      <c r="E44" s="26" t="str">
        <f t="shared" si="10"/>
        <v/>
      </c>
      <c r="F44" s="313"/>
      <c r="G44" s="27"/>
      <c r="H44" s="26" t="str">
        <f t="shared" si="11"/>
        <v/>
      </c>
      <c r="I44" s="313"/>
      <c r="J44" s="142"/>
      <c r="N44" s="84" t="str">
        <f>母公司汇总抵销!N44</f>
        <v>D28</v>
      </c>
      <c r="O44" s="28" t="str">
        <f>母公司汇总抵销!O44</f>
        <v>在建工程</v>
      </c>
    </row>
    <row r="45" spans="1:15" s="23" customFormat="1">
      <c r="A45" s="1161"/>
      <c r="B45" s="1164"/>
      <c r="C45" s="1167"/>
      <c r="D45" s="17"/>
      <c r="E45" s="26" t="str">
        <f t="shared" si="10"/>
        <v/>
      </c>
      <c r="F45" s="313"/>
      <c r="G45" s="27"/>
      <c r="H45" s="26" t="str">
        <f t="shared" si="11"/>
        <v/>
      </c>
      <c r="I45" s="313"/>
      <c r="J45" s="142"/>
      <c r="N45" s="84" t="str">
        <f>母公司汇总抵销!N45</f>
        <v>D29</v>
      </c>
      <c r="O45" s="28" t="str">
        <f>母公司汇总抵销!O45</f>
        <v>生产性生物资产</v>
      </c>
    </row>
    <row r="46" spans="1:15" s="23" customFormat="1">
      <c r="A46" s="308"/>
      <c r="B46" s="308"/>
      <c r="C46" s="309"/>
      <c r="D46" s="310"/>
      <c r="E46" s="311"/>
      <c r="F46" s="311"/>
      <c r="G46" s="310"/>
      <c r="H46" s="311"/>
      <c r="I46" s="311"/>
      <c r="J46" s="755" t="str">
        <f>IF(ABS((SUMIF(E40:E45,"?*",J40:J45)-SUMIF(H40:H45,"?*",J40:J45)))&lt;0.005,"","借贷不等")</f>
        <v/>
      </c>
      <c r="N46" s="84" t="str">
        <f>母公司汇总抵销!N46</f>
        <v>D30</v>
      </c>
      <c r="O46" s="28" t="str">
        <f>母公司汇总抵销!O46</f>
        <v>油气资产</v>
      </c>
    </row>
    <row r="47" spans="1:15" s="23" customFormat="1">
      <c r="A47" s="1159">
        <v>7</v>
      </c>
      <c r="B47" s="1162"/>
      <c r="C47" s="1165"/>
      <c r="D47" s="17"/>
      <c r="E47" s="26" t="str">
        <f t="shared" ref="E47:E52" si="12">IF(D47=0,"",VLOOKUP(D47,$N:$O,2,0))</f>
        <v/>
      </c>
      <c r="F47" s="313"/>
      <c r="G47" s="25"/>
      <c r="H47" s="21" t="str">
        <f t="shared" ref="H47:H52" si="13">IF(G47=0,"",VLOOKUP(G47,$N:$O,2,0))</f>
        <v/>
      </c>
      <c r="I47" s="313"/>
      <c r="J47" s="754"/>
      <c r="N47" s="84" t="str">
        <f>母公司汇总抵销!N47</f>
        <v>D31</v>
      </c>
      <c r="O47" s="28" t="str">
        <f>母公司汇总抵销!O47</f>
        <v>使用权资产</v>
      </c>
    </row>
    <row r="48" spans="1:15" s="23" customFormat="1">
      <c r="A48" s="1160"/>
      <c r="B48" s="1163"/>
      <c r="C48" s="1166"/>
      <c r="D48" s="17"/>
      <c r="E48" s="26" t="str">
        <f t="shared" si="12"/>
        <v/>
      </c>
      <c r="F48" s="313"/>
      <c r="G48" s="27"/>
      <c r="H48" s="26" t="str">
        <f t="shared" si="13"/>
        <v/>
      </c>
      <c r="I48" s="313"/>
      <c r="J48" s="142"/>
      <c r="N48" s="84" t="str">
        <f>母公司汇总抵销!N48</f>
        <v>D32</v>
      </c>
      <c r="O48" s="28" t="str">
        <f>母公司汇总抵销!O48</f>
        <v>无形资产</v>
      </c>
    </row>
    <row r="49" spans="1:15" s="23" customFormat="1">
      <c r="A49" s="1160"/>
      <c r="B49" s="1163"/>
      <c r="C49" s="1166"/>
      <c r="D49" s="17"/>
      <c r="E49" s="26" t="str">
        <f t="shared" si="12"/>
        <v/>
      </c>
      <c r="F49" s="313"/>
      <c r="G49" s="27"/>
      <c r="H49" s="26" t="str">
        <f t="shared" si="13"/>
        <v/>
      </c>
      <c r="I49" s="313"/>
      <c r="J49" s="142"/>
      <c r="N49" s="84" t="str">
        <f>母公司汇总抵销!N49</f>
        <v>D33</v>
      </c>
      <c r="O49" s="28" t="str">
        <f>母公司汇总抵销!O49</f>
        <v>开发支出</v>
      </c>
    </row>
    <row r="50" spans="1:15" s="23" customFormat="1">
      <c r="A50" s="1160"/>
      <c r="B50" s="1163"/>
      <c r="C50" s="1166"/>
      <c r="D50" s="17"/>
      <c r="E50" s="26" t="str">
        <f t="shared" si="12"/>
        <v/>
      </c>
      <c r="F50" s="313"/>
      <c r="G50" s="27"/>
      <c r="H50" s="26" t="str">
        <f t="shared" si="13"/>
        <v/>
      </c>
      <c r="I50" s="313"/>
      <c r="J50" s="142"/>
      <c r="N50" s="84" t="str">
        <f>母公司汇总抵销!N50</f>
        <v>D34</v>
      </c>
      <c r="O50" s="28" t="str">
        <f>母公司汇总抵销!O50</f>
        <v>商誉</v>
      </c>
    </row>
    <row r="51" spans="1:15" s="23" customFormat="1">
      <c r="A51" s="1160"/>
      <c r="B51" s="1163"/>
      <c r="C51" s="1166"/>
      <c r="D51" s="17"/>
      <c r="E51" s="26" t="str">
        <f t="shared" si="12"/>
        <v/>
      </c>
      <c r="F51" s="313"/>
      <c r="G51" s="27"/>
      <c r="H51" s="26" t="str">
        <f t="shared" si="13"/>
        <v/>
      </c>
      <c r="I51" s="313"/>
      <c r="J51" s="142"/>
      <c r="N51" s="84" t="str">
        <f>母公司汇总抵销!N51</f>
        <v>D35</v>
      </c>
      <c r="O51" s="28" t="str">
        <f>母公司汇总抵销!O51</f>
        <v>长期待摊费用</v>
      </c>
    </row>
    <row r="52" spans="1:15" s="23" customFormat="1">
      <c r="A52" s="1161"/>
      <c r="B52" s="1164"/>
      <c r="C52" s="1167"/>
      <c r="D52" s="17"/>
      <c r="E52" s="26" t="str">
        <f t="shared" si="12"/>
        <v/>
      </c>
      <c r="F52" s="313"/>
      <c r="G52" s="27"/>
      <c r="H52" s="26" t="str">
        <f t="shared" si="13"/>
        <v/>
      </c>
      <c r="I52" s="313"/>
      <c r="J52" s="142"/>
      <c r="N52" s="84" t="str">
        <f>母公司汇总抵销!N52</f>
        <v>D36</v>
      </c>
      <c r="O52" s="28" t="str">
        <f>母公司汇总抵销!O52</f>
        <v>递延所得税资产</v>
      </c>
    </row>
    <row r="53" spans="1:15" s="23" customFormat="1">
      <c r="A53" s="308"/>
      <c r="B53" s="308"/>
      <c r="C53" s="309"/>
      <c r="D53" s="310"/>
      <c r="E53" s="311"/>
      <c r="F53" s="311"/>
      <c r="G53" s="310"/>
      <c r="H53" s="311"/>
      <c r="I53" s="311"/>
      <c r="J53" s="755" t="str">
        <f>IF(ABS((SUMIF(E47:E52,"?*",J47:J52)-SUMIF(H47:H52,"?*",J47:J52)))&lt;0.005,"","借贷不等")</f>
        <v/>
      </c>
      <c r="N53" s="84" t="str">
        <f>母公司汇总抵销!N53</f>
        <v>D37</v>
      </c>
      <c r="O53" s="28" t="str">
        <f>母公司汇总抵销!O53</f>
        <v>其他非流动资产</v>
      </c>
    </row>
    <row r="54" spans="1:15" s="23" customFormat="1">
      <c r="A54" s="1159">
        <v>8</v>
      </c>
      <c r="B54" s="1162"/>
      <c r="C54" s="1165"/>
      <c r="D54" s="17"/>
      <c r="E54" s="26" t="str">
        <f t="shared" ref="E54:E59" si="14">IF(D54=0,"",VLOOKUP(D54,$N:$O,2,0))</f>
        <v/>
      </c>
      <c r="F54" s="313"/>
      <c r="G54" s="25"/>
      <c r="H54" s="21" t="str">
        <f t="shared" ref="H54:H59" si="15">IF(G54=0,"",VLOOKUP(G54,$N:$O,2,0))</f>
        <v/>
      </c>
      <c r="I54" s="313"/>
      <c r="J54" s="754"/>
      <c r="N54" s="84" t="str">
        <f>母公司汇总抵销!N54</f>
        <v>D38</v>
      </c>
      <c r="O54" s="28" t="str">
        <f>母公司汇总抵销!O54</f>
        <v>0</v>
      </c>
    </row>
    <row r="55" spans="1:15" s="23" customFormat="1">
      <c r="A55" s="1160"/>
      <c r="B55" s="1163"/>
      <c r="C55" s="1166"/>
      <c r="D55" s="17"/>
      <c r="E55" s="26" t="str">
        <f t="shared" si="14"/>
        <v/>
      </c>
      <c r="F55" s="313"/>
      <c r="G55" s="27"/>
      <c r="H55" s="26" t="str">
        <f t="shared" si="15"/>
        <v/>
      </c>
      <c r="I55" s="313"/>
      <c r="J55" s="142"/>
      <c r="N55" s="84" t="str">
        <f>母公司汇总抵销!N55</f>
        <v>D39</v>
      </c>
      <c r="O55" s="28" t="str">
        <f>母公司汇总抵销!O55</f>
        <v>0</v>
      </c>
    </row>
    <row r="56" spans="1:15" s="23" customFormat="1">
      <c r="A56" s="1160"/>
      <c r="B56" s="1163"/>
      <c r="C56" s="1166"/>
      <c r="D56" s="17"/>
      <c r="E56" s="26" t="str">
        <f t="shared" si="14"/>
        <v/>
      </c>
      <c r="F56" s="313"/>
      <c r="G56" s="27"/>
      <c r="H56" s="26" t="str">
        <f t="shared" si="15"/>
        <v/>
      </c>
      <c r="I56" s="313"/>
      <c r="J56" s="142"/>
      <c r="N56" s="84" t="str">
        <f>母公司汇总抵销!N56</f>
        <v>D40</v>
      </c>
      <c r="O56" s="28" t="str">
        <f>母公司汇总抵销!O56</f>
        <v>0</v>
      </c>
    </row>
    <row r="57" spans="1:15" s="23" customFormat="1">
      <c r="A57" s="1160"/>
      <c r="B57" s="1163"/>
      <c r="C57" s="1166"/>
      <c r="D57" s="17"/>
      <c r="E57" s="26" t="str">
        <f t="shared" si="14"/>
        <v/>
      </c>
      <c r="F57" s="313"/>
      <c r="G57" s="27"/>
      <c r="H57" s="26" t="str">
        <f t="shared" si="15"/>
        <v/>
      </c>
      <c r="I57" s="313"/>
      <c r="J57" s="142"/>
      <c r="N57" s="84">
        <f>母公司汇总抵销!N57</f>
        <v>0</v>
      </c>
      <c r="O57" s="859" t="str">
        <f>母公司汇总抵销!O57</f>
        <v>非流动资产合计</v>
      </c>
    </row>
    <row r="58" spans="1:15" s="23" customFormat="1">
      <c r="A58" s="1160"/>
      <c r="B58" s="1163"/>
      <c r="C58" s="1166"/>
      <c r="D58" s="17"/>
      <c r="E58" s="26" t="str">
        <f t="shared" si="14"/>
        <v/>
      </c>
      <c r="F58" s="313"/>
      <c r="G58" s="27"/>
      <c r="H58" s="26" t="str">
        <f t="shared" si="15"/>
        <v/>
      </c>
      <c r="I58" s="313"/>
      <c r="J58" s="142"/>
      <c r="N58" s="84">
        <f>母公司汇总抵销!N58</f>
        <v>0</v>
      </c>
      <c r="O58" s="859" t="str">
        <f>母公司汇总抵销!O58</f>
        <v>资 产 总 计</v>
      </c>
    </row>
    <row r="59" spans="1:15" s="23" customFormat="1">
      <c r="A59" s="1161"/>
      <c r="B59" s="1164"/>
      <c r="C59" s="1167"/>
      <c r="D59" s="17"/>
      <c r="E59" s="26" t="str">
        <f t="shared" si="14"/>
        <v/>
      </c>
      <c r="F59" s="313"/>
      <c r="G59" s="27"/>
      <c r="H59" s="26" t="str">
        <f t="shared" si="15"/>
        <v/>
      </c>
      <c r="I59" s="313"/>
      <c r="J59" s="142"/>
      <c r="N59" s="84">
        <f>母公司汇总抵销!N59</f>
        <v>0</v>
      </c>
      <c r="O59" s="859" t="str">
        <f>母公司汇总抵销!O59</f>
        <v/>
      </c>
    </row>
    <row r="60" spans="1:15" s="23" customFormat="1">
      <c r="A60" s="308"/>
      <c r="B60" s="308"/>
      <c r="C60" s="309"/>
      <c r="D60" s="310"/>
      <c r="E60" s="311"/>
      <c r="F60" s="311"/>
      <c r="G60" s="310"/>
      <c r="H60" s="311"/>
      <c r="I60" s="311"/>
      <c r="J60" s="755" t="str">
        <f>IF(ABS((SUMIF(E54:E59,"?*",J54:J59)-SUMIF(H54:H59,"?*",J54:J59)))&lt;0.005,"","借贷不等")</f>
        <v/>
      </c>
      <c r="N60" s="84">
        <f>母公司汇总抵销!N60</f>
        <v>0</v>
      </c>
      <c r="O60" s="859" t="str">
        <f>母公司汇总抵销!O60</f>
        <v/>
      </c>
    </row>
    <row r="61" spans="1:15" s="23" customFormat="1">
      <c r="A61" s="1159">
        <v>9</v>
      </c>
      <c r="B61" s="1162"/>
      <c r="C61" s="1165"/>
      <c r="D61" s="17"/>
      <c r="E61" s="26" t="str">
        <f t="shared" ref="E61:E66" si="16">IF(D61=0,"",VLOOKUP(D61,$N:$O,2,0))</f>
        <v/>
      </c>
      <c r="F61" s="313"/>
      <c r="G61" s="25"/>
      <c r="H61" s="21" t="str">
        <f t="shared" ref="H61:H66" si="17">IF(G61=0,"",VLOOKUP(G61,$N:$O,2,0))</f>
        <v/>
      </c>
      <c r="I61" s="313"/>
      <c r="J61" s="754"/>
      <c r="N61" s="84">
        <f>母公司汇总抵销!N61</f>
        <v>0</v>
      </c>
      <c r="O61" s="783" t="str">
        <f>母公司汇总抵销!O61</f>
        <v>流动负债：</v>
      </c>
    </row>
    <row r="62" spans="1:15" s="23" customFormat="1">
      <c r="A62" s="1160"/>
      <c r="B62" s="1163"/>
      <c r="C62" s="1166"/>
      <c r="D62" s="17"/>
      <c r="E62" s="26" t="str">
        <f t="shared" si="16"/>
        <v/>
      </c>
      <c r="F62" s="313"/>
      <c r="G62" s="27"/>
      <c r="H62" s="26" t="str">
        <f t="shared" si="17"/>
        <v/>
      </c>
      <c r="I62" s="313"/>
      <c r="J62" s="142"/>
      <c r="N62" s="84" t="str">
        <f>母公司汇总抵销!N62</f>
        <v>E1</v>
      </c>
      <c r="O62" s="28" t="str">
        <f>母公司汇总抵销!O62</f>
        <v>短期借款</v>
      </c>
    </row>
    <row r="63" spans="1:15" s="23" customFormat="1">
      <c r="A63" s="1160"/>
      <c r="B63" s="1163"/>
      <c r="C63" s="1166"/>
      <c r="D63" s="17"/>
      <c r="E63" s="26" t="str">
        <f t="shared" si="16"/>
        <v/>
      </c>
      <c r="F63" s="313"/>
      <c r="G63" s="27"/>
      <c r="H63" s="26" t="str">
        <f t="shared" si="17"/>
        <v/>
      </c>
      <c r="I63" s="313"/>
      <c r="J63" s="142"/>
      <c r="N63" s="84" t="str">
        <f>母公司汇总抵销!N63</f>
        <v>E24</v>
      </c>
      <c r="O63" s="28" t="str">
        <f>母公司汇总抵销!O63</f>
        <v>向中央银行借款</v>
      </c>
    </row>
    <row r="64" spans="1:15" s="23" customFormat="1">
      <c r="A64" s="1160"/>
      <c r="B64" s="1163"/>
      <c r="C64" s="1166"/>
      <c r="D64" s="17"/>
      <c r="E64" s="26" t="str">
        <f t="shared" si="16"/>
        <v/>
      </c>
      <c r="F64" s="313"/>
      <c r="G64" s="27"/>
      <c r="H64" s="26" t="str">
        <f t="shared" si="17"/>
        <v/>
      </c>
      <c r="I64" s="313"/>
      <c r="J64" s="142"/>
      <c r="N64" s="84" t="str">
        <f>母公司汇总抵销!N64</f>
        <v>E25</v>
      </c>
      <c r="O64" s="28" t="str">
        <f>母公司汇总抵销!O64</f>
        <v>吸收存款及同业存放</v>
      </c>
    </row>
    <row r="65" spans="1:15" s="23" customFormat="1">
      <c r="A65" s="1160"/>
      <c r="B65" s="1163"/>
      <c r="C65" s="1166"/>
      <c r="D65" s="17"/>
      <c r="E65" s="26" t="str">
        <f t="shared" si="16"/>
        <v/>
      </c>
      <c r="F65" s="313"/>
      <c r="G65" s="27"/>
      <c r="H65" s="26" t="str">
        <f t="shared" si="17"/>
        <v/>
      </c>
      <c r="I65" s="313"/>
      <c r="J65" s="142"/>
      <c r="N65" s="84" t="str">
        <f>母公司汇总抵销!N65</f>
        <v>E26</v>
      </c>
      <c r="O65" s="28" t="str">
        <f>母公司汇总抵销!O65</f>
        <v>拆入资金</v>
      </c>
    </row>
    <row r="66" spans="1:15" s="23" customFormat="1">
      <c r="A66" s="1161"/>
      <c r="B66" s="1164"/>
      <c r="C66" s="1167"/>
      <c r="D66" s="17"/>
      <c r="E66" s="26" t="str">
        <f t="shared" si="16"/>
        <v/>
      </c>
      <c r="F66" s="313"/>
      <c r="G66" s="27"/>
      <c r="H66" s="26" t="str">
        <f t="shared" si="17"/>
        <v/>
      </c>
      <c r="I66" s="313"/>
      <c r="J66" s="142"/>
      <c r="N66" s="84" t="str">
        <f>母公司汇总抵销!N66</f>
        <v>E2</v>
      </c>
      <c r="O66" s="28" t="str">
        <f>母公司汇总抵销!O66</f>
        <v>交易性金融负债</v>
      </c>
    </row>
    <row r="67" spans="1:15" s="23" customFormat="1">
      <c r="A67" s="308"/>
      <c r="B67" s="308"/>
      <c r="C67" s="309"/>
      <c r="D67" s="310"/>
      <c r="E67" s="311"/>
      <c r="F67" s="311"/>
      <c r="G67" s="310"/>
      <c r="H67" s="311"/>
      <c r="I67" s="311"/>
      <c r="J67" s="755" t="str">
        <f>IF(ABS((SUMIF(E61:E66,"?*",J61:J66)-SUMIF(H61:H66,"?*",J61:J66)))&lt;0.005,"","借贷不等")</f>
        <v/>
      </c>
      <c r="N67" s="84" t="str">
        <f>母公司汇总抵销!N67</f>
        <v>E3</v>
      </c>
      <c r="O67" s="28" t="str">
        <f>母公司汇总抵销!O67</f>
        <v>以公允价值计量且其变动计入当期损益的金融负债</v>
      </c>
    </row>
    <row r="68" spans="1:15" s="23" customFormat="1">
      <c r="A68" s="1159">
        <v>10</v>
      </c>
      <c r="B68" s="1162"/>
      <c r="C68" s="1165"/>
      <c r="D68" s="17"/>
      <c r="E68" s="26" t="str">
        <f t="shared" ref="E68:E73" si="18">IF(D68=0,"",VLOOKUP(D68,$N:$O,2,0))</f>
        <v/>
      </c>
      <c r="F68" s="313"/>
      <c r="G68" s="25"/>
      <c r="H68" s="21" t="str">
        <f t="shared" ref="H68:H73" si="19">IF(G68=0,"",VLOOKUP(G68,$N:$O,2,0))</f>
        <v/>
      </c>
      <c r="I68" s="313"/>
      <c r="J68" s="754"/>
      <c r="N68" s="84" t="str">
        <f>母公司汇总抵销!N68</f>
        <v>E4</v>
      </c>
      <c r="O68" s="28" t="str">
        <f>母公司汇总抵销!O68</f>
        <v>衍生金融负债</v>
      </c>
    </row>
    <row r="69" spans="1:15" s="23" customFormat="1">
      <c r="A69" s="1160"/>
      <c r="B69" s="1163"/>
      <c r="C69" s="1166"/>
      <c r="D69" s="17"/>
      <c r="E69" s="26" t="str">
        <f t="shared" si="18"/>
        <v/>
      </c>
      <c r="F69" s="313"/>
      <c r="G69" s="27"/>
      <c r="H69" s="26" t="str">
        <f t="shared" si="19"/>
        <v/>
      </c>
      <c r="I69" s="313"/>
      <c r="J69" s="142"/>
      <c r="N69" s="84" t="str">
        <f>母公司汇总抵销!N69</f>
        <v>E5</v>
      </c>
      <c r="O69" s="28" t="str">
        <f>母公司汇总抵销!O69</f>
        <v>应付票据</v>
      </c>
    </row>
    <row r="70" spans="1:15" s="23" customFormat="1">
      <c r="A70" s="1160"/>
      <c r="B70" s="1163"/>
      <c r="C70" s="1166"/>
      <c r="D70" s="17"/>
      <c r="E70" s="26" t="str">
        <f t="shared" si="18"/>
        <v/>
      </c>
      <c r="F70" s="313"/>
      <c r="G70" s="27"/>
      <c r="H70" s="26" t="str">
        <f t="shared" si="19"/>
        <v/>
      </c>
      <c r="I70" s="313"/>
      <c r="J70" s="142"/>
      <c r="N70" s="84" t="str">
        <f>母公司汇总抵销!N70</f>
        <v>E6</v>
      </c>
      <c r="O70" s="28" t="str">
        <f>母公司汇总抵销!O70</f>
        <v>应付账款</v>
      </c>
    </row>
    <row r="71" spans="1:15" s="23" customFormat="1">
      <c r="A71" s="1160"/>
      <c r="B71" s="1163"/>
      <c r="C71" s="1166"/>
      <c r="D71" s="17"/>
      <c r="E71" s="26" t="str">
        <f t="shared" si="18"/>
        <v/>
      </c>
      <c r="F71" s="313"/>
      <c r="G71" s="27"/>
      <c r="H71" s="26" t="str">
        <f t="shared" si="19"/>
        <v/>
      </c>
      <c r="I71" s="313"/>
      <c r="J71" s="142"/>
      <c r="N71" s="84" t="str">
        <f>母公司汇总抵销!N71</f>
        <v>E7</v>
      </c>
      <c r="O71" s="28" t="str">
        <f>母公司汇总抵销!O71</f>
        <v>预收款项</v>
      </c>
    </row>
    <row r="72" spans="1:15" s="23" customFormat="1">
      <c r="A72" s="1160"/>
      <c r="B72" s="1163"/>
      <c r="C72" s="1166"/>
      <c r="D72" s="17"/>
      <c r="E72" s="26" t="str">
        <f t="shared" si="18"/>
        <v/>
      </c>
      <c r="F72" s="313"/>
      <c r="G72" s="27"/>
      <c r="H72" s="26" t="str">
        <f t="shared" si="19"/>
        <v/>
      </c>
      <c r="I72" s="313"/>
      <c r="J72" s="142"/>
      <c r="N72" s="84" t="str">
        <f>母公司汇总抵销!N72</f>
        <v>E27</v>
      </c>
      <c r="O72" s="28" t="str">
        <f>母公司汇总抵销!O72</f>
        <v>卖出回购金融资产款</v>
      </c>
    </row>
    <row r="73" spans="1:15" s="23" customFormat="1">
      <c r="A73" s="1161"/>
      <c r="B73" s="1164"/>
      <c r="C73" s="1167"/>
      <c r="D73" s="17"/>
      <c r="E73" s="26" t="str">
        <f t="shared" si="18"/>
        <v/>
      </c>
      <c r="F73" s="313"/>
      <c r="G73" s="27"/>
      <c r="H73" s="26" t="str">
        <f t="shared" si="19"/>
        <v/>
      </c>
      <c r="I73" s="313"/>
      <c r="J73" s="142"/>
      <c r="N73" s="84" t="str">
        <f>母公司汇总抵销!N73</f>
        <v>E28</v>
      </c>
      <c r="O73" s="28" t="str">
        <f>母公司汇总抵销!O73</f>
        <v>应付手续费及佣金</v>
      </c>
    </row>
    <row r="74" spans="1:15" s="23" customFormat="1">
      <c r="A74" s="308"/>
      <c r="B74" s="308"/>
      <c r="C74" s="309"/>
      <c r="D74" s="310"/>
      <c r="E74" s="311"/>
      <c r="F74" s="311"/>
      <c r="G74" s="310"/>
      <c r="H74" s="311"/>
      <c r="I74" s="311"/>
      <c r="J74" s="755" t="str">
        <f>IF(ABS((SUMIF(E68:E73,"?*",J68:J73)-SUMIF(H68:H73,"?*",J68:J73)))&lt;0.005,"","借贷不等")</f>
        <v/>
      </c>
      <c r="N74" s="84" t="str">
        <f>母公司汇总抵销!N74</f>
        <v>E8</v>
      </c>
      <c r="O74" s="28" t="str">
        <f>母公司汇总抵销!O74</f>
        <v>合同负债</v>
      </c>
    </row>
    <row r="75" spans="1:15" s="23" customFormat="1">
      <c r="A75" s="1159">
        <v>11</v>
      </c>
      <c r="B75" s="1162"/>
      <c r="C75" s="1165"/>
      <c r="D75" s="17"/>
      <c r="E75" s="26" t="str">
        <f t="shared" ref="E75:E80" si="20">IF(D75=0,"",VLOOKUP(D75,$N:$O,2,0))</f>
        <v/>
      </c>
      <c r="F75" s="313"/>
      <c r="G75" s="25"/>
      <c r="H75" s="21" t="str">
        <f t="shared" ref="H75:H80" si="21">IF(G75=0,"",VLOOKUP(G75,$N:$O,2,0))</f>
        <v/>
      </c>
      <c r="I75" s="313"/>
      <c r="J75" s="754"/>
      <c r="N75" s="84" t="str">
        <f>母公司汇总抵销!N75</f>
        <v>E9</v>
      </c>
      <c r="O75" s="28" t="str">
        <f>母公司汇总抵销!O75</f>
        <v>应付职工薪酬</v>
      </c>
    </row>
    <row r="76" spans="1:15" s="23" customFormat="1">
      <c r="A76" s="1160"/>
      <c r="B76" s="1163"/>
      <c r="C76" s="1166"/>
      <c r="D76" s="17"/>
      <c r="E76" s="26" t="str">
        <f t="shared" si="20"/>
        <v/>
      </c>
      <c r="F76" s="313"/>
      <c r="G76" s="27"/>
      <c r="H76" s="26" t="str">
        <f t="shared" si="21"/>
        <v/>
      </c>
      <c r="I76" s="313"/>
      <c r="J76" s="142"/>
      <c r="N76" s="84" t="str">
        <f>母公司汇总抵销!N76</f>
        <v>E10</v>
      </c>
      <c r="O76" s="28" t="str">
        <f>母公司汇总抵销!O76</f>
        <v>应交税费</v>
      </c>
    </row>
    <row r="77" spans="1:15" s="23" customFormat="1">
      <c r="A77" s="1160"/>
      <c r="B77" s="1163"/>
      <c r="C77" s="1166"/>
      <c r="D77" s="17"/>
      <c r="E77" s="26" t="str">
        <f t="shared" si="20"/>
        <v/>
      </c>
      <c r="F77" s="313"/>
      <c r="G77" s="27"/>
      <c r="H77" s="26" t="str">
        <f t="shared" si="21"/>
        <v/>
      </c>
      <c r="I77" s="313"/>
      <c r="J77" s="142"/>
      <c r="N77" s="84" t="str">
        <f>母公司汇总抵销!N77</f>
        <v>E11</v>
      </c>
      <c r="O77" s="28" t="str">
        <f>母公司汇总抵销!O77</f>
        <v>其他应付款</v>
      </c>
    </row>
    <row r="78" spans="1:15" s="23" customFormat="1">
      <c r="A78" s="1160"/>
      <c r="B78" s="1163"/>
      <c r="C78" s="1166"/>
      <c r="D78" s="17"/>
      <c r="E78" s="26" t="str">
        <f t="shared" si="20"/>
        <v/>
      </c>
      <c r="F78" s="313"/>
      <c r="G78" s="27"/>
      <c r="H78" s="26" t="str">
        <f t="shared" si="21"/>
        <v/>
      </c>
      <c r="I78" s="313"/>
      <c r="J78" s="142"/>
      <c r="N78" s="84">
        <f>母公司汇总抵销!N78</f>
        <v>0</v>
      </c>
      <c r="O78" s="28" t="str">
        <f>母公司汇总抵销!O78</f>
        <v>应付利息</v>
      </c>
    </row>
    <row r="79" spans="1:15" s="23" customFormat="1">
      <c r="A79" s="1160"/>
      <c r="B79" s="1163"/>
      <c r="C79" s="1166"/>
      <c r="D79" s="17"/>
      <c r="E79" s="26" t="str">
        <f t="shared" si="20"/>
        <v/>
      </c>
      <c r="F79" s="313"/>
      <c r="G79" s="27"/>
      <c r="H79" s="26" t="str">
        <f t="shared" si="21"/>
        <v/>
      </c>
      <c r="I79" s="313"/>
      <c r="J79" s="142"/>
      <c r="N79" s="84">
        <f>母公司汇总抵销!N79</f>
        <v>0</v>
      </c>
      <c r="O79" s="28" t="str">
        <f>母公司汇总抵销!O79</f>
        <v>应付股利</v>
      </c>
    </row>
    <row r="80" spans="1:15" s="23" customFormat="1">
      <c r="A80" s="1161"/>
      <c r="B80" s="1164"/>
      <c r="C80" s="1167"/>
      <c r="D80" s="17"/>
      <c r="E80" s="26" t="str">
        <f t="shared" si="20"/>
        <v/>
      </c>
      <c r="F80" s="313"/>
      <c r="G80" s="27"/>
      <c r="H80" s="26" t="str">
        <f t="shared" si="21"/>
        <v/>
      </c>
      <c r="I80" s="313"/>
      <c r="J80" s="142"/>
      <c r="N80" s="84" t="str">
        <f>母公司汇总抵销!N80</f>
        <v>E29</v>
      </c>
      <c r="O80" s="28" t="str">
        <f>母公司汇总抵销!O80</f>
        <v>应付分保账款</v>
      </c>
    </row>
    <row r="81" spans="1:15" s="23" customFormat="1">
      <c r="A81" s="308"/>
      <c r="B81" s="308"/>
      <c r="C81" s="309"/>
      <c r="D81" s="310"/>
      <c r="E81" s="311"/>
      <c r="F81" s="311"/>
      <c r="G81" s="310"/>
      <c r="H81" s="311"/>
      <c r="I81" s="311"/>
      <c r="J81" s="755" t="str">
        <f>IF(ABS((SUMIF(E75:E80,"?*",J75:J80)-SUMIF(H75:H80,"?*",J75:J80)))&lt;0.005,"","借贷不等")</f>
        <v/>
      </c>
      <c r="N81" s="84" t="str">
        <f>母公司汇总抵销!N81</f>
        <v>E30</v>
      </c>
      <c r="O81" s="28" t="str">
        <f>母公司汇总抵销!O81</f>
        <v>保险合同准备金</v>
      </c>
    </row>
    <row r="82" spans="1:15" s="23" customFormat="1">
      <c r="A82" s="1159">
        <v>12</v>
      </c>
      <c r="B82" s="1162"/>
      <c r="C82" s="1165"/>
      <c r="D82" s="17"/>
      <c r="E82" s="26" t="str">
        <f t="shared" ref="E82:E87" si="22">IF(D82=0,"",VLOOKUP(D82,$N:$O,2,0))</f>
        <v/>
      </c>
      <c r="F82" s="313"/>
      <c r="G82" s="25"/>
      <c r="H82" s="21" t="str">
        <f t="shared" ref="H82:H87" si="23">IF(G82=0,"",VLOOKUP(G82,$N:$O,2,0))</f>
        <v/>
      </c>
      <c r="I82" s="313"/>
      <c r="J82" s="754"/>
      <c r="N82" s="84" t="str">
        <f>母公司汇总抵销!N82</f>
        <v>E31</v>
      </c>
      <c r="O82" s="28" t="str">
        <f>母公司汇总抵销!O82</f>
        <v>代理买卖证券款</v>
      </c>
    </row>
    <row r="83" spans="1:15" s="23" customFormat="1">
      <c r="A83" s="1160"/>
      <c r="B83" s="1163"/>
      <c r="C83" s="1166"/>
      <c r="D83" s="17"/>
      <c r="E83" s="26" t="str">
        <f t="shared" si="22"/>
        <v/>
      </c>
      <c r="F83" s="313"/>
      <c r="G83" s="27"/>
      <c r="H83" s="26" t="str">
        <f t="shared" si="23"/>
        <v/>
      </c>
      <c r="I83" s="313"/>
      <c r="J83" s="142"/>
      <c r="N83" s="84" t="str">
        <f>母公司汇总抵销!N83</f>
        <v>E32</v>
      </c>
      <c r="O83" s="28" t="str">
        <f>母公司汇总抵销!O83</f>
        <v>代理承销证券款</v>
      </c>
    </row>
    <row r="84" spans="1:15" s="23" customFormat="1">
      <c r="A84" s="1160"/>
      <c r="B84" s="1163"/>
      <c r="C84" s="1166"/>
      <c r="D84" s="17"/>
      <c r="E84" s="26" t="str">
        <f t="shared" si="22"/>
        <v/>
      </c>
      <c r="F84" s="313"/>
      <c r="G84" s="27"/>
      <c r="H84" s="26" t="str">
        <f t="shared" si="23"/>
        <v/>
      </c>
      <c r="I84" s="313"/>
      <c r="J84" s="142"/>
      <c r="N84" s="84" t="str">
        <f>母公司汇总抵销!N84</f>
        <v>E12</v>
      </c>
      <c r="O84" s="28" t="str">
        <f>母公司汇总抵销!O84</f>
        <v>持有待售负债</v>
      </c>
    </row>
    <row r="85" spans="1:15" s="23" customFormat="1">
      <c r="A85" s="1160"/>
      <c r="B85" s="1163"/>
      <c r="C85" s="1166"/>
      <c r="D85" s="17"/>
      <c r="E85" s="26" t="str">
        <f t="shared" si="22"/>
        <v/>
      </c>
      <c r="F85" s="313"/>
      <c r="G85" s="27"/>
      <c r="H85" s="26" t="str">
        <f t="shared" si="23"/>
        <v/>
      </c>
      <c r="I85" s="313"/>
      <c r="J85" s="142"/>
      <c r="N85" s="84" t="str">
        <f>母公司汇总抵销!N85</f>
        <v>E13</v>
      </c>
      <c r="O85" s="28" t="str">
        <f>母公司汇总抵销!O85</f>
        <v>一年内到期的非流动负债</v>
      </c>
    </row>
    <row r="86" spans="1:15" s="23" customFormat="1">
      <c r="A86" s="1160"/>
      <c r="B86" s="1163"/>
      <c r="C86" s="1166"/>
      <c r="D86" s="17"/>
      <c r="E86" s="26" t="str">
        <f t="shared" si="22"/>
        <v/>
      </c>
      <c r="F86" s="313"/>
      <c r="G86" s="27"/>
      <c r="H86" s="26" t="str">
        <f t="shared" si="23"/>
        <v/>
      </c>
      <c r="I86" s="313"/>
      <c r="J86" s="142"/>
      <c r="N86" s="84" t="str">
        <f>母公司汇总抵销!N86</f>
        <v>E14</v>
      </c>
      <c r="O86" s="28" t="str">
        <f>母公司汇总抵销!O86</f>
        <v>其他流动负债</v>
      </c>
    </row>
    <row r="87" spans="1:15" s="23" customFormat="1">
      <c r="A87" s="1161"/>
      <c r="B87" s="1164"/>
      <c r="C87" s="1167"/>
      <c r="D87" s="17"/>
      <c r="E87" s="26" t="str">
        <f t="shared" si="22"/>
        <v/>
      </c>
      <c r="F87" s="313"/>
      <c r="G87" s="27"/>
      <c r="H87" s="26" t="str">
        <f t="shared" si="23"/>
        <v/>
      </c>
      <c r="I87" s="313"/>
      <c r="J87" s="142"/>
      <c r="N87" s="84">
        <f>母公司汇总抵销!N87</f>
        <v>0</v>
      </c>
      <c r="O87" s="859" t="str">
        <f>母公司汇总抵销!O87</f>
        <v>流动负债合计</v>
      </c>
    </row>
    <row r="88" spans="1:15" s="23" customFormat="1">
      <c r="A88" s="308"/>
      <c r="B88" s="308"/>
      <c r="C88" s="309"/>
      <c r="D88" s="310"/>
      <c r="E88" s="311"/>
      <c r="F88" s="311"/>
      <c r="G88" s="310"/>
      <c r="H88" s="311"/>
      <c r="I88" s="311"/>
      <c r="J88" s="755" t="str">
        <f>IF(ABS((SUMIF(E82:E87,"?*",J82:J87)-SUMIF(H82:H87,"?*",J82:J87)))&lt;0.005,"","借贷不等")</f>
        <v/>
      </c>
      <c r="N88" s="84">
        <f>母公司汇总抵销!N88</f>
        <v>0</v>
      </c>
      <c r="O88" s="783" t="str">
        <f>母公司汇总抵销!O88</f>
        <v>非流动负债:</v>
      </c>
    </row>
    <row r="89" spans="1:15" s="23" customFormat="1">
      <c r="A89" s="1159">
        <v>13</v>
      </c>
      <c r="B89" s="1162"/>
      <c r="C89" s="1165"/>
      <c r="D89" s="17"/>
      <c r="E89" s="26" t="str">
        <f t="shared" ref="E89:E94" si="24">IF(D89=0,"",VLOOKUP(D89,$N:$O,2,0))</f>
        <v/>
      </c>
      <c r="F89" s="313"/>
      <c r="G89" s="25"/>
      <c r="H89" s="21" t="str">
        <f t="shared" ref="H89:H94" si="25">IF(G89=0,"",VLOOKUP(G89,$N:$O,2,0))</f>
        <v/>
      </c>
      <c r="I89" s="313"/>
      <c r="J89" s="754"/>
      <c r="N89" s="84" t="str">
        <f>母公司汇总抵销!N89</f>
        <v>E15</v>
      </c>
      <c r="O89" s="28" t="str">
        <f>母公司汇总抵销!O89</f>
        <v>长期借款</v>
      </c>
    </row>
    <row r="90" spans="1:15" s="23" customFormat="1">
      <c r="A90" s="1160"/>
      <c r="B90" s="1163"/>
      <c r="C90" s="1166"/>
      <c r="D90" s="17"/>
      <c r="E90" s="26" t="str">
        <f t="shared" si="24"/>
        <v/>
      </c>
      <c r="F90" s="313"/>
      <c r="G90" s="27"/>
      <c r="H90" s="26" t="str">
        <f t="shared" si="25"/>
        <v/>
      </c>
      <c r="I90" s="313"/>
      <c r="J90" s="142"/>
      <c r="N90" s="84" t="str">
        <f>母公司汇总抵销!N90</f>
        <v>E16</v>
      </c>
      <c r="O90" s="28" t="str">
        <f>母公司汇总抵销!O90</f>
        <v>应付债券</v>
      </c>
    </row>
    <row r="91" spans="1:15" s="23" customFormat="1">
      <c r="A91" s="1160"/>
      <c r="B91" s="1163"/>
      <c r="C91" s="1166"/>
      <c r="D91" s="17"/>
      <c r="E91" s="26" t="str">
        <f t="shared" si="24"/>
        <v/>
      </c>
      <c r="F91" s="313"/>
      <c r="G91" s="27"/>
      <c r="H91" s="26" t="str">
        <f t="shared" si="25"/>
        <v/>
      </c>
      <c r="I91" s="313"/>
      <c r="J91" s="142"/>
      <c r="N91" s="84">
        <f>母公司汇总抵销!N91</f>
        <v>0</v>
      </c>
      <c r="O91" s="28" t="str">
        <f>母公司汇总抵销!O91</f>
        <v>优先股</v>
      </c>
    </row>
    <row r="92" spans="1:15" s="23" customFormat="1">
      <c r="A92" s="1160"/>
      <c r="B92" s="1163"/>
      <c r="C92" s="1166"/>
      <c r="D92" s="17"/>
      <c r="E92" s="26" t="str">
        <f t="shared" si="24"/>
        <v/>
      </c>
      <c r="F92" s="313"/>
      <c r="G92" s="27"/>
      <c r="H92" s="26" t="str">
        <f t="shared" si="25"/>
        <v/>
      </c>
      <c r="I92" s="313"/>
      <c r="J92" s="142"/>
      <c r="N92" s="84">
        <f>母公司汇总抵销!N92</f>
        <v>0</v>
      </c>
      <c r="O92" s="28" t="str">
        <f>母公司汇总抵销!O92</f>
        <v>永续债</v>
      </c>
    </row>
    <row r="93" spans="1:15" s="23" customFormat="1">
      <c r="A93" s="1160"/>
      <c r="B93" s="1163"/>
      <c r="C93" s="1166"/>
      <c r="D93" s="17"/>
      <c r="E93" s="26" t="str">
        <f t="shared" si="24"/>
        <v/>
      </c>
      <c r="F93" s="313"/>
      <c r="G93" s="27"/>
      <c r="H93" s="26" t="str">
        <f t="shared" si="25"/>
        <v/>
      </c>
      <c r="I93" s="313"/>
      <c r="J93" s="142"/>
      <c r="N93" s="84" t="str">
        <f>母公司汇总抵销!N93</f>
        <v>E17</v>
      </c>
      <c r="O93" s="28" t="str">
        <f>母公司汇总抵销!O93</f>
        <v>租赁负债</v>
      </c>
    </row>
    <row r="94" spans="1:15" s="23" customFormat="1">
      <c r="A94" s="1161"/>
      <c r="B94" s="1164"/>
      <c r="C94" s="1167"/>
      <c r="D94" s="17"/>
      <c r="E94" s="26" t="str">
        <f t="shared" si="24"/>
        <v/>
      </c>
      <c r="F94" s="313"/>
      <c r="G94" s="27"/>
      <c r="H94" s="26" t="str">
        <f t="shared" si="25"/>
        <v/>
      </c>
      <c r="I94" s="313"/>
      <c r="J94" s="142"/>
      <c r="N94" s="84" t="str">
        <f>母公司汇总抵销!N94</f>
        <v>E18</v>
      </c>
      <c r="O94" s="28" t="str">
        <f>母公司汇总抵销!O94</f>
        <v>长期应付款</v>
      </c>
    </row>
    <row r="95" spans="1:15" s="23" customFormat="1">
      <c r="A95" s="308"/>
      <c r="B95" s="308"/>
      <c r="C95" s="309"/>
      <c r="D95" s="310"/>
      <c r="E95" s="311"/>
      <c r="F95" s="311"/>
      <c r="G95" s="310"/>
      <c r="H95" s="311"/>
      <c r="I95" s="311"/>
      <c r="J95" s="755" t="str">
        <f>IF(ABS((SUMIF(E89:E94,"?*",J89:J94)-SUMIF(H89:H94,"?*",J89:J94)))&lt;0.005,"","借贷不等")</f>
        <v/>
      </c>
      <c r="N95" s="84" t="str">
        <f>母公司汇总抵销!N95</f>
        <v>E19</v>
      </c>
      <c r="O95" s="28" t="str">
        <f>母公司汇总抵销!O95</f>
        <v>长期应付职工薪酬</v>
      </c>
    </row>
    <row r="96" spans="1:15" s="23" customFormat="1">
      <c r="A96" s="1159">
        <v>14</v>
      </c>
      <c r="B96" s="1162"/>
      <c r="C96" s="1165"/>
      <c r="D96" s="17"/>
      <c r="E96" s="26" t="str">
        <f t="shared" ref="E96:E101" si="26">IF(D96=0,"",VLOOKUP(D96,$N:$O,2,0))</f>
        <v/>
      </c>
      <c r="F96" s="313"/>
      <c r="G96" s="25"/>
      <c r="H96" s="21" t="str">
        <f t="shared" ref="H96:H101" si="27">IF(G96=0,"",VLOOKUP(G96,$N:$O,2,0))</f>
        <v/>
      </c>
      <c r="I96" s="313"/>
      <c r="J96" s="754"/>
      <c r="N96" s="84" t="str">
        <f>母公司汇总抵销!N96</f>
        <v>E20</v>
      </c>
      <c r="O96" s="28" t="str">
        <f>母公司汇总抵销!O96</f>
        <v>预计负债</v>
      </c>
    </row>
    <row r="97" spans="1:15" s="23" customFormat="1">
      <c r="A97" s="1160"/>
      <c r="B97" s="1163"/>
      <c r="C97" s="1166"/>
      <c r="D97" s="17"/>
      <c r="E97" s="26" t="str">
        <f t="shared" si="26"/>
        <v/>
      </c>
      <c r="F97" s="313"/>
      <c r="G97" s="27"/>
      <c r="H97" s="26" t="str">
        <f t="shared" si="27"/>
        <v/>
      </c>
      <c r="I97" s="313"/>
      <c r="J97" s="142"/>
      <c r="N97" s="84" t="str">
        <f>母公司汇总抵销!N97</f>
        <v>E21</v>
      </c>
      <c r="O97" s="28" t="str">
        <f>母公司汇总抵销!O97</f>
        <v>递延收益</v>
      </c>
    </row>
    <row r="98" spans="1:15" s="23" customFormat="1">
      <c r="A98" s="1160"/>
      <c r="B98" s="1163"/>
      <c r="C98" s="1166"/>
      <c r="D98" s="17"/>
      <c r="E98" s="26" t="str">
        <f t="shared" si="26"/>
        <v/>
      </c>
      <c r="F98" s="313"/>
      <c r="G98" s="27"/>
      <c r="H98" s="26" t="str">
        <f t="shared" si="27"/>
        <v/>
      </c>
      <c r="I98" s="313"/>
      <c r="J98" s="142"/>
      <c r="N98" s="84" t="str">
        <f>母公司汇总抵销!N98</f>
        <v>E22</v>
      </c>
      <c r="O98" s="28" t="str">
        <f>母公司汇总抵销!O98</f>
        <v>递延所得税负债</v>
      </c>
    </row>
    <row r="99" spans="1:15" s="23" customFormat="1">
      <c r="A99" s="1160"/>
      <c r="B99" s="1163"/>
      <c r="C99" s="1166"/>
      <c r="D99" s="17"/>
      <c r="E99" s="26" t="str">
        <f t="shared" si="26"/>
        <v/>
      </c>
      <c r="F99" s="313"/>
      <c r="G99" s="27"/>
      <c r="H99" s="26" t="str">
        <f t="shared" si="27"/>
        <v/>
      </c>
      <c r="I99" s="313"/>
      <c r="J99" s="142"/>
      <c r="N99" s="84" t="str">
        <f>母公司汇总抵销!N99</f>
        <v>E23</v>
      </c>
      <c r="O99" s="28" t="str">
        <f>母公司汇总抵销!O99</f>
        <v>其他非流动负债</v>
      </c>
    </row>
    <row r="100" spans="1:15" s="23" customFormat="1">
      <c r="A100" s="1160"/>
      <c r="B100" s="1163"/>
      <c r="C100" s="1166"/>
      <c r="D100" s="17"/>
      <c r="E100" s="26" t="str">
        <f t="shared" si="26"/>
        <v/>
      </c>
      <c r="F100" s="313"/>
      <c r="G100" s="27"/>
      <c r="H100" s="26" t="str">
        <f t="shared" si="27"/>
        <v/>
      </c>
      <c r="I100" s="313"/>
      <c r="J100" s="142"/>
      <c r="N100" s="84">
        <f>母公司汇总抵销!N100</f>
        <v>0</v>
      </c>
      <c r="O100" s="859" t="str">
        <f>母公司汇总抵销!O100</f>
        <v>非流动负债合计</v>
      </c>
    </row>
    <row r="101" spans="1:15" s="23" customFormat="1">
      <c r="A101" s="1161"/>
      <c r="B101" s="1164"/>
      <c r="C101" s="1167"/>
      <c r="D101" s="17"/>
      <c r="E101" s="26" t="str">
        <f t="shared" si="26"/>
        <v/>
      </c>
      <c r="F101" s="313"/>
      <c r="G101" s="27"/>
      <c r="H101" s="26" t="str">
        <f t="shared" si="27"/>
        <v/>
      </c>
      <c r="I101" s="313"/>
      <c r="J101" s="142"/>
      <c r="N101" s="84">
        <f>母公司汇总抵销!N101</f>
        <v>0</v>
      </c>
      <c r="O101" s="859" t="str">
        <f>母公司汇总抵销!O101</f>
        <v>负 债 合 计</v>
      </c>
    </row>
    <row r="102" spans="1:15" s="23" customFormat="1">
      <c r="A102" s="308"/>
      <c r="B102" s="308"/>
      <c r="C102" s="309"/>
      <c r="D102" s="310"/>
      <c r="E102" s="311"/>
      <c r="F102" s="311"/>
      <c r="G102" s="310"/>
      <c r="H102" s="311"/>
      <c r="I102" s="311"/>
      <c r="J102" s="755" t="str">
        <f>IF(ABS((SUMIF(E96:E101,"?*",J96:J101)-SUMIF(H96:H101,"?*",J96:J101)))&lt;0.005,"","借贷不等")</f>
        <v/>
      </c>
      <c r="N102" s="84">
        <f>母公司汇总抵销!N102</f>
        <v>0</v>
      </c>
      <c r="O102" s="783" t="str">
        <f>母公司汇总抵销!O102</f>
        <v>股东权益：</v>
      </c>
    </row>
    <row r="103" spans="1:15" s="23" customFormat="1">
      <c r="A103" s="1159">
        <v>15</v>
      </c>
      <c r="B103" s="1162"/>
      <c r="C103" s="1165"/>
      <c r="D103" s="17"/>
      <c r="E103" s="26" t="str">
        <f t="shared" ref="E103:E108" si="28">IF(D103=0,"",VLOOKUP(D103,$N:$O,2,0))</f>
        <v/>
      </c>
      <c r="F103" s="313"/>
      <c r="G103" s="25"/>
      <c r="H103" s="21" t="str">
        <f t="shared" ref="H103:H108" si="29">IF(G103=0,"",VLOOKUP(G103,$N:$O,2,0))</f>
        <v/>
      </c>
      <c r="I103" s="313"/>
      <c r="J103" s="754"/>
      <c r="N103" s="84" t="str">
        <f>母公司汇总抵销!N103</f>
        <v>F1</v>
      </c>
      <c r="O103" s="28" t="str">
        <f>母公司汇总抵销!O103</f>
        <v>股本</v>
      </c>
    </row>
    <row r="104" spans="1:15" s="23" customFormat="1">
      <c r="A104" s="1160"/>
      <c r="B104" s="1163"/>
      <c r="C104" s="1166"/>
      <c r="D104" s="17"/>
      <c r="E104" s="26" t="str">
        <f t="shared" si="28"/>
        <v/>
      </c>
      <c r="F104" s="313"/>
      <c r="G104" s="27"/>
      <c r="H104" s="26" t="str">
        <f t="shared" si="29"/>
        <v/>
      </c>
      <c r="I104" s="313"/>
      <c r="J104" s="142"/>
      <c r="N104" s="84" t="str">
        <f>母公司汇总抵销!N104</f>
        <v>F2</v>
      </c>
      <c r="O104" s="28" t="str">
        <f>母公司汇总抵销!O104</f>
        <v>其他权益工具</v>
      </c>
    </row>
    <row r="105" spans="1:15" s="23" customFormat="1">
      <c r="A105" s="1160"/>
      <c r="B105" s="1163"/>
      <c r="C105" s="1166"/>
      <c r="D105" s="17"/>
      <c r="E105" s="26" t="str">
        <f t="shared" si="28"/>
        <v/>
      </c>
      <c r="F105" s="313"/>
      <c r="G105" s="27"/>
      <c r="H105" s="26" t="str">
        <f t="shared" si="29"/>
        <v/>
      </c>
      <c r="I105" s="313"/>
      <c r="J105" s="142"/>
      <c r="N105" s="84">
        <f>母公司汇总抵销!N105</f>
        <v>0</v>
      </c>
      <c r="O105" s="28" t="str">
        <f>母公司汇总抵销!O105</f>
        <v>优先股</v>
      </c>
    </row>
    <row r="106" spans="1:15" s="23" customFormat="1">
      <c r="A106" s="1160"/>
      <c r="B106" s="1163"/>
      <c r="C106" s="1166"/>
      <c r="D106" s="17"/>
      <c r="E106" s="26" t="str">
        <f t="shared" si="28"/>
        <v/>
      </c>
      <c r="F106" s="313"/>
      <c r="G106" s="27"/>
      <c r="H106" s="26" t="str">
        <f t="shared" si="29"/>
        <v/>
      </c>
      <c r="I106" s="313"/>
      <c r="J106" s="142"/>
      <c r="N106" s="84">
        <f>母公司汇总抵销!N106</f>
        <v>0</v>
      </c>
      <c r="O106" s="28" t="str">
        <f>母公司汇总抵销!O106</f>
        <v>永续债</v>
      </c>
    </row>
    <row r="107" spans="1:15" s="23" customFormat="1">
      <c r="A107" s="1160"/>
      <c r="B107" s="1163"/>
      <c r="C107" s="1166"/>
      <c r="D107" s="17"/>
      <c r="E107" s="26" t="str">
        <f t="shared" si="28"/>
        <v/>
      </c>
      <c r="F107" s="313"/>
      <c r="G107" s="27"/>
      <c r="H107" s="26" t="str">
        <f t="shared" si="29"/>
        <v/>
      </c>
      <c r="I107" s="313"/>
      <c r="J107" s="142"/>
      <c r="N107" s="84" t="str">
        <f>母公司汇总抵销!N107</f>
        <v>F3</v>
      </c>
      <c r="O107" s="28" t="str">
        <f>母公司汇总抵销!O107</f>
        <v>资本公积</v>
      </c>
    </row>
    <row r="108" spans="1:15" s="23" customFormat="1">
      <c r="A108" s="1161"/>
      <c r="B108" s="1164"/>
      <c r="C108" s="1167"/>
      <c r="D108" s="17"/>
      <c r="E108" s="26" t="str">
        <f t="shared" si="28"/>
        <v/>
      </c>
      <c r="F108" s="313"/>
      <c r="G108" s="27"/>
      <c r="H108" s="26" t="str">
        <f t="shared" si="29"/>
        <v/>
      </c>
      <c r="I108" s="313"/>
      <c r="J108" s="142"/>
      <c r="N108" s="84" t="str">
        <f>母公司汇总抵销!N108</f>
        <v>F4</v>
      </c>
      <c r="O108" s="28" t="str">
        <f>母公司汇总抵销!O108</f>
        <v>库存股</v>
      </c>
    </row>
    <row r="109" spans="1:15" s="23" customFormat="1">
      <c r="A109" s="308"/>
      <c r="B109" s="308"/>
      <c r="C109" s="309"/>
      <c r="D109" s="310"/>
      <c r="E109" s="311"/>
      <c r="F109" s="311"/>
      <c r="G109" s="310"/>
      <c r="H109" s="311"/>
      <c r="I109" s="311"/>
      <c r="J109" s="755" t="str">
        <f>IF(ABS((SUMIF(E103:E108,"?*",J103:J108)-SUMIF(H103:H108,"?*",J103:J108)))&lt;0.005,"","借贷不等")</f>
        <v/>
      </c>
      <c r="N109" s="84" t="str">
        <f>母公司汇总抵销!N109</f>
        <v>F5</v>
      </c>
      <c r="O109" s="28" t="str">
        <f>母公司汇总抵销!O109</f>
        <v>其他综合收益</v>
      </c>
    </row>
    <row r="110" spans="1:15" s="23" customFormat="1">
      <c r="A110" s="1159">
        <v>16</v>
      </c>
      <c r="B110" s="1162"/>
      <c r="C110" s="1165"/>
      <c r="D110" s="17"/>
      <c r="E110" s="26" t="str">
        <f t="shared" ref="E110:E115" si="30">IF(D110=0,"",VLOOKUP(D110,$N:$O,2,0))</f>
        <v/>
      </c>
      <c r="F110" s="313"/>
      <c r="G110" s="25"/>
      <c r="H110" s="21" t="str">
        <f t="shared" ref="H110:H115" si="31">IF(G110=0,"",VLOOKUP(G110,$N:$O,2,0))</f>
        <v/>
      </c>
      <c r="I110" s="313"/>
      <c r="J110" s="754"/>
      <c r="N110" s="84" t="str">
        <f>母公司汇总抵销!N110</f>
        <v>F6</v>
      </c>
      <c r="O110" s="28" t="str">
        <f>母公司汇总抵销!O110</f>
        <v>专项储备</v>
      </c>
    </row>
    <row r="111" spans="1:15" s="23" customFormat="1">
      <c r="A111" s="1160"/>
      <c r="B111" s="1163"/>
      <c r="C111" s="1166"/>
      <c r="D111" s="17"/>
      <c r="E111" s="26" t="str">
        <f t="shared" si="30"/>
        <v/>
      </c>
      <c r="F111" s="313"/>
      <c r="G111" s="27"/>
      <c r="H111" s="26" t="str">
        <f t="shared" si="31"/>
        <v/>
      </c>
      <c r="I111" s="313"/>
      <c r="J111" s="142"/>
      <c r="N111" s="84" t="str">
        <f>母公司汇总抵销!N111</f>
        <v>F7</v>
      </c>
      <c r="O111" s="28" t="str">
        <f>母公司汇总抵销!O111</f>
        <v>盈余公积</v>
      </c>
    </row>
    <row r="112" spans="1:15" s="23" customFormat="1">
      <c r="A112" s="1160"/>
      <c r="B112" s="1163"/>
      <c r="C112" s="1166"/>
      <c r="D112" s="17"/>
      <c r="E112" s="26" t="str">
        <f t="shared" si="30"/>
        <v/>
      </c>
      <c r="F112" s="313"/>
      <c r="G112" s="27"/>
      <c r="H112" s="26" t="str">
        <f t="shared" si="31"/>
        <v/>
      </c>
      <c r="I112" s="313"/>
      <c r="J112" s="142"/>
      <c r="N112" s="84" t="str">
        <f>母公司汇总抵销!N112</f>
        <v>F10</v>
      </c>
      <c r="O112" s="28" t="str">
        <f>母公司汇总抵销!O112</f>
        <v>一般风险准备</v>
      </c>
    </row>
    <row r="113" spans="1:15" s="23" customFormat="1">
      <c r="A113" s="1160"/>
      <c r="B113" s="1163"/>
      <c r="C113" s="1166"/>
      <c r="D113" s="17"/>
      <c r="E113" s="26" t="str">
        <f t="shared" si="30"/>
        <v/>
      </c>
      <c r="F113" s="313"/>
      <c r="G113" s="27"/>
      <c r="H113" s="26" t="str">
        <f t="shared" si="31"/>
        <v/>
      </c>
      <c r="I113" s="313"/>
      <c r="J113" s="142"/>
      <c r="N113" s="84" t="str">
        <f>母公司汇总抵销!N113</f>
        <v>F8</v>
      </c>
      <c r="O113" s="28" t="str">
        <f>母公司汇总抵销!O113</f>
        <v>未分配利润</v>
      </c>
    </row>
    <row r="114" spans="1:15" s="23" customFormat="1">
      <c r="A114" s="1160"/>
      <c r="B114" s="1163"/>
      <c r="C114" s="1166"/>
      <c r="D114" s="17"/>
      <c r="E114" s="26" t="str">
        <f t="shared" si="30"/>
        <v/>
      </c>
      <c r="F114" s="313"/>
      <c r="G114" s="27"/>
      <c r="H114" s="26" t="str">
        <f t="shared" si="31"/>
        <v/>
      </c>
      <c r="I114" s="313"/>
      <c r="J114" s="142"/>
      <c r="N114" s="84">
        <f>母公司汇总抵销!N114</f>
        <v>0</v>
      </c>
      <c r="O114" s="28" t="str">
        <f>母公司汇总抵销!O114</f>
        <v>归属于母公司股东权益合计</v>
      </c>
    </row>
    <row r="115" spans="1:15" s="23" customFormat="1">
      <c r="A115" s="1161"/>
      <c r="B115" s="1164"/>
      <c r="C115" s="1167"/>
      <c r="D115" s="17"/>
      <c r="E115" s="26" t="str">
        <f t="shared" si="30"/>
        <v/>
      </c>
      <c r="F115" s="313"/>
      <c r="G115" s="27"/>
      <c r="H115" s="26" t="str">
        <f t="shared" si="31"/>
        <v/>
      </c>
      <c r="I115" s="313"/>
      <c r="J115" s="142"/>
      <c r="N115" s="84" t="str">
        <f>母公司汇总抵销!N115</f>
        <v>F9</v>
      </c>
      <c r="O115" s="28" t="str">
        <f>母公司汇总抵销!O115</f>
        <v>少数股东权益</v>
      </c>
    </row>
    <row r="116" spans="1:15" s="23" customFormat="1">
      <c r="A116" s="308"/>
      <c r="B116" s="308"/>
      <c r="C116" s="309"/>
      <c r="D116" s="310"/>
      <c r="E116" s="311"/>
      <c r="F116" s="311"/>
      <c r="G116" s="310"/>
      <c r="H116" s="311"/>
      <c r="I116" s="311"/>
      <c r="J116" s="755" t="str">
        <f>IF(ABS((SUMIF(E110:E115,"?*",J110:J115)-SUMIF(H110:H115,"?*",J110:J115)))&lt;0.005,"","借贷不等")</f>
        <v/>
      </c>
      <c r="N116" s="84">
        <f>母公司汇总抵销!N116</f>
        <v>0</v>
      </c>
      <c r="O116" s="859" t="str">
        <f>母公司汇总抵销!O116</f>
        <v>股东权益合计</v>
      </c>
    </row>
    <row r="117" spans="1:15" s="23" customFormat="1">
      <c r="A117" s="1159">
        <v>17</v>
      </c>
      <c r="B117" s="1162"/>
      <c r="C117" s="1165"/>
      <c r="D117" s="17"/>
      <c r="E117" s="26" t="str">
        <f t="shared" ref="E117:E122" si="32">IF(D117=0,"",VLOOKUP(D117,$N:$O,2,0))</f>
        <v/>
      </c>
      <c r="F117" s="313"/>
      <c r="G117" s="25"/>
      <c r="H117" s="21" t="str">
        <f t="shared" ref="H117:H122" si="33">IF(G117=0,"",VLOOKUP(G117,$N:$O,2,0))</f>
        <v/>
      </c>
      <c r="I117" s="313"/>
      <c r="J117" s="754"/>
      <c r="N117" s="84">
        <f>母公司汇总抵销!N117</f>
        <v>0</v>
      </c>
      <c r="O117" s="859" t="str">
        <f>母公司汇总抵销!O117</f>
        <v>负债和股东权益合计</v>
      </c>
    </row>
    <row r="118" spans="1:15" s="23" customFormat="1">
      <c r="A118" s="1160"/>
      <c r="B118" s="1163"/>
      <c r="C118" s="1166"/>
      <c r="D118" s="17"/>
      <c r="E118" s="26" t="str">
        <f t="shared" si="32"/>
        <v/>
      </c>
      <c r="F118" s="313"/>
      <c r="G118" s="27"/>
      <c r="H118" s="26" t="str">
        <f t="shared" si="33"/>
        <v/>
      </c>
      <c r="I118" s="313"/>
      <c r="J118" s="142"/>
      <c r="N118" s="84">
        <f>母公司汇总抵销!N118</f>
        <v>0</v>
      </c>
      <c r="O118" s="28" t="str">
        <f>母公司汇总抵销!O118</f>
        <v>0</v>
      </c>
    </row>
    <row r="119" spans="1:15" s="23" customFormat="1">
      <c r="A119" s="1160"/>
      <c r="B119" s="1163"/>
      <c r="C119" s="1166"/>
      <c r="D119" s="17"/>
      <c r="E119" s="26" t="str">
        <f t="shared" si="32"/>
        <v/>
      </c>
      <c r="F119" s="313"/>
      <c r="G119" s="27"/>
      <c r="H119" s="26" t="str">
        <f t="shared" si="33"/>
        <v/>
      </c>
      <c r="I119" s="313"/>
      <c r="J119" s="142"/>
      <c r="N119" s="84">
        <f>母公司汇总抵销!N119</f>
        <v>0</v>
      </c>
      <c r="O119" s="28" t="str">
        <f>母公司汇总抵销!O119</f>
        <v>0</v>
      </c>
    </row>
    <row r="120" spans="1:15" s="23" customFormat="1">
      <c r="A120" s="1160"/>
      <c r="B120" s="1163"/>
      <c r="C120" s="1166"/>
      <c r="D120" s="17"/>
      <c r="E120" s="26" t="str">
        <f t="shared" si="32"/>
        <v/>
      </c>
      <c r="F120" s="313"/>
      <c r="G120" s="27"/>
      <c r="H120" s="26" t="str">
        <f t="shared" si="33"/>
        <v/>
      </c>
      <c r="I120" s="313"/>
      <c r="J120" s="142"/>
      <c r="N120" s="84">
        <f>母公司汇总抵销!N120</f>
        <v>0</v>
      </c>
      <c r="O120" s="28" t="str">
        <f>母公司汇总抵销!O120</f>
        <v/>
      </c>
    </row>
    <row r="121" spans="1:15" s="23" customFormat="1">
      <c r="A121" s="1160"/>
      <c r="B121" s="1163"/>
      <c r="C121" s="1166"/>
      <c r="D121" s="17"/>
      <c r="E121" s="26" t="str">
        <f t="shared" si="32"/>
        <v/>
      </c>
      <c r="F121" s="313"/>
      <c r="G121" s="27"/>
      <c r="H121" s="26" t="str">
        <f t="shared" si="33"/>
        <v/>
      </c>
      <c r="I121" s="313"/>
      <c r="J121" s="142"/>
      <c r="N121" s="84" t="str">
        <f>母公司汇总抵销!N121</f>
        <v>G1</v>
      </c>
      <c r="O121" s="782" t="str">
        <f>母公司汇总抵销!O121</f>
        <v>营业收入</v>
      </c>
    </row>
    <row r="122" spans="1:15" s="23" customFormat="1">
      <c r="A122" s="1161"/>
      <c r="B122" s="1164"/>
      <c r="C122" s="1167"/>
      <c r="D122" s="17"/>
      <c r="E122" s="26" t="str">
        <f t="shared" si="32"/>
        <v/>
      </c>
      <c r="F122" s="313"/>
      <c r="G122" s="27"/>
      <c r="H122" s="26" t="str">
        <f t="shared" si="33"/>
        <v/>
      </c>
      <c r="I122" s="313"/>
      <c r="J122" s="142"/>
      <c r="N122" s="84">
        <f>母公司汇总抵销!N122</f>
        <v>0</v>
      </c>
      <c r="O122" s="28" t="str">
        <f>母公司汇总抵销!O122</f>
        <v>主营业务收入</v>
      </c>
    </row>
    <row r="123" spans="1:15" s="23" customFormat="1">
      <c r="A123" s="308"/>
      <c r="B123" s="308"/>
      <c r="C123" s="309"/>
      <c r="D123" s="310"/>
      <c r="E123" s="311"/>
      <c r="F123" s="311"/>
      <c r="G123" s="310"/>
      <c r="H123" s="311"/>
      <c r="I123" s="311"/>
      <c r="J123" s="755" t="str">
        <f>IF(ABS((SUMIF(E117:E122,"?*",J117:J122)-SUMIF(H117:H122,"?*",J117:J122)))&lt;0.005,"","借贷不等")</f>
        <v/>
      </c>
      <c r="N123" s="84">
        <f>母公司汇总抵销!N123</f>
        <v>0</v>
      </c>
      <c r="O123" s="28" t="str">
        <f>母公司汇总抵销!O123</f>
        <v>利息收入</v>
      </c>
    </row>
    <row r="124" spans="1:15" s="23" customFormat="1">
      <c r="A124" s="1159">
        <v>18</v>
      </c>
      <c r="B124" s="1162"/>
      <c r="C124" s="1165"/>
      <c r="D124" s="17"/>
      <c r="E124" s="26" t="str">
        <f t="shared" ref="E124:E129" si="34">IF(D124=0,"",VLOOKUP(D124,$N:$O,2,0))</f>
        <v/>
      </c>
      <c r="F124" s="313"/>
      <c r="G124" s="25"/>
      <c r="H124" s="21" t="str">
        <f t="shared" ref="H124:H129" si="35">IF(G124=0,"",VLOOKUP(G124,$N:$O,2,0))</f>
        <v/>
      </c>
      <c r="I124" s="313"/>
      <c r="J124" s="754"/>
      <c r="N124" s="84">
        <f>母公司汇总抵销!N124</f>
        <v>0</v>
      </c>
      <c r="O124" s="28" t="str">
        <f>母公司汇总抵销!O124</f>
        <v>已赚保费</v>
      </c>
    </row>
    <row r="125" spans="1:15" s="23" customFormat="1">
      <c r="A125" s="1160"/>
      <c r="B125" s="1163"/>
      <c r="C125" s="1166"/>
      <c r="D125" s="17"/>
      <c r="E125" s="26" t="str">
        <f t="shared" si="34"/>
        <v/>
      </c>
      <c r="F125" s="313"/>
      <c r="G125" s="27"/>
      <c r="H125" s="26" t="str">
        <f t="shared" si="35"/>
        <v/>
      </c>
      <c r="I125" s="313"/>
      <c r="J125" s="142"/>
      <c r="N125" s="84">
        <f>母公司汇总抵销!N125</f>
        <v>0</v>
      </c>
      <c r="O125" s="28" t="str">
        <f>母公司汇总抵销!O125</f>
        <v>手续费及佣金收入</v>
      </c>
    </row>
    <row r="126" spans="1:15" s="23" customFormat="1">
      <c r="A126" s="1160"/>
      <c r="B126" s="1163"/>
      <c r="C126" s="1166"/>
      <c r="D126" s="17"/>
      <c r="E126" s="26" t="str">
        <f t="shared" si="34"/>
        <v/>
      </c>
      <c r="F126" s="313"/>
      <c r="G126" s="27"/>
      <c r="H126" s="26" t="str">
        <f t="shared" si="35"/>
        <v/>
      </c>
      <c r="I126" s="313"/>
      <c r="J126" s="142"/>
      <c r="N126" s="84">
        <f>母公司汇总抵销!N126</f>
        <v>0</v>
      </c>
      <c r="O126" s="28" t="str">
        <f>母公司汇总抵销!O126</f>
        <v>其他业务收入</v>
      </c>
    </row>
    <row r="127" spans="1:15" s="23" customFormat="1">
      <c r="A127" s="1160"/>
      <c r="B127" s="1163"/>
      <c r="C127" s="1166"/>
      <c r="D127" s="17"/>
      <c r="E127" s="26" t="str">
        <f t="shared" si="34"/>
        <v/>
      </c>
      <c r="F127" s="313"/>
      <c r="G127" s="27"/>
      <c r="H127" s="26" t="str">
        <f t="shared" si="35"/>
        <v/>
      </c>
      <c r="I127" s="313"/>
      <c r="J127" s="142"/>
      <c r="N127" s="84" t="str">
        <f>母公司汇总抵销!N127</f>
        <v>G2</v>
      </c>
      <c r="O127" s="782" t="str">
        <f>母公司汇总抵销!O127</f>
        <v>营业成本</v>
      </c>
    </row>
    <row r="128" spans="1:15" s="23" customFormat="1">
      <c r="A128" s="1160"/>
      <c r="B128" s="1163"/>
      <c r="C128" s="1166"/>
      <c r="D128" s="17"/>
      <c r="E128" s="26" t="str">
        <f t="shared" si="34"/>
        <v/>
      </c>
      <c r="F128" s="313"/>
      <c r="G128" s="27"/>
      <c r="H128" s="26" t="str">
        <f t="shared" si="35"/>
        <v/>
      </c>
      <c r="I128" s="313"/>
      <c r="J128" s="142"/>
      <c r="N128" s="84">
        <f>母公司汇总抵销!N128</f>
        <v>0</v>
      </c>
      <c r="O128" s="28" t="str">
        <f>母公司汇总抵销!O128</f>
        <v>主营业务成本</v>
      </c>
    </row>
    <row r="129" spans="1:15" s="23" customFormat="1">
      <c r="A129" s="1161"/>
      <c r="B129" s="1164"/>
      <c r="C129" s="1167"/>
      <c r="D129" s="17"/>
      <c r="E129" s="26" t="str">
        <f t="shared" si="34"/>
        <v/>
      </c>
      <c r="F129" s="313"/>
      <c r="G129" s="27"/>
      <c r="H129" s="26" t="str">
        <f t="shared" si="35"/>
        <v/>
      </c>
      <c r="I129" s="313"/>
      <c r="J129" s="142"/>
      <c r="N129" s="84">
        <f>母公司汇总抵销!N129</f>
        <v>0</v>
      </c>
      <c r="O129" s="28" t="str">
        <f>母公司汇总抵销!O129</f>
        <v>利息支出</v>
      </c>
    </row>
    <row r="130" spans="1:15" s="23" customFormat="1">
      <c r="A130" s="308"/>
      <c r="B130" s="308"/>
      <c r="C130" s="309"/>
      <c r="D130" s="310"/>
      <c r="E130" s="311"/>
      <c r="F130" s="311"/>
      <c r="G130" s="310"/>
      <c r="H130" s="311"/>
      <c r="I130" s="311"/>
      <c r="J130" s="755" t="str">
        <f>IF(ABS((SUMIF(E124:E129,"?*",J124:J129)-SUMIF(H124:H129,"?*",J124:J129)))&lt;0.005,"","借贷不等")</f>
        <v/>
      </c>
      <c r="N130" s="84">
        <f>母公司汇总抵销!N130</f>
        <v>0</v>
      </c>
      <c r="O130" s="28" t="str">
        <f>母公司汇总抵销!O130</f>
        <v>手续费及佣金支出</v>
      </c>
    </row>
    <row r="131" spans="1:15" s="23" customFormat="1">
      <c r="A131" s="1159">
        <v>19</v>
      </c>
      <c r="B131" s="1162"/>
      <c r="C131" s="1165"/>
      <c r="D131" s="17"/>
      <c r="E131" s="26" t="str">
        <f t="shared" ref="E131:E136" si="36">IF(D131=0,"",VLOOKUP(D131,$N:$O,2,0))</f>
        <v/>
      </c>
      <c r="F131" s="313"/>
      <c r="G131" s="25"/>
      <c r="H131" s="21" t="str">
        <f t="shared" ref="H131:H136" si="37">IF(G131=0,"",VLOOKUP(G131,$N:$O,2,0))</f>
        <v/>
      </c>
      <c r="I131" s="313"/>
      <c r="J131" s="754"/>
      <c r="N131" s="84">
        <f>母公司汇总抵销!N131</f>
        <v>0</v>
      </c>
      <c r="O131" s="28" t="str">
        <f>母公司汇总抵销!O131</f>
        <v>退保金</v>
      </c>
    </row>
    <row r="132" spans="1:15" s="23" customFormat="1">
      <c r="A132" s="1160"/>
      <c r="B132" s="1163"/>
      <c r="C132" s="1166"/>
      <c r="D132" s="17"/>
      <c r="E132" s="26" t="str">
        <f t="shared" si="36"/>
        <v/>
      </c>
      <c r="F132" s="313"/>
      <c r="G132" s="27"/>
      <c r="H132" s="26" t="str">
        <f t="shared" si="37"/>
        <v/>
      </c>
      <c r="I132" s="313"/>
      <c r="J132" s="142"/>
      <c r="N132" s="84">
        <f>母公司汇总抵销!N132</f>
        <v>0</v>
      </c>
      <c r="O132" s="28" t="str">
        <f>母公司汇总抵销!O132</f>
        <v>赔付支出净额</v>
      </c>
    </row>
    <row r="133" spans="1:15" s="23" customFormat="1">
      <c r="A133" s="1160"/>
      <c r="B133" s="1163"/>
      <c r="C133" s="1166"/>
      <c r="D133" s="17"/>
      <c r="E133" s="26" t="str">
        <f t="shared" si="36"/>
        <v/>
      </c>
      <c r="F133" s="313"/>
      <c r="G133" s="27"/>
      <c r="H133" s="26" t="str">
        <f t="shared" si="37"/>
        <v/>
      </c>
      <c r="I133" s="313"/>
      <c r="J133" s="142"/>
      <c r="N133" s="84">
        <f>母公司汇总抵销!N133</f>
        <v>0</v>
      </c>
      <c r="O133" s="28" t="str">
        <f>母公司汇总抵销!O133</f>
        <v>提取保险合同准备金净额</v>
      </c>
    </row>
    <row r="134" spans="1:15" s="23" customFormat="1">
      <c r="A134" s="1160"/>
      <c r="B134" s="1163"/>
      <c r="C134" s="1166"/>
      <c r="D134" s="17"/>
      <c r="E134" s="26" t="str">
        <f t="shared" si="36"/>
        <v/>
      </c>
      <c r="F134" s="313"/>
      <c r="G134" s="27"/>
      <c r="H134" s="26" t="str">
        <f t="shared" si="37"/>
        <v/>
      </c>
      <c r="I134" s="313"/>
      <c r="J134" s="142"/>
      <c r="N134" s="84">
        <f>母公司汇总抵销!N134</f>
        <v>0</v>
      </c>
      <c r="O134" s="28" t="str">
        <f>母公司汇总抵销!O134</f>
        <v>保单红利支出</v>
      </c>
    </row>
    <row r="135" spans="1:15" s="23" customFormat="1">
      <c r="A135" s="1160"/>
      <c r="B135" s="1163"/>
      <c r="C135" s="1166"/>
      <c r="D135" s="17"/>
      <c r="E135" s="26" t="str">
        <f t="shared" si="36"/>
        <v/>
      </c>
      <c r="F135" s="313"/>
      <c r="G135" s="27"/>
      <c r="H135" s="26" t="str">
        <f t="shared" si="37"/>
        <v/>
      </c>
      <c r="I135" s="313"/>
      <c r="J135" s="142"/>
      <c r="N135" s="84">
        <f>母公司汇总抵销!N135</f>
        <v>0</v>
      </c>
      <c r="O135" s="28" t="str">
        <f>母公司汇总抵销!O135</f>
        <v>分保费用</v>
      </c>
    </row>
    <row r="136" spans="1:15" s="23" customFormat="1">
      <c r="A136" s="1161"/>
      <c r="B136" s="1164"/>
      <c r="C136" s="1167"/>
      <c r="D136" s="17"/>
      <c r="E136" s="26" t="str">
        <f t="shared" si="36"/>
        <v/>
      </c>
      <c r="F136" s="313"/>
      <c r="G136" s="27"/>
      <c r="H136" s="26" t="str">
        <f t="shared" si="37"/>
        <v/>
      </c>
      <c r="I136" s="313"/>
      <c r="J136" s="142"/>
      <c r="N136" s="84">
        <f>母公司汇总抵销!N136</f>
        <v>0</v>
      </c>
      <c r="O136" s="28" t="str">
        <f>母公司汇总抵销!O136</f>
        <v>其他业务成本</v>
      </c>
    </row>
    <row r="137" spans="1:15" s="23" customFormat="1">
      <c r="A137" s="308"/>
      <c r="B137" s="308"/>
      <c r="C137" s="309"/>
      <c r="D137" s="310"/>
      <c r="E137" s="311"/>
      <c r="F137" s="311"/>
      <c r="G137" s="310"/>
      <c r="H137" s="311"/>
      <c r="I137" s="311"/>
      <c r="J137" s="755" t="str">
        <f>IF(ABS((SUMIF(E131:E136,"?*",J131:J136)-SUMIF(H131:H136,"?*",J131:J136)))&lt;0.005,"","借贷不等")</f>
        <v/>
      </c>
      <c r="N137" s="84" t="str">
        <f>母公司汇总抵销!N137</f>
        <v>G3</v>
      </c>
      <c r="O137" s="28" t="str">
        <f>母公司汇总抵销!O137</f>
        <v>税金及附加</v>
      </c>
    </row>
    <row r="138" spans="1:15" s="23" customFormat="1">
      <c r="A138" s="1159">
        <v>20</v>
      </c>
      <c r="B138" s="1162"/>
      <c r="C138" s="1165"/>
      <c r="D138" s="17"/>
      <c r="E138" s="26" t="str">
        <f t="shared" ref="E138:E143" si="38">IF(D138=0,"",VLOOKUP(D138,$N:$O,2,0))</f>
        <v/>
      </c>
      <c r="F138" s="313"/>
      <c r="G138" s="25"/>
      <c r="H138" s="21" t="str">
        <f t="shared" ref="H138:H143" si="39">IF(G138=0,"",VLOOKUP(G138,$N:$O,2,0))</f>
        <v/>
      </c>
      <c r="I138" s="313"/>
      <c r="J138" s="754"/>
      <c r="N138" s="84" t="str">
        <f>母公司汇总抵销!N138</f>
        <v>G4</v>
      </c>
      <c r="O138" s="28" t="str">
        <f>母公司汇总抵销!O138</f>
        <v>销售费用</v>
      </c>
    </row>
    <row r="139" spans="1:15" s="23" customFormat="1">
      <c r="A139" s="1160"/>
      <c r="B139" s="1163"/>
      <c r="C139" s="1166"/>
      <c r="D139" s="17"/>
      <c r="E139" s="26" t="str">
        <f t="shared" si="38"/>
        <v/>
      </c>
      <c r="F139" s="313"/>
      <c r="G139" s="27"/>
      <c r="H139" s="26" t="str">
        <f t="shared" si="39"/>
        <v/>
      </c>
      <c r="I139" s="313"/>
      <c r="J139" s="142"/>
      <c r="N139" s="84" t="str">
        <f>母公司汇总抵销!N139</f>
        <v>G5</v>
      </c>
      <c r="O139" s="28" t="str">
        <f>母公司汇总抵销!O139</f>
        <v>管理费用</v>
      </c>
    </row>
    <row r="140" spans="1:15" s="23" customFormat="1">
      <c r="A140" s="1160"/>
      <c r="B140" s="1163"/>
      <c r="C140" s="1166"/>
      <c r="D140" s="17"/>
      <c r="E140" s="26" t="str">
        <f t="shared" si="38"/>
        <v/>
      </c>
      <c r="F140" s="313"/>
      <c r="G140" s="27"/>
      <c r="H140" s="26" t="str">
        <f t="shared" si="39"/>
        <v/>
      </c>
      <c r="I140" s="313"/>
      <c r="J140" s="142"/>
      <c r="N140" s="84" t="str">
        <f>母公司汇总抵销!N140</f>
        <v>G6</v>
      </c>
      <c r="O140" s="28" t="str">
        <f>母公司汇总抵销!O140</f>
        <v>研发费用</v>
      </c>
    </row>
    <row r="141" spans="1:15" s="23" customFormat="1">
      <c r="A141" s="1160"/>
      <c r="B141" s="1163"/>
      <c r="C141" s="1166"/>
      <c r="D141" s="17"/>
      <c r="E141" s="26" t="str">
        <f t="shared" si="38"/>
        <v/>
      </c>
      <c r="F141" s="313"/>
      <c r="G141" s="27"/>
      <c r="H141" s="26" t="str">
        <f t="shared" si="39"/>
        <v/>
      </c>
      <c r="I141" s="313"/>
      <c r="J141" s="142"/>
      <c r="N141" s="84" t="str">
        <f>母公司汇总抵销!N141</f>
        <v>G7</v>
      </c>
      <c r="O141" s="28" t="str">
        <f>母公司汇总抵销!O141</f>
        <v>财务费用</v>
      </c>
    </row>
    <row r="142" spans="1:15" s="23" customFormat="1">
      <c r="A142" s="1160"/>
      <c r="B142" s="1163"/>
      <c r="C142" s="1166"/>
      <c r="D142" s="17"/>
      <c r="E142" s="26" t="str">
        <f t="shared" si="38"/>
        <v/>
      </c>
      <c r="F142" s="313"/>
      <c r="G142" s="27"/>
      <c r="H142" s="26" t="str">
        <f t="shared" si="39"/>
        <v/>
      </c>
      <c r="I142" s="313"/>
      <c r="J142" s="142"/>
      <c r="N142" s="84">
        <f>母公司汇总抵销!N142</f>
        <v>0</v>
      </c>
      <c r="O142" s="28" t="str">
        <f>母公司汇总抵销!O142</f>
        <v>利息费用</v>
      </c>
    </row>
    <row r="143" spans="1:15" s="23" customFormat="1">
      <c r="A143" s="1161"/>
      <c r="B143" s="1164"/>
      <c r="C143" s="1167"/>
      <c r="D143" s="17"/>
      <c r="E143" s="26" t="str">
        <f t="shared" si="38"/>
        <v/>
      </c>
      <c r="F143" s="313"/>
      <c r="G143" s="27"/>
      <c r="H143" s="26" t="str">
        <f t="shared" si="39"/>
        <v/>
      </c>
      <c r="I143" s="313"/>
      <c r="J143" s="142"/>
      <c r="N143" s="84">
        <f>母公司汇总抵销!N143</f>
        <v>0</v>
      </c>
      <c r="O143" s="28" t="str">
        <f>母公司汇总抵销!O143</f>
        <v>利息收入</v>
      </c>
    </row>
    <row r="144" spans="1:15" s="23" customFormat="1">
      <c r="A144" s="308"/>
      <c r="B144" s="308"/>
      <c r="C144" s="309"/>
      <c r="D144" s="310"/>
      <c r="E144" s="311"/>
      <c r="F144" s="311"/>
      <c r="G144" s="310"/>
      <c r="H144" s="311"/>
      <c r="I144" s="311"/>
      <c r="J144" s="755" t="str">
        <f>IF(ABS((SUMIF(E138:E143,"?*",J138:J143)-SUMIF(H138:H143,"?*",J138:J143)))&lt;0.005,"","借贷不等")</f>
        <v/>
      </c>
      <c r="N144" s="84" t="str">
        <f>母公司汇总抵销!N144</f>
        <v>G8</v>
      </c>
      <c r="O144" s="28" t="str">
        <f>母公司汇总抵销!O144</f>
        <v>其他收益</v>
      </c>
    </row>
    <row r="145" spans="1:15" s="23" customFormat="1">
      <c r="A145" s="1159">
        <v>21</v>
      </c>
      <c r="B145" s="1162"/>
      <c r="C145" s="1165"/>
      <c r="D145" s="17"/>
      <c r="E145" s="26" t="str">
        <f t="shared" ref="E145:E150" si="40">IF(D145=0,"",VLOOKUP(D145,$N:$O,2,0))</f>
        <v/>
      </c>
      <c r="F145" s="313"/>
      <c r="G145" s="25"/>
      <c r="H145" s="21" t="str">
        <f t="shared" ref="H145:H150" si="41">IF(G145=0,"",VLOOKUP(G145,$N:$O,2,0))</f>
        <v/>
      </c>
      <c r="I145" s="313"/>
      <c r="J145" s="754"/>
      <c r="N145" s="84" t="str">
        <f>母公司汇总抵销!N145</f>
        <v>G9</v>
      </c>
      <c r="O145" s="28" t="str">
        <f>母公司汇总抵销!O145</f>
        <v>投资收益</v>
      </c>
    </row>
    <row r="146" spans="1:15" s="23" customFormat="1">
      <c r="A146" s="1160"/>
      <c r="B146" s="1163"/>
      <c r="C146" s="1166"/>
      <c r="D146" s="17"/>
      <c r="E146" s="26" t="str">
        <f t="shared" si="40"/>
        <v/>
      </c>
      <c r="F146" s="313"/>
      <c r="G146" s="27"/>
      <c r="H146" s="26" t="str">
        <f t="shared" si="41"/>
        <v/>
      </c>
      <c r="I146" s="313"/>
      <c r="J146" s="142"/>
      <c r="N146" s="84">
        <f>母公司汇总抵销!N146</f>
        <v>0</v>
      </c>
      <c r="O146" s="28" t="str">
        <f>母公司汇总抵销!O146</f>
        <v>对联营企业和合营企业的投资收益</v>
      </c>
    </row>
    <row r="147" spans="1:15" s="23" customFormat="1">
      <c r="A147" s="1160"/>
      <c r="B147" s="1163"/>
      <c r="C147" s="1166"/>
      <c r="D147" s="17"/>
      <c r="E147" s="26" t="str">
        <f t="shared" si="40"/>
        <v/>
      </c>
      <c r="F147" s="313"/>
      <c r="G147" s="27"/>
      <c r="H147" s="26" t="str">
        <f t="shared" si="41"/>
        <v/>
      </c>
      <c r="I147" s="313"/>
      <c r="J147" s="142"/>
      <c r="N147" s="84">
        <f>母公司汇总抵销!N147</f>
        <v>0</v>
      </c>
      <c r="O147" s="28" t="str">
        <f>母公司汇总抵销!O147</f>
        <v>以摊余成本计量的金融资产终止确认收益</v>
      </c>
    </row>
    <row r="148" spans="1:15" s="23" customFormat="1">
      <c r="A148" s="1160"/>
      <c r="B148" s="1163"/>
      <c r="C148" s="1166"/>
      <c r="D148" s="17"/>
      <c r="E148" s="26" t="str">
        <f t="shared" si="40"/>
        <v/>
      </c>
      <c r="F148" s="313"/>
      <c r="G148" s="27"/>
      <c r="H148" s="26" t="str">
        <f t="shared" si="41"/>
        <v/>
      </c>
      <c r="I148" s="313"/>
      <c r="J148" s="142"/>
      <c r="N148" s="84" t="str">
        <f>母公司汇总抵销!N148</f>
        <v>G10</v>
      </c>
      <c r="O148" s="28" t="str">
        <f>母公司汇总抵销!O148</f>
        <v>净敞口套期收益</v>
      </c>
    </row>
    <row r="149" spans="1:15" s="23" customFormat="1">
      <c r="A149" s="1160"/>
      <c r="B149" s="1163"/>
      <c r="C149" s="1166"/>
      <c r="D149" s="17"/>
      <c r="E149" s="26" t="str">
        <f t="shared" si="40"/>
        <v/>
      </c>
      <c r="F149" s="313"/>
      <c r="G149" s="27"/>
      <c r="H149" s="26" t="str">
        <f t="shared" si="41"/>
        <v/>
      </c>
      <c r="I149" s="313"/>
      <c r="J149" s="142"/>
      <c r="N149" s="84" t="str">
        <f>母公司汇总抵销!N149</f>
        <v>G11</v>
      </c>
      <c r="O149" s="28" t="str">
        <f>母公司汇总抵销!O149</f>
        <v>公允价值变动收益</v>
      </c>
    </row>
    <row r="150" spans="1:15" s="23" customFormat="1">
      <c r="A150" s="1161"/>
      <c r="B150" s="1164"/>
      <c r="C150" s="1167"/>
      <c r="D150" s="17"/>
      <c r="E150" s="26" t="str">
        <f t="shared" si="40"/>
        <v/>
      </c>
      <c r="F150" s="313"/>
      <c r="G150" s="27"/>
      <c r="H150" s="26" t="str">
        <f t="shared" si="41"/>
        <v/>
      </c>
      <c r="I150" s="313"/>
      <c r="J150" s="142"/>
      <c r="N150" s="84" t="str">
        <f>母公司汇总抵销!N150</f>
        <v>G12</v>
      </c>
      <c r="O150" s="28" t="str">
        <f>母公司汇总抵销!O150</f>
        <v>信用减值损失(损</v>
      </c>
    </row>
    <row r="151" spans="1:15" s="23" customFormat="1">
      <c r="A151" s="308"/>
      <c r="B151" s="308"/>
      <c r="C151" s="309"/>
      <c r="D151" s="310"/>
      <c r="E151" s="311"/>
      <c r="F151" s="311"/>
      <c r="G151" s="310"/>
      <c r="H151" s="311"/>
      <c r="I151" s="311"/>
      <c r="J151" s="755" t="str">
        <f>IF(ABS((SUMIF(E145:E150,"?*",J145:J150)-SUMIF(H145:H150,"?*",J145:J150)))&lt;0.005,"","借贷不等")</f>
        <v/>
      </c>
      <c r="N151" s="84" t="str">
        <f>母公司汇总抵销!N151</f>
        <v>G13</v>
      </c>
      <c r="O151" s="28" t="str">
        <f>母公司汇总抵销!O151</f>
        <v>资产减值损失</v>
      </c>
    </row>
    <row r="152" spans="1:15" s="23" customFormat="1">
      <c r="A152" s="1159">
        <v>22</v>
      </c>
      <c r="B152" s="1162"/>
      <c r="C152" s="1165"/>
      <c r="D152" s="17"/>
      <c r="E152" s="26" t="str">
        <f t="shared" ref="E152:E157" si="42">IF(D152=0,"",VLOOKUP(D152,$N:$O,2,0))</f>
        <v/>
      </c>
      <c r="F152" s="313"/>
      <c r="G152" s="25"/>
      <c r="H152" s="21" t="str">
        <f t="shared" ref="H152:H157" si="43">IF(G152=0,"",VLOOKUP(G152,$N:$O,2,0))</f>
        <v/>
      </c>
      <c r="I152" s="313"/>
      <c r="J152" s="754"/>
      <c r="N152" s="84" t="str">
        <f>母公司汇总抵销!N152</f>
        <v>G14</v>
      </c>
      <c r="O152" s="28" t="str">
        <f>母公司汇总抵销!O152</f>
        <v>资产处置收益</v>
      </c>
    </row>
    <row r="153" spans="1:15" s="23" customFormat="1">
      <c r="A153" s="1160"/>
      <c r="B153" s="1163"/>
      <c r="C153" s="1166"/>
      <c r="D153" s="17"/>
      <c r="E153" s="26" t="str">
        <f t="shared" si="42"/>
        <v/>
      </c>
      <c r="F153" s="313"/>
      <c r="G153" s="27"/>
      <c r="H153" s="26" t="str">
        <f t="shared" si="43"/>
        <v/>
      </c>
      <c r="I153" s="313"/>
      <c r="J153" s="142"/>
      <c r="N153" s="84">
        <f>母公司汇总抵销!N153</f>
        <v>0</v>
      </c>
      <c r="O153" s="782" t="str">
        <f>母公司汇总抵销!O153</f>
        <v>营业利润</v>
      </c>
    </row>
    <row r="154" spans="1:15" s="23" customFormat="1">
      <c r="A154" s="1160"/>
      <c r="B154" s="1163"/>
      <c r="C154" s="1166"/>
      <c r="D154" s="17"/>
      <c r="E154" s="26" t="str">
        <f t="shared" si="42"/>
        <v/>
      </c>
      <c r="F154" s="313"/>
      <c r="G154" s="27"/>
      <c r="H154" s="26" t="str">
        <f t="shared" si="43"/>
        <v/>
      </c>
      <c r="I154" s="313"/>
      <c r="J154" s="142"/>
      <c r="N154" s="84" t="str">
        <f>母公司汇总抵销!N154</f>
        <v>G15</v>
      </c>
      <c r="O154" s="28" t="str">
        <f>母公司汇总抵销!O154</f>
        <v>营业外收入</v>
      </c>
    </row>
    <row r="155" spans="1:15" s="23" customFormat="1">
      <c r="A155" s="1160"/>
      <c r="B155" s="1163"/>
      <c r="C155" s="1166"/>
      <c r="D155" s="17"/>
      <c r="E155" s="26" t="str">
        <f t="shared" si="42"/>
        <v/>
      </c>
      <c r="F155" s="313"/>
      <c r="G155" s="27"/>
      <c r="H155" s="26" t="str">
        <f t="shared" si="43"/>
        <v/>
      </c>
      <c r="I155" s="313"/>
      <c r="J155" s="142"/>
      <c r="N155" s="84" t="str">
        <f>母公司汇总抵销!N155</f>
        <v>G16</v>
      </c>
      <c r="O155" s="28" t="str">
        <f>母公司汇总抵销!O155</f>
        <v>营业外支出</v>
      </c>
    </row>
    <row r="156" spans="1:15" s="23" customFormat="1">
      <c r="A156" s="1160"/>
      <c r="B156" s="1163"/>
      <c r="C156" s="1166"/>
      <c r="D156" s="17"/>
      <c r="E156" s="26" t="str">
        <f t="shared" si="42"/>
        <v/>
      </c>
      <c r="F156" s="313"/>
      <c r="G156" s="27"/>
      <c r="H156" s="26" t="str">
        <f t="shared" si="43"/>
        <v/>
      </c>
      <c r="I156" s="313"/>
      <c r="J156" s="142"/>
      <c r="N156" s="84">
        <f>母公司汇总抵销!N156</f>
        <v>0</v>
      </c>
      <c r="O156" s="782" t="str">
        <f>母公司汇总抵销!O156</f>
        <v>利润总额</v>
      </c>
    </row>
    <row r="157" spans="1:15" s="23" customFormat="1">
      <c r="A157" s="1161"/>
      <c r="B157" s="1164"/>
      <c r="C157" s="1167"/>
      <c r="D157" s="17"/>
      <c r="E157" s="26" t="str">
        <f t="shared" si="42"/>
        <v/>
      </c>
      <c r="F157" s="313"/>
      <c r="G157" s="27"/>
      <c r="H157" s="26" t="str">
        <f t="shared" si="43"/>
        <v/>
      </c>
      <c r="I157" s="313"/>
      <c r="J157" s="142"/>
      <c r="N157" s="84" t="str">
        <f>母公司汇总抵销!N157</f>
        <v>G17</v>
      </c>
      <c r="O157" s="28" t="str">
        <f>母公司汇总抵销!O157</f>
        <v>所得税费用</v>
      </c>
    </row>
    <row r="158" spans="1:15" s="23" customFormat="1">
      <c r="A158" s="308"/>
      <c r="B158" s="308"/>
      <c r="C158" s="309"/>
      <c r="D158" s="310"/>
      <c r="E158" s="311"/>
      <c r="F158" s="311"/>
      <c r="G158" s="310"/>
      <c r="H158" s="311"/>
      <c r="I158" s="311"/>
      <c r="J158" s="755" t="str">
        <f>IF(ABS((SUMIF(E152:E157,"?*",J152:J157)-SUMIF(H152:H157,"?*",J152:J157)))&lt;0.005,"","借贷不等")</f>
        <v/>
      </c>
      <c r="N158" s="84" t="str">
        <f>母公司汇总抵销!N158</f>
        <v>G18</v>
      </c>
      <c r="O158" s="28" t="str">
        <f>母公司汇总抵销!O158</f>
        <v>0</v>
      </c>
    </row>
    <row r="159" spans="1:15" s="23" customFormat="1">
      <c r="A159" s="1159">
        <v>23</v>
      </c>
      <c r="B159" s="1162"/>
      <c r="C159" s="1165"/>
      <c r="D159" s="17"/>
      <c r="E159" s="26" t="str">
        <f t="shared" ref="E159:E164" si="44">IF(D159=0,"",VLOOKUP(D159,$N:$O,2,0))</f>
        <v/>
      </c>
      <c r="F159" s="313"/>
      <c r="G159" s="25"/>
      <c r="H159" s="21" t="str">
        <f t="shared" ref="H159:H164" si="45">IF(G159=0,"",VLOOKUP(G159,$N:$O,2,0))</f>
        <v/>
      </c>
      <c r="I159" s="313"/>
      <c r="J159" s="754"/>
      <c r="N159" s="84">
        <f>母公司汇总抵销!N159</f>
        <v>0</v>
      </c>
      <c r="O159" s="782" t="str">
        <f>母公司汇总抵销!O159</f>
        <v>净利润</v>
      </c>
    </row>
    <row r="160" spans="1:15" s="23" customFormat="1">
      <c r="A160" s="1160"/>
      <c r="B160" s="1163"/>
      <c r="C160" s="1166"/>
      <c r="D160" s="17"/>
      <c r="E160" s="26" t="str">
        <f t="shared" si="44"/>
        <v/>
      </c>
      <c r="F160" s="313"/>
      <c r="G160" s="27"/>
      <c r="H160" s="26" t="str">
        <f t="shared" si="45"/>
        <v/>
      </c>
      <c r="I160" s="313"/>
      <c r="J160" s="142"/>
      <c r="N160" s="84">
        <f>母公司汇总抵销!N160</f>
        <v>0</v>
      </c>
      <c r="O160" s="28" t="str">
        <f>母公司汇总抵销!O160</f>
        <v>（一）按经营持续性分类</v>
      </c>
    </row>
    <row r="161" spans="1:15" s="23" customFormat="1">
      <c r="A161" s="1160"/>
      <c r="B161" s="1163"/>
      <c r="C161" s="1166"/>
      <c r="D161" s="17"/>
      <c r="E161" s="26" t="str">
        <f t="shared" si="44"/>
        <v/>
      </c>
      <c r="F161" s="313"/>
      <c r="G161" s="27"/>
      <c r="H161" s="26" t="str">
        <f t="shared" si="45"/>
        <v/>
      </c>
      <c r="I161" s="313"/>
      <c r="J161" s="142"/>
      <c r="N161" s="84">
        <f>母公司汇总抵销!N161</f>
        <v>0</v>
      </c>
      <c r="O161" s="28" t="str">
        <f>母公司汇总抵销!O161</f>
        <v>持续经营净利润</v>
      </c>
    </row>
    <row r="162" spans="1:15" s="23" customFormat="1">
      <c r="A162" s="1160"/>
      <c r="B162" s="1163"/>
      <c r="C162" s="1166"/>
      <c r="D162" s="17"/>
      <c r="E162" s="26" t="str">
        <f t="shared" si="44"/>
        <v/>
      </c>
      <c r="F162" s="313"/>
      <c r="G162" s="27"/>
      <c r="H162" s="26" t="str">
        <f t="shared" si="45"/>
        <v/>
      </c>
      <c r="I162" s="313"/>
      <c r="J162" s="142"/>
      <c r="N162" s="84">
        <f>母公司汇总抵销!N162</f>
        <v>0</v>
      </c>
      <c r="O162" s="28" t="str">
        <f>母公司汇总抵销!O162</f>
        <v>终止经营净利润</v>
      </c>
    </row>
    <row r="163" spans="1:15" s="23" customFormat="1">
      <c r="A163" s="1160"/>
      <c r="B163" s="1163"/>
      <c r="C163" s="1166"/>
      <c r="D163" s="17"/>
      <c r="E163" s="26" t="str">
        <f t="shared" si="44"/>
        <v/>
      </c>
      <c r="F163" s="313"/>
      <c r="G163" s="27"/>
      <c r="H163" s="26" t="str">
        <f t="shared" si="45"/>
        <v/>
      </c>
      <c r="I163" s="313"/>
      <c r="J163" s="142"/>
      <c r="N163" s="84">
        <f>母公司汇总抵销!N163</f>
        <v>0</v>
      </c>
      <c r="O163" s="28" t="str">
        <f>母公司汇总抵销!O163</f>
        <v>（二）按所有权归属分类</v>
      </c>
    </row>
    <row r="164" spans="1:15" s="23" customFormat="1">
      <c r="A164" s="1161"/>
      <c r="B164" s="1164"/>
      <c r="C164" s="1167"/>
      <c r="D164" s="17"/>
      <c r="E164" s="26" t="str">
        <f t="shared" si="44"/>
        <v/>
      </c>
      <c r="F164" s="313"/>
      <c r="G164" s="27"/>
      <c r="H164" s="26" t="str">
        <f t="shared" si="45"/>
        <v/>
      </c>
      <c r="I164" s="313"/>
      <c r="J164" s="142"/>
      <c r="N164" s="84">
        <f>母公司汇总抵销!N164</f>
        <v>0</v>
      </c>
      <c r="O164" s="28" t="str">
        <f>母公司汇总抵销!O164</f>
        <v>归属于母公司股东的净利润</v>
      </c>
    </row>
    <row r="165" spans="1:15" s="23" customFormat="1">
      <c r="A165" s="308"/>
      <c r="B165" s="308"/>
      <c r="C165" s="309"/>
      <c r="D165" s="310"/>
      <c r="E165" s="311"/>
      <c r="F165" s="311"/>
      <c r="G165" s="310"/>
      <c r="H165" s="311"/>
      <c r="I165" s="311"/>
      <c r="J165" s="755" t="str">
        <f>IF(ABS((SUMIF(E159:E164,"?*",J159:J164)-SUMIF(H159:H164,"?*",J159:J164)))&lt;0.005,"","借贷不等")</f>
        <v/>
      </c>
      <c r="N165" s="84" t="str">
        <f>母公司汇总抵销!N165</f>
        <v>G19</v>
      </c>
      <c r="O165" s="28" t="str">
        <f>母公司汇总抵销!O165</f>
        <v>少数股东损益</v>
      </c>
    </row>
    <row r="166" spans="1:15" s="23" customFormat="1">
      <c r="A166" s="1159">
        <v>24</v>
      </c>
      <c r="B166" s="1162"/>
      <c r="C166" s="1165"/>
      <c r="D166" s="17"/>
      <c r="E166" s="26" t="str">
        <f t="shared" ref="E166:E171" si="46">IF(D166=0,"",VLOOKUP(D166,$N:$O,2,0))</f>
        <v/>
      </c>
      <c r="F166" s="313"/>
      <c r="G166" s="25"/>
      <c r="H166" s="21" t="str">
        <f t="shared" ref="H166:H171" si="47">IF(G166=0,"",VLOOKUP(G166,$N:$O,2,0))</f>
        <v/>
      </c>
      <c r="I166" s="313"/>
      <c r="J166" s="754"/>
      <c r="N166" s="84">
        <f>母公司汇总抵销!N166</f>
        <v>0</v>
      </c>
      <c r="O166" s="782" t="str">
        <f>母公司汇总抵销!O166</f>
        <v>其他综合收益的税后净额</v>
      </c>
    </row>
    <row r="167" spans="1:15" s="23" customFormat="1">
      <c r="A167" s="1160"/>
      <c r="B167" s="1163"/>
      <c r="C167" s="1166"/>
      <c r="D167" s="17"/>
      <c r="E167" s="26" t="str">
        <f t="shared" si="46"/>
        <v/>
      </c>
      <c r="F167" s="313"/>
      <c r="G167" s="27"/>
      <c r="H167" s="26" t="str">
        <f t="shared" si="47"/>
        <v/>
      </c>
      <c r="I167" s="313"/>
      <c r="J167" s="142"/>
      <c r="N167" s="84">
        <f>母公司汇总抵销!N167</f>
        <v>0</v>
      </c>
      <c r="O167" s="28" t="str">
        <f>母公司汇总抵销!O167</f>
        <v>归属于母公司股东的其他综合收益的税后净额</v>
      </c>
    </row>
    <row r="168" spans="1:15" s="23" customFormat="1">
      <c r="A168" s="1160"/>
      <c r="B168" s="1163"/>
      <c r="C168" s="1166"/>
      <c r="D168" s="17"/>
      <c r="E168" s="26" t="str">
        <f t="shared" si="46"/>
        <v/>
      </c>
      <c r="F168" s="313"/>
      <c r="G168" s="27"/>
      <c r="H168" s="26" t="str">
        <f t="shared" si="47"/>
        <v/>
      </c>
      <c r="I168" s="313"/>
      <c r="J168" s="142"/>
      <c r="N168" s="84">
        <f>母公司汇总抵销!N168</f>
        <v>0</v>
      </c>
      <c r="O168" s="28" t="str">
        <f>母公司汇总抵销!O168</f>
        <v>（一）不能重分类进损益的其他综合收益</v>
      </c>
    </row>
    <row r="169" spans="1:15" s="23" customFormat="1">
      <c r="A169" s="1160"/>
      <c r="B169" s="1163"/>
      <c r="C169" s="1166"/>
      <c r="D169" s="17"/>
      <c r="E169" s="26" t="str">
        <f t="shared" si="46"/>
        <v/>
      </c>
      <c r="F169" s="313"/>
      <c r="G169" s="27"/>
      <c r="H169" s="26" t="str">
        <f t="shared" si="47"/>
        <v/>
      </c>
      <c r="I169" s="313"/>
      <c r="J169" s="142"/>
      <c r="N169" s="84" t="str">
        <f>母公司汇总抵销!N169</f>
        <v>G21</v>
      </c>
      <c r="O169" s="28" t="str">
        <f>母公司汇总抵销!O169</f>
        <v>1.重新计量设定受益计划变动额</v>
      </c>
    </row>
    <row r="170" spans="1:15" s="23" customFormat="1">
      <c r="A170" s="1160"/>
      <c r="B170" s="1163"/>
      <c r="C170" s="1166"/>
      <c r="D170" s="17"/>
      <c r="E170" s="26" t="str">
        <f t="shared" si="46"/>
        <v/>
      </c>
      <c r="F170" s="313"/>
      <c r="G170" s="27"/>
      <c r="H170" s="26" t="str">
        <f t="shared" si="47"/>
        <v/>
      </c>
      <c r="I170" s="313"/>
      <c r="J170" s="142"/>
      <c r="N170" s="84" t="str">
        <f>母公司汇总抵销!N170</f>
        <v>G22</v>
      </c>
      <c r="O170" s="28" t="str">
        <f>母公司汇总抵销!O170</f>
        <v>2.权益法下不能转损益的其他综合收益</v>
      </c>
    </row>
    <row r="171" spans="1:15" s="23" customFormat="1">
      <c r="A171" s="1161"/>
      <c r="B171" s="1164"/>
      <c r="C171" s="1167"/>
      <c r="D171" s="17"/>
      <c r="E171" s="26" t="str">
        <f t="shared" si="46"/>
        <v/>
      </c>
      <c r="F171" s="313"/>
      <c r="G171" s="27"/>
      <c r="H171" s="26" t="str">
        <f t="shared" si="47"/>
        <v/>
      </c>
      <c r="I171" s="313"/>
      <c r="J171" s="142"/>
      <c r="N171" s="84" t="str">
        <f>母公司汇总抵销!N171</f>
        <v>G23</v>
      </c>
      <c r="O171" s="28" t="str">
        <f>母公司汇总抵销!O171</f>
        <v>3.其他权益工具投资公允价值变动</v>
      </c>
    </row>
    <row r="172" spans="1:15" s="23" customFormat="1">
      <c r="A172" s="308"/>
      <c r="B172" s="308"/>
      <c r="C172" s="309"/>
      <c r="D172" s="310"/>
      <c r="E172" s="311"/>
      <c r="F172" s="311"/>
      <c r="G172" s="310"/>
      <c r="H172" s="311"/>
      <c r="I172" s="311"/>
      <c r="J172" s="755" t="str">
        <f>IF(ABS((SUMIF(E166:E171,"?*",J166:J171)-SUMIF(H166:H171,"?*",J166:J171)))&lt;0.005,"","借贷不等")</f>
        <v/>
      </c>
      <c r="N172" s="84" t="str">
        <f>母公司汇总抵销!N172</f>
        <v>G24</v>
      </c>
      <c r="O172" s="28" t="str">
        <f>母公司汇总抵销!O172</f>
        <v>4.企业自身信用风险公允价值变动</v>
      </c>
    </row>
    <row r="173" spans="1:15" s="23" customFormat="1">
      <c r="A173" s="1159">
        <v>25</v>
      </c>
      <c r="B173" s="1162"/>
      <c r="C173" s="1165"/>
      <c r="D173" s="17"/>
      <c r="E173" s="26" t="str">
        <f t="shared" ref="E173:E178" si="48">IF(D173=0,"",VLOOKUP(D173,$N:$O,2,0))</f>
        <v/>
      </c>
      <c r="F173" s="313"/>
      <c r="G173" s="25"/>
      <c r="H173" s="21" t="str">
        <f t="shared" ref="H173:H178" si="49">IF(G173=0,"",VLOOKUP(G173,$N:$O,2,0))</f>
        <v/>
      </c>
      <c r="I173" s="313"/>
      <c r="J173" s="754"/>
      <c r="N173" s="84" t="str">
        <f>母公司汇总抵销!N173</f>
        <v>G25</v>
      </c>
      <c r="O173" s="28" t="str">
        <f>母公司汇总抵销!O173</f>
        <v>5.其他</v>
      </c>
    </row>
    <row r="174" spans="1:15" s="23" customFormat="1">
      <c r="A174" s="1160"/>
      <c r="B174" s="1163"/>
      <c r="C174" s="1166"/>
      <c r="D174" s="17"/>
      <c r="E174" s="26" t="str">
        <f t="shared" si="48"/>
        <v/>
      </c>
      <c r="F174" s="313"/>
      <c r="G174" s="27"/>
      <c r="H174" s="26" t="str">
        <f t="shared" si="49"/>
        <v/>
      </c>
      <c r="I174" s="313"/>
      <c r="J174" s="142"/>
      <c r="N174" s="84">
        <f>母公司汇总抵销!N174</f>
        <v>0</v>
      </c>
      <c r="O174" s="28" t="str">
        <f>母公司汇总抵销!O174</f>
        <v>（二）将重分类进损益的其他综合收益</v>
      </c>
    </row>
    <row r="175" spans="1:15" s="23" customFormat="1">
      <c r="A175" s="1160"/>
      <c r="B175" s="1163"/>
      <c r="C175" s="1166"/>
      <c r="D175" s="17"/>
      <c r="E175" s="26" t="str">
        <f t="shared" si="48"/>
        <v/>
      </c>
      <c r="F175" s="313"/>
      <c r="G175" s="27"/>
      <c r="H175" s="26" t="str">
        <f t="shared" si="49"/>
        <v/>
      </c>
      <c r="I175" s="313"/>
      <c r="J175" s="142"/>
      <c r="N175" s="84" t="str">
        <f>母公司汇总抵销!N175</f>
        <v>G26</v>
      </c>
      <c r="O175" s="28" t="str">
        <f>母公司汇总抵销!O175</f>
        <v>1.权益法下可转损益的其他综合收益</v>
      </c>
    </row>
    <row r="176" spans="1:15" s="23" customFormat="1">
      <c r="A176" s="1160"/>
      <c r="B176" s="1163"/>
      <c r="C176" s="1166"/>
      <c r="D176" s="17"/>
      <c r="E176" s="26" t="str">
        <f t="shared" si="48"/>
        <v/>
      </c>
      <c r="F176" s="313"/>
      <c r="G176" s="27"/>
      <c r="H176" s="26" t="str">
        <f t="shared" si="49"/>
        <v/>
      </c>
      <c r="I176" s="313"/>
      <c r="J176" s="142"/>
      <c r="N176" s="84" t="str">
        <f>母公司汇总抵销!N176</f>
        <v>G27</v>
      </c>
      <c r="O176" s="28" t="str">
        <f>母公司汇总抵销!O176</f>
        <v>2.其他债权投资公允价值变动</v>
      </c>
    </row>
    <row r="177" spans="1:15" s="23" customFormat="1">
      <c r="A177" s="1160"/>
      <c r="B177" s="1163"/>
      <c r="C177" s="1166"/>
      <c r="D177" s="17"/>
      <c r="E177" s="26" t="str">
        <f t="shared" si="48"/>
        <v/>
      </c>
      <c r="F177" s="313"/>
      <c r="G177" s="27"/>
      <c r="H177" s="26" t="str">
        <f t="shared" si="49"/>
        <v/>
      </c>
      <c r="I177" s="313"/>
      <c r="J177" s="142"/>
      <c r="N177" s="84" t="str">
        <f>母公司汇总抵销!N177</f>
        <v>G28</v>
      </c>
      <c r="O177" s="28" t="str">
        <f>母公司汇总抵销!O177</f>
        <v>3.可供出售金融资产公允价值变动损益</v>
      </c>
    </row>
    <row r="178" spans="1:15" s="23" customFormat="1">
      <c r="A178" s="1161"/>
      <c r="B178" s="1164"/>
      <c r="C178" s="1167"/>
      <c r="D178" s="17"/>
      <c r="E178" s="26" t="str">
        <f t="shared" si="48"/>
        <v/>
      </c>
      <c r="F178" s="313"/>
      <c r="G178" s="27"/>
      <c r="H178" s="26" t="str">
        <f t="shared" si="49"/>
        <v/>
      </c>
      <c r="I178" s="313"/>
      <c r="J178" s="142"/>
      <c r="N178" s="84" t="str">
        <f>母公司汇总抵销!N178</f>
        <v>G29</v>
      </c>
      <c r="O178" s="28" t="str">
        <f>母公司汇总抵销!O178</f>
        <v>4.金融资产重分类计入其他综合收益的金额</v>
      </c>
    </row>
    <row r="179" spans="1:15" s="23" customFormat="1">
      <c r="A179" s="308"/>
      <c r="B179" s="308"/>
      <c r="C179" s="309"/>
      <c r="D179" s="310"/>
      <c r="E179" s="311"/>
      <c r="F179" s="311"/>
      <c r="G179" s="310"/>
      <c r="H179" s="311"/>
      <c r="I179" s="311"/>
      <c r="J179" s="755" t="str">
        <f>IF(ABS((SUMIF(E173:E178,"?*",J173:J178)-SUMIF(H173:H178,"?*",J173:J178)))&lt;0.005,"","借贷不等")</f>
        <v/>
      </c>
      <c r="N179" s="84" t="str">
        <f>母公司汇总抵销!N179</f>
        <v>G30</v>
      </c>
      <c r="O179" s="28" t="str">
        <f>母公司汇总抵销!O179</f>
        <v>5.持有至到期投资重分类为可供出售金融资产损益</v>
      </c>
    </row>
    <row r="180" spans="1:15" s="23" customFormat="1">
      <c r="A180" s="1159">
        <v>26</v>
      </c>
      <c r="B180" s="1162"/>
      <c r="C180" s="1165"/>
      <c r="D180" s="17"/>
      <c r="E180" s="26" t="str">
        <f t="shared" ref="E180:E185" si="50">IF(D180=0,"",VLOOKUP(D180,$N:$O,2,0))</f>
        <v/>
      </c>
      <c r="F180" s="313"/>
      <c r="G180" s="25"/>
      <c r="H180" s="21" t="str">
        <f t="shared" ref="H180:H185" si="51">IF(G180=0,"",VLOOKUP(G180,$N:$O,2,0))</f>
        <v/>
      </c>
      <c r="I180" s="313"/>
      <c r="J180" s="754"/>
      <c r="N180" s="84" t="str">
        <f>母公司汇总抵销!N180</f>
        <v>G31</v>
      </c>
      <c r="O180" s="28" t="str">
        <f>母公司汇总抵销!O180</f>
        <v>6.其他债权投资信用减值准备</v>
      </c>
    </row>
    <row r="181" spans="1:15" s="23" customFormat="1">
      <c r="A181" s="1160"/>
      <c r="B181" s="1163"/>
      <c r="C181" s="1166"/>
      <c r="D181" s="17"/>
      <c r="E181" s="26" t="str">
        <f t="shared" si="50"/>
        <v/>
      </c>
      <c r="F181" s="313"/>
      <c r="G181" s="27"/>
      <c r="H181" s="26" t="str">
        <f t="shared" si="51"/>
        <v/>
      </c>
      <c r="I181" s="313"/>
      <c r="J181" s="142"/>
      <c r="N181" s="84" t="str">
        <f>母公司汇总抵销!N181</f>
        <v>G32</v>
      </c>
      <c r="O181" s="28" t="str">
        <f>母公司汇总抵销!O181</f>
        <v>7.现金流量套期储备</v>
      </c>
    </row>
    <row r="182" spans="1:15" s="23" customFormat="1">
      <c r="A182" s="1160"/>
      <c r="B182" s="1163"/>
      <c r="C182" s="1166"/>
      <c r="D182" s="17"/>
      <c r="E182" s="26" t="str">
        <f t="shared" si="50"/>
        <v/>
      </c>
      <c r="F182" s="313"/>
      <c r="G182" s="27"/>
      <c r="H182" s="26" t="str">
        <f t="shared" si="51"/>
        <v/>
      </c>
      <c r="I182" s="313"/>
      <c r="J182" s="142"/>
      <c r="N182" s="84" t="str">
        <f>母公司汇总抵销!N182</f>
        <v>G33</v>
      </c>
      <c r="O182" s="28" t="str">
        <f>母公司汇总抵销!O182</f>
        <v>8.外币财务报表折算差额</v>
      </c>
    </row>
    <row r="183" spans="1:15" s="23" customFormat="1">
      <c r="A183" s="1160"/>
      <c r="B183" s="1163"/>
      <c r="C183" s="1166"/>
      <c r="D183" s="17"/>
      <c r="E183" s="26" t="str">
        <f t="shared" si="50"/>
        <v/>
      </c>
      <c r="F183" s="313"/>
      <c r="G183" s="27"/>
      <c r="H183" s="26" t="str">
        <f t="shared" si="51"/>
        <v/>
      </c>
      <c r="I183" s="313"/>
      <c r="J183" s="142"/>
      <c r="N183" s="84" t="str">
        <f>母公司汇总抵销!N183</f>
        <v>G34</v>
      </c>
      <c r="O183" s="28" t="str">
        <f>母公司汇总抵销!O183</f>
        <v>9.自用房地产或作为存货的房地产转换为以公允价值计量的投资性房地产在转换日公允价值大于账面价值部分</v>
      </c>
    </row>
    <row r="184" spans="1:15" s="23" customFormat="1">
      <c r="A184" s="1160"/>
      <c r="B184" s="1163"/>
      <c r="C184" s="1166"/>
      <c r="D184" s="17"/>
      <c r="E184" s="26" t="str">
        <f t="shared" si="50"/>
        <v/>
      </c>
      <c r="F184" s="313"/>
      <c r="G184" s="27"/>
      <c r="H184" s="26" t="str">
        <f t="shared" si="51"/>
        <v/>
      </c>
      <c r="I184" s="313"/>
      <c r="J184" s="142"/>
      <c r="N184" s="84" t="str">
        <f>母公司汇总抵销!N184</f>
        <v>G35</v>
      </c>
      <c r="O184" s="28" t="str">
        <f>母公司汇总抵销!O184</f>
        <v>10.多次交易分步处置子公司股权构成一揽子交易的，丧失控制权之前各次交易处置价款与对应净资产账面价值份额的差额</v>
      </c>
    </row>
    <row r="185" spans="1:15" s="23" customFormat="1">
      <c r="A185" s="1161"/>
      <c r="B185" s="1164"/>
      <c r="C185" s="1167"/>
      <c r="D185" s="17"/>
      <c r="E185" s="26" t="str">
        <f t="shared" si="50"/>
        <v/>
      </c>
      <c r="F185" s="313"/>
      <c r="G185" s="27"/>
      <c r="H185" s="26" t="str">
        <f t="shared" si="51"/>
        <v/>
      </c>
      <c r="I185" s="313"/>
      <c r="J185" s="142"/>
      <c r="N185" s="84" t="str">
        <f>母公司汇总抵销!N185</f>
        <v>G36</v>
      </c>
      <c r="O185" s="28" t="str">
        <f>母公司汇总抵销!O185</f>
        <v>11.其他</v>
      </c>
    </row>
    <row r="186" spans="1:15" s="23" customFormat="1">
      <c r="A186" s="308"/>
      <c r="B186" s="308"/>
      <c r="C186" s="309"/>
      <c r="D186" s="310"/>
      <c r="E186" s="311"/>
      <c r="F186" s="311"/>
      <c r="G186" s="310"/>
      <c r="H186" s="311"/>
      <c r="I186" s="311"/>
      <c r="J186" s="755" t="str">
        <f>IF(ABS((SUMIF(E180:E185,"?*",J180:J185)-SUMIF(H180:H185,"?*",J180:J185)))&lt;0.005,"","借贷不等")</f>
        <v/>
      </c>
      <c r="N186" s="84" t="str">
        <f>母公司汇总抵销!N186</f>
        <v>G37</v>
      </c>
      <c r="O186" s="28" t="str">
        <f>母公司汇总抵销!O186</f>
        <v>归属于少数股东的其他综合收益的税后净额</v>
      </c>
    </row>
    <row r="187" spans="1:15" s="23" customFormat="1">
      <c r="A187" s="1159">
        <v>27</v>
      </c>
      <c r="B187" s="1162"/>
      <c r="C187" s="1165"/>
      <c r="D187" s="17"/>
      <c r="E187" s="26" t="str">
        <f t="shared" ref="E187:E192" si="52">IF(D187=0,"",VLOOKUP(D187,$N:$O,2,0))</f>
        <v/>
      </c>
      <c r="F187" s="313"/>
      <c r="G187" s="25"/>
      <c r="H187" s="21" t="str">
        <f t="shared" ref="H187:H192" si="53">IF(G187=0,"",VLOOKUP(G187,$N:$O,2,0))</f>
        <v/>
      </c>
      <c r="I187" s="313"/>
      <c r="J187" s="754"/>
      <c r="N187" s="84">
        <f>母公司汇总抵销!N187</f>
        <v>0</v>
      </c>
      <c r="O187" s="782" t="str">
        <f>母公司汇总抵销!O187</f>
        <v>综合收益总额</v>
      </c>
    </row>
    <row r="188" spans="1:15" s="23" customFormat="1">
      <c r="A188" s="1160"/>
      <c r="B188" s="1163"/>
      <c r="C188" s="1166"/>
      <c r="D188" s="17"/>
      <c r="E188" s="26" t="str">
        <f t="shared" si="52"/>
        <v/>
      </c>
      <c r="F188" s="313"/>
      <c r="G188" s="27"/>
      <c r="H188" s="26" t="str">
        <f t="shared" si="53"/>
        <v/>
      </c>
      <c r="I188" s="313"/>
      <c r="J188" s="142"/>
      <c r="N188" s="84">
        <f>母公司汇总抵销!N188</f>
        <v>0</v>
      </c>
      <c r="O188" s="28" t="str">
        <f>母公司汇总抵销!O188</f>
        <v>归属于母公司股东的综合收益总额</v>
      </c>
    </row>
    <row r="189" spans="1:15" s="23" customFormat="1">
      <c r="A189" s="1160"/>
      <c r="B189" s="1163"/>
      <c r="C189" s="1166"/>
      <c r="D189" s="17"/>
      <c r="E189" s="26" t="str">
        <f t="shared" si="52"/>
        <v/>
      </c>
      <c r="F189" s="313"/>
      <c r="G189" s="27"/>
      <c r="H189" s="26" t="str">
        <f t="shared" si="53"/>
        <v/>
      </c>
      <c r="I189" s="313"/>
      <c r="J189" s="142"/>
      <c r="N189" s="84">
        <f>母公司汇总抵销!N189</f>
        <v>0</v>
      </c>
      <c r="O189" s="28" t="str">
        <f>母公司汇总抵销!O189</f>
        <v>归属于少数股东的综合收益总额</v>
      </c>
    </row>
    <row r="190" spans="1:15" s="23" customFormat="1">
      <c r="A190" s="1160"/>
      <c r="B190" s="1163"/>
      <c r="C190" s="1166"/>
      <c r="D190" s="17"/>
      <c r="E190" s="26" t="str">
        <f t="shared" si="52"/>
        <v/>
      </c>
      <c r="F190" s="313"/>
      <c r="G190" s="27"/>
      <c r="H190" s="26" t="str">
        <f t="shared" si="53"/>
        <v/>
      </c>
      <c r="I190" s="313"/>
      <c r="J190" s="142"/>
      <c r="N190" s="84">
        <f>母公司汇总抵销!N190</f>
        <v>0</v>
      </c>
      <c r="O190" s="782" t="str">
        <f>母公司汇总抵销!O190</f>
        <v>每股收益</v>
      </c>
    </row>
    <row r="191" spans="1:15" s="23" customFormat="1">
      <c r="A191" s="1160"/>
      <c r="B191" s="1163"/>
      <c r="C191" s="1166"/>
      <c r="D191" s="17"/>
      <c r="E191" s="26" t="str">
        <f t="shared" si="52"/>
        <v/>
      </c>
      <c r="F191" s="313"/>
      <c r="G191" s="27"/>
      <c r="H191" s="26" t="str">
        <f t="shared" si="53"/>
        <v/>
      </c>
      <c r="I191" s="313"/>
      <c r="J191" s="142"/>
      <c r="N191" s="84" t="str">
        <f>母公司汇总抵销!N191</f>
        <v>G38</v>
      </c>
      <c r="O191" s="28" t="str">
        <f>母公司汇总抵销!O191</f>
        <v>基本每股收益</v>
      </c>
    </row>
    <row r="192" spans="1:15" s="23" customFormat="1">
      <c r="A192" s="1161"/>
      <c r="B192" s="1164"/>
      <c r="C192" s="1167"/>
      <c r="D192" s="17"/>
      <c r="E192" s="26" t="str">
        <f t="shared" si="52"/>
        <v/>
      </c>
      <c r="F192" s="313"/>
      <c r="G192" s="27"/>
      <c r="H192" s="26" t="str">
        <f t="shared" si="53"/>
        <v/>
      </c>
      <c r="I192" s="313"/>
      <c r="J192" s="142"/>
      <c r="N192" s="84" t="str">
        <f>母公司汇总抵销!N192</f>
        <v>G39</v>
      </c>
      <c r="O192" s="28" t="str">
        <f>母公司汇总抵销!O192</f>
        <v>稀释每股收益</v>
      </c>
    </row>
    <row r="193" spans="1:15" s="23" customFormat="1">
      <c r="A193" s="308"/>
      <c r="B193" s="308"/>
      <c r="C193" s="309"/>
      <c r="D193" s="310"/>
      <c r="E193" s="311"/>
      <c r="F193" s="311"/>
      <c r="G193" s="310"/>
      <c r="H193" s="311"/>
      <c r="I193" s="311"/>
      <c r="J193" s="755" t="str">
        <f>IF(ABS((SUMIF(E187:E192,"?*",J187:J192)-SUMIF(H187:H192,"?*",J187:J192)))&lt;0.005,"","借贷不等")</f>
        <v/>
      </c>
      <c r="N193" s="84">
        <f>母公司汇总抵销!N193</f>
        <v>0</v>
      </c>
      <c r="O193" s="782" t="str">
        <f>母公司汇总抵销!O193</f>
        <v>利润分配</v>
      </c>
    </row>
    <row r="194" spans="1:15" s="23" customFormat="1">
      <c r="A194" s="1159">
        <v>28</v>
      </c>
      <c r="B194" s="1162"/>
      <c r="C194" s="1165"/>
      <c r="D194" s="17"/>
      <c r="E194" s="26" t="str">
        <f t="shared" ref="E194:E199" si="54">IF(D194=0,"",VLOOKUP(D194,$N:$O,2,0))</f>
        <v/>
      </c>
      <c r="F194" s="313"/>
      <c r="G194" s="25"/>
      <c r="H194" s="21" t="str">
        <f t="shared" ref="H194:H199" si="55">IF(G194=0,"",VLOOKUP(G194,$N:$O,2,0))</f>
        <v/>
      </c>
      <c r="I194" s="313"/>
      <c r="J194" s="754"/>
      <c r="N194" s="84" t="str">
        <f>母公司汇总抵销!N194</f>
        <v>G40</v>
      </c>
      <c r="O194" s="28" t="str">
        <f>母公司汇总抵销!O194</f>
        <v>年初未分配利润</v>
      </c>
    </row>
    <row r="195" spans="1:15" s="23" customFormat="1">
      <c r="A195" s="1160"/>
      <c r="B195" s="1163"/>
      <c r="C195" s="1166"/>
      <c r="D195" s="17"/>
      <c r="E195" s="26" t="str">
        <f t="shared" si="54"/>
        <v/>
      </c>
      <c r="F195" s="313"/>
      <c r="G195" s="27"/>
      <c r="H195" s="26" t="str">
        <f t="shared" si="55"/>
        <v/>
      </c>
      <c r="I195" s="313"/>
      <c r="J195" s="142"/>
      <c r="N195" s="84">
        <f>母公司汇总抵销!N195</f>
        <v>0</v>
      </c>
      <c r="O195" s="28" t="str">
        <f>母公司汇总抵销!O195</f>
        <v>可供分配的利润</v>
      </c>
    </row>
    <row r="196" spans="1:15" s="23" customFormat="1">
      <c r="A196" s="1160"/>
      <c r="B196" s="1163"/>
      <c r="C196" s="1166"/>
      <c r="D196" s="17"/>
      <c r="E196" s="26" t="str">
        <f t="shared" si="54"/>
        <v/>
      </c>
      <c r="F196" s="313"/>
      <c r="G196" s="27"/>
      <c r="H196" s="26" t="str">
        <f t="shared" si="55"/>
        <v/>
      </c>
      <c r="I196" s="313"/>
      <c r="J196" s="142"/>
      <c r="N196" s="84" t="str">
        <f>母公司汇总抵销!N196</f>
        <v>G41</v>
      </c>
      <c r="O196" s="28" t="str">
        <f>母公司汇总抵销!O196</f>
        <v>1、提取法定盈余公积</v>
      </c>
    </row>
    <row r="197" spans="1:15" s="23" customFormat="1">
      <c r="A197" s="1160"/>
      <c r="B197" s="1163"/>
      <c r="C197" s="1166"/>
      <c r="D197" s="17"/>
      <c r="E197" s="26" t="str">
        <f t="shared" si="54"/>
        <v/>
      </c>
      <c r="F197" s="313"/>
      <c r="G197" s="27"/>
      <c r="H197" s="26" t="str">
        <f t="shared" si="55"/>
        <v/>
      </c>
      <c r="I197" s="313"/>
      <c r="J197" s="142"/>
      <c r="N197" s="84" t="str">
        <f>母公司汇总抵销!N197</f>
        <v>G42</v>
      </c>
      <c r="O197" s="28" t="str">
        <f>母公司汇总抵销!O197</f>
        <v>2、其他</v>
      </c>
    </row>
    <row r="198" spans="1:15" s="23" customFormat="1">
      <c r="A198" s="1160"/>
      <c r="B198" s="1163"/>
      <c r="C198" s="1166"/>
      <c r="D198" s="17"/>
      <c r="E198" s="26" t="str">
        <f t="shared" si="54"/>
        <v/>
      </c>
      <c r="F198" s="313"/>
      <c r="G198" s="27"/>
      <c r="H198" s="26" t="str">
        <f t="shared" si="55"/>
        <v/>
      </c>
      <c r="I198" s="313"/>
      <c r="J198" s="142"/>
      <c r="N198" s="84">
        <f>母公司汇总抵销!N198</f>
        <v>0</v>
      </c>
      <c r="O198" s="28" t="str">
        <f>母公司汇总抵销!O198</f>
        <v>可供投资者分配的利润</v>
      </c>
    </row>
    <row r="199" spans="1:15" s="23" customFormat="1">
      <c r="A199" s="1161"/>
      <c r="B199" s="1164"/>
      <c r="C199" s="1167"/>
      <c r="D199" s="17"/>
      <c r="E199" s="26" t="str">
        <f t="shared" si="54"/>
        <v/>
      </c>
      <c r="F199" s="313"/>
      <c r="G199" s="27"/>
      <c r="H199" s="26" t="str">
        <f t="shared" si="55"/>
        <v/>
      </c>
      <c r="I199" s="313"/>
      <c r="J199" s="142"/>
      <c r="N199" s="84" t="str">
        <f>母公司汇总抵销!N199</f>
        <v>G43</v>
      </c>
      <c r="O199" s="28" t="str">
        <f>母公司汇总抵销!O199</f>
        <v>1、应付优先股股利</v>
      </c>
    </row>
    <row r="200" spans="1:15" s="23" customFormat="1">
      <c r="A200" s="308"/>
      <c r="B200" s="308"/>
      <c r="C200" s="309"/>
      <c r="D200" s="310"/>
      <c r="E200" s="311"/>
      <c r="F200" s="311"/>
      <c r="G200" s="310"/>
      <c r="H200" s="311"/>
      <c r="I200" s="311"/>
      <c r="J200" s="755" t="str">
        <f>IF(ABS((SUMIF(E194:E199,"?*",J194:J199)-SUMIF(H194:H199,"?*",J194:J199)))&lt;0.005,"","借贷不等")</f>
        <v/>
      </c>
      <c r="N200" s="84" t="str">
        <f>母公司汇总抵销!N200</f>
        <v>G44</v>
      </c>
      <c r="O200" s="28" t="str">
        <f>母公司汇总抵销!O200</f>
        <v>2、提取任意盈余公积</v>
      </c>
    </row>
    <row r="201" spans="1:15" s="23" customFormat="1">
      <c r="A201" s="1159">
        <v>29</v>
      </c>
      <c r="B201" s="1162"/>
      <c r="C201" s="1165"/>
      <c r="D201" s="17"/>
      <c r="E201" s="26" t="str">
        <f t="shared" ref="E201:E206" si="56">IF(D201=0,"",VLOOKUP(D201,$N:$O,2,0))</f>
        <v/>
      </c>
      <c r="F201" s="313"/>
      <c r="G201" s="25"/>
      <c r="H201" s="21" t="str">
        <f t="shared" ref="H201:H206" si="57">IF(G201=0,"",VLOOKUP(G201,$N:$O,2,0))</f>
        <v/>
      </c>
      <c r="I201" s="313"/>
      <c r="J201" s="754"/>
      <c r="N201" s="84" t="str">
        <f>母公司汇总抵销!N201</f>
        <v>G45</v>
      </c>
      <c r="O201" s="28" t="str">
        <f>母公司汇总抵销!O201</f>
        <v>3、应付普通股股利（应付利润）</v>
      </c>
    </row>
    <row r="202" spans="1:15" s="23" customFormat="1">
      <c r="A202" s="1160"/>
      <c r="B202" s="1163"/>
      <c r="C202" s="1166"/>
      <c r="D202" s="17"/>
      <c r="E202" s="26" t="str">
        <f t="shared" si="56"/>
        <v/>
      </c>
      <c r="F202" s="313"/>
      <c r="G202" s="27"/>
      <c r="H202" s="26" t="str">
        <f t="shared" si="57"/>
        <v/>
      </c>
      <c r="I202" s="313"/>
      <c r="J202" s="142"/>
      <c r="N202" s="84" t="str">
        <f>母公司汇总抵销!N202</f>
        <v>G46</v>
      </c>
      <c r="O202" s="28" t="str">
        <f>母公司汇总抵销!O202</f>
        <v>4、转作资本（或股本）的普通股股利</v>
      </c>
    </row>
    <row r="203" spans="1:15" s="23" customFormat="1">
      <c r="A203" s="1160"/>
      <c r="B203" s="1163"/>
      <c r="C203" s="1166"/>
      <c r="D203" s="17"/>
      <c r="E203" s="26" t="str">
        <f t="shared" si="56"/>
        <v/>
      </c>
      <c r="F203" s="313"/>
      <c r="G203" s="27"/>
      <c r="H203" s="26" t="str">
        <f t="shared" si="57"/>
        <v/>
      </c>
      <c r="I203" s="313"/>
      <c r="J203" s="142"/>
      <c r="N203" s="84" t="str">
        <f>母公司汇总抵销!N203</f>
        <v>G47</v>
      </c>
      <c r="O203" s="28" t="str">
        <f>母公司汇总抵销!O203</f>
        <v>5、其他</v>
      </c>
    </row>
    <row r="204" spans="1:15" s="23" customFormat="1">
      <c r="A204" s="1160"/>
      <c r="B204" s="1163"/>
      <c r="C204" s="1166"/>
      <c r="D204" s="17"/>
      <c r="E204" s="26" t="str">
        <f t="shared" si="56"/>
        <v/>
      </c>
      <c r="F204" s="313"/>
      <c r="G204" s="27"/>
      <c r="H204" s="26" t="str">
        <f t="shared" si="57"/>
        <v/>
      </c>
      <c r="I204" s="313"/>
      <c r="J204" s="142"/>
      <c r="N204" s="84">
        <f>母公司汇总抵销!N204</f>
        <v>0</v>
      </c>
      <c r="O204" s="782" t="str">
        <f>母公司汇总抵销!O204</f>
        <v>未分配利润</v>
      </c>
    </row>
    <row r="205" spans="1:15" s="23" customFormat="1">
      <c r="A205" s="1160"/>
      <c r="B205" s="1163"/>
      <c r="C205" s="1166"/>
      <c r="D205" s="17"/>
      <c r="E205" s="26" t="str">
        <f t="shared" si="56"/>
        <v/>
      </c>
      <c r="F205" s="313"/>
      <c r="G205" s="27"/>
      <c r="H205" s="26" t="str">
        <f t="shared" si="57"/>
        <v/>
      </c>
      <c r="I205" s="313"/>
      <c r="J205" s="142"/>
      <c r="N205" s="84">
        <f>母公司汇总抵销!N205</f>
        <v>0</v>
      </c>
      <c r="O205" s="28" t="str">
        <f>母公司汇总抵销!O205</f>
        <v/>
      </c>
    </row>
    <row r="206" spans="1:15" s="23" customFormat="1">
      <c r="A206" s="1161"/>
      <c r="B206" s="1164"/>
      <c r="C206" s="1167"/>
      <c r="D206" s="17"/>
      <c r="E206" s="26" t="str">
        <f t="shared" si="56"/>
        <v/>
      </c>
      <c r="F206" s="313"/>
      <c r="G206" s="27"/>
      <c r="H206" s="26" t="str">
        <f t="shared" si="57"/>
        <v/>
      </c>
      <c r="I206" s="313"/>
      <c r="J206" s="142"/>
      <c r="N206" s="84">
        <f>母公司汇总抵销!N206</f>
        <v>0</v>
      </c>
      <c r="O206" s="28" t="str">
        <f>母公司汇总抵销!O206</f>
        <v/>
      </c>
    </row>
    <row r="207" spans="1:15" s="23" customFormat="1">
      <c r="A207" s="308"/>
      <c r="B207" s="308"/>
      <c r="C207" s="309"/>
      <c r="D207" s="310"/>
      <c r="E207" s="311"/>
      <c r="F207" s="311"/>
      <c r="G207" s="310"/>
      <c r="H207" s="311"/>
      <c r="I207" s="311"/>
      <c r="J207" s="756" t="str">
        <f>IF(ABS((SUMIF(E201:E206,"?*",J201:J206)-SUMIF(H201:H206,"?*",J201:J206)))&lt;0.005,"","借贷不等")</f>
        <v/>
      </c>
      <c r="N207" s="84">
        <f>母公司汇总抵销!N207</f>
        <v>0</v>
      </c>
      <c r="O207" s="28" t="str">
        <f>母公司汇总抵销!O207</f>
        <v/>
      </c>
    </row>
    <row r="208" spans="1:15">
      <c r="N208" s="84">
        <f>母公司汇总抵销!N208</f>
        <v>0</v>
      </c>
      <c r="O208" s="28" t="str">
        <f>母公司汇总抵销!O208</f>
        <v/>
      </c>
    </row>
    <row r="209" spans="14:15">
      <c r="N209" s="84"/>
      <c r="O209" s="85"/>
    </row>
    <row r="210" spans="14:15">
      <c r="N210" s="84"/>
      <c r="O210" s="85"/>
    </row>
    <row r="211" spans="14:15">
      <c r="N211" s="84"/>
      <c r="O211" s="87"/>
    </row>
    <row r="212" spans="14:15">
      <c r="N212" s="84"/>
      <c r="O212" s="85"/>
    </row>
    <row r="213" spans="14:15">
      <c r="N213" s="84"/>
      <c r="O213" s="85"/>
    </row>
    <row r="214" spans="14:15">
      <c r="N214" s="84"/>
      <c r="O214" s="85"/>
    </row>
    <row r="215" spans="14:15">
      <c r="N215" s="84"/>
      <c r="O215" s="87"/>
    </row>
    <row r="216" spans="14:15">
      <c r="N216" s="84"/>
      <c r="O216" s="85"/>
    </row>
    <row r="217" spans="14:15">
      <c r="N217" s="84"/>
      <c r="O217" s="85"/>
    </row>
    <row r="218" spans="14:15">
      <c r="N218" s="84"/>
      <c r="O218" s="85"/>
    </row>
    <row r="219" spans="14:15">
      <c r="N219" s="84"/>
      <c r="O219" s="85"/>
    </row>
    <row r="220" spans="14:15">
      <c r="N220" s="84"/>
      <c r="O220" s="85"/>
    </row>
    <row r="221" spans="14:15">
      <c r="N221" s="84"/>
      <c r="O221" s="85"/>
    </row>
    <row r="222" spans="14:15">
      <c r="N222" s="84"/>
      <c r="O222" s="85"/>
    </row>
    <row r="223" spans="14:15">
      <c r="N223" s="84"/>
      <c r="O223" s="85"/>
    </row>
    <row r="224" spans="14:15">
      <c r="N224" s="84"/>
      <c r="O224" s="85"/>
    </row>
    <row r="225" spans="14:15">
      <c r="N225" s="84"/>
      <c r="O225" s="87"/>
    </row>
    <row r="226" spans="14:15">
      <c r="N226" s="84"/>
      <c r="O226" s="85"/>
    </row>
    <row r="227" spans="14:15">
      <c r="N227" s="84"/>
      <c r="O227" s="85"/>
    </row>
    <row r="228" spans="14:15">
      <c r="N228" s="84"/>
      <c r="O228" s="85"/>
    </row>
    <row r="229" spans="14:15">
      <c r="N229" s="84"/>
      <c r="O229" s="85"/>
    </row>
    <row r="230" spans="14:15">
      <c r="N230" s="84"/>
      <c r="O230" s="85"/>
    </row>
    <row r="231" spans="14:15">
      <c r="N231" s="84"/>
      <c r="O231" s="86"/>
    </row>
    <row r="232" spans="14:15">
      <c r="N232" s="84"/>
      <c r="O232" s="85"/>
    </row>
    <row r="233" spans="14:15">
      <c r="N233" s="84"/>
      <c r="O233" s="83"/>
    </row>
    <row r="234" spans="14:15">
      <c r="N234" s="23"/>
      <c r="O234" s="23"/>
    </row>
  </sheetData>
  <sheetProtection formatCells="0" formatColumns="0" formatRows="0" insertRows="0" autoFilter="0" pivotTables="0"/>
  <mergeCells count="87">
    <mergeCell ref="A201:A206"/>
    <mergeCell ref="B201:B206"/>
    <mergeCell ref="C201:C206"/>
    <mergeCell ref="A187:A192"/>
    <mergeCell ref="B187:B192"/>
    <mergeCell ref="C187:C192"/>
    <mergeCell ref="A194:A199"/>
    <mergeCell ref="B194:B199"/>
    <mergeCell ref="C194:C199"/>
    <mergeCell ref="A173:A178"/>
    <mergeCell ref="B173:B178"/>
    <mergeCell ref="C173:C178"/>
    <mergeCell ref="A180:A185"/>
    <mergeCell ref="B180:B185"/>
    <mergeCell ref="C180:C185"/>
    <mergeCell ref="A159:A164"/>
    <mergeCell ref="B159:B164"/>
    <mergeCell ref="C159:C164"/>
    <mergeCell ref="A166:A171"/>
    <mergeCell ref="B166:B171"/>
    <mergeCell ref="C166:C171"/>
    <mergeCell ref="A145:A150"/>
    <mergeCell ref="B145:B150"/>
    <mergeCell ref="C145:C150"/>
    <mergeCell ref="A152:A157"/>
    <mergeCell ref="B152:B157"/>
    <mergeCell ref="C152:C157"/>
    <mergeCell ref="A131:A136"/>
    <mergeCell ref="B131:B136"/>
    <mergeCell ref="C131:C136"/>
    <mergeCell ref="A138:A143"/>
    <mergeCell ref="B138:B143"/>
    <mergeCell ref="C138:C143"/>
    <mergeCell ref="A117:A122"/>
    <mergeCell ref="B117:B122"/>
    <mergeCell ref="C117:C122"/>
    <mergeCell ref="A124:A129"/>
    <mergeCell ref="B124:B129"/>
    <mergeCell ref="C124:C129"/>
    <mergeCell ref="A103:A108"/>
    <mergeCell ref="B103:B108"/>
    <mergeCell ref="C103:C108"/>
    <mergeCell ref="A110:A115"/>
    <mergeCell ref="B110:B115"/>
    <mergeCell ref="C110:C115"/>
    <mergeCell ref="A89:A94"/>
    <mergeCell ref="B89:B94"/>
    <mergeCell ref="C89:C94"/>
    <mergeCell ref="A96:A101"/>
    <mergeCell ref="B96:B101"/>
    <mergeCell ref="C96:C101"/>
    <mergeCell ref="A75:A80"/>
    <mergeCell ref="B75:B80"/>
    <mergeCell ref="C75:C80"/>
    <mergeCell ref="A82:A87"/>
    <mergeCell ref="B82:B87"/>
    <mergeCell ref="C82:C87"/>
    <mergeCell ref="A61:A66"/>
    <mergeCell ref="B61:B66"/>
    <mergeCell ref="C61:C66"/>
    <mergeCell ref="A68:A73"/>
    <mergeCell ref="B68:B73"/>
    <mergeCell ref="C68:C73"/>
    <mergeCell ref="A54:A59"/>
    <mergeCell ref="B54:B59"/>
    <mergeCell ref="C54:C59"/>
    <mergeCell ref="A47:A52"/>
    <mergeCell ref="B47:B52"/>
    <mergeCell ref="C47:C52"/>
    <mergeCell ref="A33:A38"/>
    <mergeCell ref="B33:B38"/>
    <mergeCell ref="C33:C38"/>
    <mergeCell ref="A19:A24"/>
    <mergeCell ref="A40:A45"/>
    <mergeCell ref="B40:B45"/>
    <mergeCell ref="C40:C45"/>
    <mergeCell ref="B19:B24"/>
    <mergeCell ref="C19:C24"/>
    <mergeCell ref="A26:A31"/>
    <mergeCell ref="B26:B31"/>
    <mergeCell ref="C26:C31"/>
    <mergeCell ref="A5:A10"/>
    <mergeCell ref="A12:A17"/>
    <mergeCell ref="C5:C10"/>
    <mergeCell ref="C12:C17"/>
    <mergeCell ref="B5:B10"/>
    <mergeCell ref="B12:B17"/>
  </mergeCells>
  <phoneticPr fontId="50" type="noConversion"/>
  <conditionalFormatting sqref="A1">
    <cfRule type="cellIs" dxfId="37"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调整事项转换表”核对科目名称" sqref="E193 H11 E11 H25 H18 E18 E25 H186 E186 H179 E179 H172 E172 H165 E165 H158 E158 H151 E151 H144 E144 H137 E137 H130 E130 H123 E123 H116 E116 H109 E109 H102 E102 H95 E95 H88 E88 H81 E81 H74 E74 H67 E67 H60 E60 H53 E53 H46 E46 H39 E39 H32 E32 H207 E207 H200 E200 H193">
      <formula1>$O$6:$O$106</formula1>
    </dataValidation>
    <dataValidation type="list" allowBlank="1" showDropDown="1" showInputMessage="1" showErrorMessage="1" errorTitle="警告" error="   您输入的科目不是报表标准科目_x000a__x000a_请对应“报表项目”核对科目名称" sqref="H188:H192 H7:H10 H5 H6:I6 E12:E17 E6:E10 E19:E24 E26:E31 H181:H185 E173:E178 H174:H178 E166:E171 H167:H171 E159:E164 H160:H164 E152:E157 H153:H157 E145:E150 H146:H150 E138:E143 H139:H143 E131:E136 H132:H136 E124:E129 H125:H129 E117:E122 H118:H122 E110:E115 H111:H115 E103:E108 H104:H108 E96:E101 H97:H101 E89:E94 H90:H94 E82:E87 H83:H87 E75:E80 H76:H80 E68:E73 H69:H73 E61:E66 H62:H66 E54:E59 H55:H59 E47:E52 H48:H52 E40:E45 H41:H45 E33:E38 H34:H38 E201:E206 E180:E185 H30:H31 H202:H206 E194:E199 H195:H199 E187:E192">
      <formula1>$O:$O</formula1>
    </dataValidation>
    <dataValidation type="list" allowBlank="1" showDropDown="1" showInputMessage="1" showErrorMessage="1" prompt="可直接输入科目名称；也可以在“code”列输入代码" sqref="H173 E5 H166 H159 H152 H145 H138 H131 H124 H117 H110 H103 H96 H89 H82 H75 H68 H61 H54 H47 H40 H33 H201 H194 H187 H180">
      <formula1>$O:$O</formula1>
    </dataValidation>
    <dataValidation type="list" allowBlank="1" showDropDown="1" showInputMessage="1" showErrorMessage="1" errorTitle="警告" error="   您输入的科目不是报表标准科目_x000a__x000a_请对应“调整事项转换表”核对科目名称" sqref="H26:H29 H19:H24 H12:H17">
      <formula1>$O:$O</formula1>
    </dataValidation>
  </dataValidations>
  <printOptions horizontalCentered="1"/>
  <pageMargins left="0.28999999999999998" right="0.22" top="0.66" bottom="0.45" header="0.51181102362204722" footer="0.24"/>
  <pageSetup paperSize="9" orientation="portrait" horizontalDpi="360" verticalDpi="360" r:id="rId1"/>
  <headerFooter alignWithMargins="0"/>
  <colBreaks count="1" manualBreakCount="1">
    <brk id="10"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sheetPr>
  <dimension ref="A1:O234"/>
  <sheetViews>
    <sheetView workbookViewId="0">
      <selection activeCell="N1" sqref="N1:O1048576"/>
    </sheetView>
  </sheetViews>
  <sheetFormatPr defaultColWidth="9" defaultRowHeight="13.5"/>
  <cols>
    <col min="1" max="1" width="3.125" style="201" customWidth="1"/>
    <col min="2" max="2" width="5.5" style="201" customWidth="1"/>
    <col min="3" max="3" width="17.75" style="824" customWidth="1"/>
    <col min="4" max="4" width="3.25" style="825" customWidth="1"/>
    <col min="5" max="5" width="9.875" style="826" customWidth="1"/>
    <col min="6" max="6" width="10.75" style="826" customWidth="1"/>
    <col min="7" max="7" width="3.75" style="825" customWidth="1"/>
    <col min="8" max="8" width="9.75" style="826" customWidth="1"/>
    <col min="9" max="9" width="10.5" style="826" customWidth="1"/>
    <col min="10" max="10" width="11.125" style="821" customWidth="1"/>
    <col min="11" max="11" width="7.625" style="826" customWidth="1"/>
    <col min="12" max="12" width="9.75" style="826" customWidth="1"/>
    <col min="13" max="13" width="1" style="826" customWidth="1"/>
    <col min="14" max="14" width="6" style="827" customWidth="1"/>
    <col min="15" max="15" width="22.375" style="828" bestFit="1" customWidth="1"/>
    <col min="16" max="16384" width="9" style="826"/>
  </cols>
  <sheetData>
    <row r="1" spans="1:15" s="20" customFormat="1" ht="19.5" customHeight="1">
      <c r="A1" s="128" t="str">
        <f>IF((L2-(合并TB资产!G60+合并TB负债!G63+合并TB损益!G90)-IF(COUNTIF(E5:E666,"未分配利润")&gt;=1,VLOOKUP("未分配利润",E5:J666,6,0),0))&lt;0.005,"合并报表调整事项汇总表","调整事项未全部链入试算平衡表，请检查调整科目是否为报表项目!")</f>
        <v>合并报表调整事项汇总表</v>
      </c>
      <c r="B1" s="18"/>
      <c r="C1" s="147"/>
      <c r="D1" s="19"/>
      <c r="E1" s="19"/>
      <c r="F1" s="19"/>
      <c r="G1" s="19"/>
      <c r="H1" s="19"/>
      <c r="I1" s="19"/>
      <c r="J1" s="143"/>
      <c r="K1" s="564">
        <f>SUM(L2:L3)</f>
        <v>0</v>
      </c>
      <c r="L1" s="564"/>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日期：2019.12.31</v>
      </c>
      <c r="J2" s="805" t="s">
        <v>951</v>
      </c>
      <c r="K2" s="565" t="s">
        <v>283</v>
      </c>
      <c r="L2" s="566">
        <f>SUMIF(E5:E65536,"?*",J5:J65536)</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5" t="s">
        <v>285</v>
      </c>
      <c r="L3" s="566">
        <f>SUMIF(H5:H65536,"?*",J5:J65536)</f>
        <v>0</v>
      </c>
      <c r="N3" s="82">
        <f>母公司汇总抵销!N3</f>
        <v>0</v>
      </c>
      <c r="O3" s="83">
        <f>母公司汇总抵销!O3</f>
        <v>0</v>
      </c>
    </row>
    <row r="4" spans="1:15" s="23" customFormat="1">
      <c r="A4" s="569" t="s">
        <v>311</v>
      </c>
      <c r="B4" s="124" t="s">
        <v>286</v>
      </c>
      <c r="C4" s="149" t="s">
        <v>287</v>
      </c>
      <c r="D4" s="126" t="s">
        <v>452</v>
      </c>
      <c r="E4" s="125" t="s">
        <v>288</v>
      </c>
      <c r="F4" s="127" t="s">
        <v>289</v>
      </c>
      <c r="G4" s="126" t="s">
        <v>452</v>
      </c>
      <c r="H4" s="125" t="s">
        <v>290</v>
      </c>
      <c r="I4" s="127" t="s">
        <v>289</v>
      </c>
      <c r="J4" s="145" t="s">
        <v>262</v>
      </c>
      <c r="K4" s="567"/>
      <c r="L4" s="568">
        <f>L2-L3</f>
        <v>0</v>
      </c>
      <c r="N4" s="82">
        <f>母公司汇总抵销!N4</f>
        <v>0</v>
      </c>
      <c r="O4" s="83">
        <f>母公司汇总抵销!O4</f>
        <v>0</v>
      </c>
    </row>
    <row r="5" spans="1:15" s="23" customFormat="1">
      <c r="A5" s="1159">
        <v>1</v>
      </c>
      <c r="B5" s="1162"/>
      <c r="C5" s="1165"/>
      <c r="D5" s="850"/>
      <c r="E5" s="21" t="str">
        <f t="shared" ref="E5:E10" si="0">IF(D5=0,"",VLOOKUP(D5,$N:$O,2,0))</f>
        <v/>
      </c>
      <c r="F5" s="811"/>
      <c r="G5" s="25"/>
      <c r="H5" s="21" t="str">
        <f t="shared" ref="H5:H10" si="1">IF(G5=0,"",VLOOKUP(G5,$N:$O,2,0))</f>
        <v/>
      </c>
      <c r="I5" s="313"/>
      <c r="J5" s="142"/>
      <c r="K5" s="171" t="s">
        <v>453</v>
      </c>
      <c r="N5" s="82">
        <f>母公司汇总抵销!N5</f>
        <v>0</v>
      </c>
      <c r="O5" s="71" t="str">
        <f>母公司汇总抵销!O5</f>
        <v>流动资产：</v>
      </c>
    </row>
    <row r="6" spans="1:15" s="23" customFormat="1">
      <c r="A6" s="1160"/>
      <c r="B6" s="1163"/>
      <c r="C6" s="1166"/>
      <c r="D6" s="17"/>
      <c r="E6" s="26" t="str">
        <f t="shared" si="0"/>
        <v/>
      </c>
      <c r="F6" s="313"/>
      <c r="G6" s="27"/>
      <c r="H6" s="26" t="str">
        <f t="shared" si="1"/>
        <v/>
      </c>
      <c r="I6" s="811"/>
      <c r="J6" s="142"/>
      <c r="K6" s="171" t="s">
        <v>454</v>
      </c>
      <c r="N6" s="84" t="str">
        <f>母公司汇总抵销!N6</f>
        <v>D1</v>
      </c>
      <c r="O6" s="28" t="str">
        <f>母公司汇总抵销!O6</f>
        <v>货币资金</v>
      </c>
    </row>
    <row r="7" spans="1:15" s="23" customFormat="1">
      <c r="A7" s="1160"/>
      <c r="B7" s="1163"/>
      <c r="C7" s="1166"/>
      <c r="D7" s="17"/>
      <c r="E7" s="26" t="str">
        <f t="shared" si="0"/>
        <v/>
      </c>
      <c r="F7" s="313"/>
      <c r="G7" s="27"/>
      <c r="H7" s="26" t="str">
        <f t="shared" si="1"/>
        <v/>
      </c>
      <c r="I7" s="313"/>
      <c r="J7" s="142"/>
      <c r="N7" s="84" t="str">
        <f>母公司汇总抵销!N7</f>
        <v>D41</v>
      </c>
      <c r="O7" s="28" t="str">
        <f>母公司汇总抵销!O7</f>
        <v>结算备付金</v>
      </c>
    </row>
    <row r="8" spans="1:15" s="23" customFormat="1">
      <c r="A8" s="1160"/>
      <c r="B8" s="1163"/>
      <c r="C8" s="1166"/>
      <c r="D8" s="17"/>
      <c r="E8" s="26" t="str">
        <f t="shared" si="0"/>
        <v/>
      </c>
      <c r="F8" s="313"/>
      <c r="G8" s="27"/>
      <c r="H8" s="26" t="str">
        <f t="shared" si="1"/>
        <v/>
      </c>
      <c r="I8" s="313"/>
      <c r="J8" s="142"/>
      <c r="N8" s="84" t="str">
        <f>母公司汇总抵销!N8</f>
        <v>D42</v>
      </c>
      <c r="O8" s="28" t="str">
        <f>母公司汇总抵销!O8</f>
        <v>拆出资金</v>
      </c>
    </row>
    <row r="9" spans="1:15" s="23" customFormat="1">
      <c r="A9" s="1160"/>
      <c r="B9" s="1163"/>
      <c r="C9" s="1166"/>
      <c r="D9" s="17"/>
      <c r="E9" s="26" t="str">
        <f t="shared" si="0"/>
        <v/>
      </c>
      <c r="F9" s="313"/>
      <c r="G9" s="27"/>
      <c r="H9" s="26" t="str">
        <f t="shared" si="1"/>
        <v/>
      </c>
      <c r="I9" s="313"/>
      <c r="J9" s="142"/>
      <c r="K9" s="24"/>
      <c r="N9" s="84" t="str">
        <f>母公司汇总抵销!N9</f>
        <v>D2</v>
      </c>
      <c r="O9" s="28" t="str">
        <f>母公司汇总抵销!O9</f>
        <v>交易性金融资产</v>
      </c>
    </row>
    <row r="10" spans="1:15" s="23" customFormat="1">
      <c r="A10" s="1161"/>
      <c r="B10" s="1164"/>
      <c r="C10" s="1167"/>
      <c r="D10" s="17"/>
      <c r="E10" s="26" t="str">
        <f t="shared" si="0"/>
        <v/>
      </c>
      <c r="F10" s="313"/>
      <c r="G10" s="27"/>
      <c r="H10" s="26" t="str">
        <f t="shared" si="1"/>
        <v/>
      </c>
      <c r="I10" s="313"/>
      <c r="J10" s="146"/>
      <c r="K10" s="24"/>
      <c r="N10" s="84" t="str">
        <f>母公司汇总抵销!N10</f>
        <v>D3</v>
      </c>
      <c r="O10" s="28" t="str">
        <f>母公司汇总抵销!O10</f>
        <v>以公允价值计量且其变动计入当期损益的金融资产</v>
      </c>
    </row>
    <row r="11" spans="1:15" s="23" customFormat="1">
      <c r="A11" s="308"/>
      <c r="B11" s="308"/>
      <c r="C11" s="309"/>
      <c r="D11" s="310"/>
      <c r="E11" s="311"/>
      <c r="F11" s="311"/>
      <c r="G11" s="310"/>
      <c r="H11" s="311"/>
      <c r="I11" s="311"/>
      <c r="J11" s="312" t="str">
        <f>IF(ABS((SUMIF(E5:E10,"?*",J5:J10)-SUMIF(H5:H10,"?*",J5:J10)))&lt;0.005,"","借贷不等")</f>
        <v/>
      </c>
      <c r="N11" s="84" t="str">
        <f>母公司汇总抵销!N11</f>
        <v>D4</v>
      </c>
      <c r="O11" s="28" t="str">
        <f>母公司汇总抵销!O11</f>
        <v>衍生金融资产</v>
      </c>
    </row>
    <row r="12" spans="1:15" s="23" customFormat="1">
      <c r="A12" s="1159">
        <v>2</v>
      </c>
      <c r="B12" s="1162"/>
      <c r="C12" s="1165"/>
      <c r="D12" s="17"/>
      <c r="E12" s="26" t="str">
        <f t="shared" ref="E12:E17" si="2">IF(D12=0,"",VLOOKUP(D12,$N:$O,2,0))</f>
        <v/>
      </c>
      <c r="F12" s="313"/>
      <c r="G12" s="25"/>
      <c r="H12" s="21" t="str">
        <f t="shared" ref="H12:H17" si="3">IF(G12=0,"",VLOOKUP(G12,$N:$O,2,0))</f>
        <v/>
      </c>
      <c r="I12" s="313"/>
      <c r="J12" s="754"/>
      <c r="N12" s="84" t="str">
        <f>母公司汇总抵销!N12</f>
        <v>D5</v>
      </c>
      <c r="O12" s="28" t="str">
        <f>母公司汇总抵销!O12</f>
        <v>应收票据</v>
      </c>
    </row>
    <row r="13" spans="1:15" s="23" customFormat="1">
      <c r="A13" s="1160"/>
      <c r="B13" s="1163"/>
      <c r="C13" s="1166"/>
      <c r="D13" s="17"/>
      <c r="E13" s="26" t="str">
        <f t="shared" si="2"/>
        <v/>
      </c>
      <c r="F13" s="313"/>
      <c r="G13" s="27"/>
      <c r="H13" s="26" t="str">
        <f t="shared" si="3"/>
        <v/>
      </c>
      <c r="I13" s="313"/>
      <c r="J13" s="142"/>
      <c r="N13" s="84" t="str">
        <f>母公司汇总抵销!N13</f>
        <v>D6</v>
      </c>
      <c r="O13" s="28" t="str">
        <f>母公司汇总抵销!O13</f>
        <v>应收账款</v>
      </c>
    </row>
    <row r="14" spans="1:15" s="23" customFormat="1">
      <c r="A14" s="1160"/>
      <c r="B14" s="1163"/>
      <c r="C14" s="1166"/>
      <c r="D14" s="17"/>
      <c r="E14" s="26" t="str">
        <f t="shared" si="2"/>
        <v/>
      </c>
      <c r="F14" s="313"/>
      <c r="G14" s="27"/>
      <c r="H14" s="26" t="str">
        <f t="shared" si="3"/>
        <v/>
      </c>
      <c r="I14" s="313"/>
      <c r="J14" s="142"/>
      <c r="N14" s="84" t="str">
        <f>母公司汇总抵销!N14</f>
        <v>D7</v>
      </c>
      <c r="O14" s="28" t="str">
        <f>母公司汇总抵销!O14</f>
        <v>应收款项融资</v>
      </c>
    </row>
    <row r="15" spans="1:15" s="23" customFormat="1">
      <c r="A15" s="1160"/>
      <c r="B15" s="1163"/>
      <c r="C15" s="1166"/>
      <c r="D15" s="17"/>
      <c r="E15" s="26" t="str">
        <f t="shared" si="2"/>
        <v/>
      </c>
      <c r="F15" s="313"/>
      <c r="G15" s="27"/>
      <c r="H15" s="26" t="str">
        <f t="shared" si="3"/>
        <v/>
      </c>
      <c r="I15" s="313"/>
      <c r="J15" s="142"/>
      <c r="N15" s="84" t="str">
        <f>母公司汇总抵销!N15</f>
        <v>D8</v>
      </c>
      <c r="O15" s="28" t="str">
        <f>母公司汇总抵销!O15</f>
        <v>预付款项</v>
      </c>
    </row>
    <row r="16" spans="1:15" s="23" customFormat="1">
      <c r="A16" s="1160"/>
      <c r="B16" s="1163"/>
      <c r="C16" s="1166"/>
      <c r="D16" s="17"/>
      <c r="E16" s="26" t="str">
        <f t="shared" si="2"/>
        <v/>
      </c>
      <c r="F16" s="313"/>
      <c r="G16" s="27"/>
      <c r="H16" s="26" t="str">
        <f t="shared" si="3"/>
        <v/>
      </c>
      <c r="I16" s="313"/>
      <c r="J16" s="142"/>
      <c r="N16" s="84" t="str">
        <f>母公司汇总抵销!N16</f>
        <v>D43</v>
      </c>
      <c r="O16" s="28" t="str">
        <f>母公司汇总抵销!O16</f>
        <v>应收保费</v>
      </c>
    </row>
    <row r="17" spans="1:15" s="23" customFormat="1">
      <c r="A17" s="1161"/>
      <c r="B17" s="1164"/>
      <c r="C17" s="1167"/>
      <c r="D17" s="17"/>
      <c r="E17" s="26" t="str">
        <f t="shared" si="2"/>
        <v/>
      </c>
      <c r="F17" s="313"/>
      <c r="G17" s="27"/>
      <c r="H17" s="26" t="str">
        <f t="shared" si="3"/>
        <v/>
      </c>
      <c r="I17" s="313"/>
      <c r="J17" s="142"/>
      <c r="N17" s="84" t="str">
        <f>母公司汇总抵销!N17</f>
        <v>D44</v>
      </c>
      <c r="O17" s="28" t="str">
        <f>母公司汇总抵销!O17</f>
        <v>应收分保账款</v>
      </c>
    </row>
    <row r="18" spans="1:15" s="23" customFormat="1">
      <c r="A18" s="308"/>
      <c r="B18" s="308"/>
      <c r="C18" s="309"/>
      <c r="D18" s="310"/>
      <c r="E18" s="311"/>
      <c r="F18" s="311"/>
      <c r="G18" s="310"/>
      <c r="H18" s="311"/>
      <c r="I18" s="311"/>
      <c r="J18" s="755" t="str">
        <f>IF(ABS((SUMIF(E12:E17,"?*",J12:J17)-SUMIF(H12:H17,"?*",J12:J17)))&lt;0.005,"","借贷不等")</f>
        <v/>
      </c>
      <c r="N18" s="84" t="str">
        <f>母公司汇总抵销!N18</f>
        <v>D45</v>
      </c>
      <c r="O18" s="28" t="str">
        <f>母公司汇总抵销!O18</f>
        <v>应收分保准备金</v>
      </c>
    </row>
    <row r="19" spans="1:15" s="23" customFormat="1">
      <c r="A19" s="1159">
        <v>3</v>
      </c>
      <c r="B19" s="1162"/>
      <c r="C19" s="1165"/>
      <c r="D19" s="17"/>
      <c r="E19" s="26" t="str">
        <f t="shared" ref="E19:E24" si="4">IF(D19=0,"",VLOOKUP(D19,$N:$O,2,0))</f>
        <v/>
      </c>
      <c r="F19" s="313"/>
      <c r="G19" s="25"/>
      <c r="H19" s="21" t="str">
        <f t="shared" ref="H19:H24" si="5">IF(G19=0,"",VLOOKUP(G19,$N:$O,2,0))</f>
        <v/>
      </c>
      <c r="I19" s="313"/>
      <c r="J19" s="754"/>
      <c r="N19" s="84" t="str">
        <f>母公司汇总抵销!N19</f>
        <v>D9</v>
      </c>
      <c r="O19" s="28" t="str">
        <f>母公司汇总抵销!O19</f>
        <v>其他应收款</v>
      </c>
    </row>
    <row r="20" spans="1:15" s="23" customFormat="1">
      <c r="A20" s="1160"/>
      <c r="B20" s="1163"/>
      <c r="C20" s="1166"/>
      <c r="D20" s="17"/>
      <c r="E20" s="26" t="str">
        <f t="shared" si="4"/>
        <v/>
      </c>
      <c r="F20" s="313"/>
      <c r="G20" s="27"/>
      <c r="H20" s="26" t="str">
        <f t="shared" si="5"/>
        <v/>
      </c>
      <c r="I20" s="313"/>
      <c r="J20" s="142"/>
      <c r="N20" s="84">
        <f>母公司汇总抵销!N20</f>
        <v>0</v>
      </c>
      <c r="O20" s="28" t="str">
        <f>母公司汇总抵销!O20</f>
        <v>应收利息</v>
      </c>
    </row>
    <row r="21" spans="1:15" s="23" customFormat="1">
      <c r="A21" s="1160"/>
      <c r="B21" s="1163"/>
      <c r="C21" s="1166"/>
      <c r="D21" s="17"/>
      <c r="E21" s="26" t="str">
        <f t="shared" si="4"/>
        <v/>
      </c>
      <c r="F21" s="313"/>
      <c r="G21" s="27"/>
      <c r="H21" s="26" t="str">
        <f t="shared" si="5"/>
        <v/>
      </c>
      <c r="I21" s="313"/>
      <c r="J21" s="142"/>
      <c r="N21" s="84">
        <f>母公司汇总抵销!N21</f>
        <v>0</v>
      </c>
      <c r="O21" s="28" t="str">
        <f>母公司汇总抵销!O21</f>
        <v>应收股利</v>
      </c>
    </row>
    <row r="22" spans="1:15" s="23" customFormat="1">
      <c r="A22" s="1160"/>
      <c r="B22" s="1163"/>
      <c r="C22" s="1166"/>
      <c r="D22" s="17"/>
      <c r="E22" s="26" t="str">
        <f t="shared" si="4"/>
        <v/>
      </c>
      <c r="F22" s="313"/>
      <c r="G22" s="27"/>
      <c r="H22" s="26" t="str">
        <f t="shared" si="5"/>
        <v/>
      </c>
      <c r="I22" s="313"/>
      <c r="J22" s="142"/>
      <c r="N22" s="84" t="str">
        <f>母公司汇总抵销!N22</f>
        <v>D46</v>
      </c>
      <c r="O22" s="28" t="str">
        <f>母公司汇总抵销!O22</f>
        <v>买入返售金融资产</v>
      </c>
    </row>
    <row r="23" spans="1:15" s="23" customFormat="1">
      <c r="A23" s="1160"/>
      <c r="B23" s="1163"/>
      <c r="C23" s="1166"/>
      <c r="D23" s="17"/>
      <c r="E23" s="26" t="str">
        <f t="shared" si="4"/>
        <v/>
      </c>
      <c r="F23" s="313"/>
      <c r="G23" s="27"/>
      <c r="H23" s="26" t="str">
        <f t="shared" si="5"/>
        <v/>
      </c>
      <c r="I23" s="313"/>
      <c r="J23" s="142"/>
      <c r="N23" s="84" t="str">
        <f>母公司汇总抵销!N23</f>
        <v>D10</v>
      </c>
      <c r="O23" s="28" t="str">
        <f>母公司汇总抵销!O23</f>
        <v>存货</v>
      </c>
    </row>
    <row r="24" spans="1:15" s="23" customFormat="1">
      <c r="A24" s="1161"/>
      <c r="B24" s="1164"/>
      <c r="C24" s="1167"/>
      <c r="D24" s="17"/>
      <c r="E24" s="26" t="str">
        <f t="shared" si="4"/>
        <v/>
      </c>
      <c r="F24" s="313"/>
      <c r="G24" s="27"/>
      <c r="H24" s="26" t="str">
        <f t="shared" si="5"/>
        <v/>
      </c>
      <c r="I24" s="313"/>
      <c r="J24" s="142"/>
      <c r="N24" s="84" t="str">
        <f>母公司汇总抵销!N24</f>
        <v>D11</v>
      </c>
      <c r="O24" s="28" t="str">
        <f>母公司汇总抵销!O24</f>
        <v>合同资产</v>
      </c>
    </row>
    <row r="25" spans="1:15" s="23" customFormat="1">
      <c r="A25" s="308"/>
      <c r="B25" s="308"/>
      <c r="C25" s="309"/>
      <c r="D25" s="310"/>
      <c r="E25" s="311"/>
      <c r="F25" s="311"/>
      <c r="G25" s="310"/>
      <c r="H25" s="311"/>
      <c r="I25" s="311"/>
      <c r="J25" s="755" t="str">
        <f>IF(ABS((SUMIF(E19:E24,"?*",J19:J24)-SUMIF(H19:H24,"?*",J19:J24)))&lt;0.005,"","借贷不等")</f>
        <v/>
      </c>
      <c r="N25" s="84" t="str">
        <f>母公司汇总抵销!N25</f>
        <v>D12</v>
      </c>
      <c r="O25" s="28" t="str">
        <f>母公司汇总抵销!O25</f>
        <v>持有待售资产</v>
      </c>
    </row>
    <row r="26" spans="1:15" s="23" customFormat="1">
      <c r="A26" s="1159">
        <v>4</v>
      </c>
      <c r="B26" s="1162"/>
      <c r="C26" s="1165"/>
      <c r="D26" s="17"/>
      <c r="E26" s="26" t="str">
        <f t="shared" ref="E26:E31" si="6">IF(D26=0,"",VLOOKUP(D26,$N:$O,2,0))</f>
        <v/>
      </c>
      <c r="F26" s="313"/>
      <c r="G26" s="25"/>
      <c r="H26" s="21" t="str">
        <f t="shared" ref="H26:H31" si="7">IF(G26=0,"",VLOOKUP(G26,$N:$O,2,0))</f>
        <v/>
      </c>
      <c r="I26" s="313"/>
      <c r="J26" s="754"/>
      <c r="N26" s="84" t="str">
        <f>母公司汇总抵销!N26</f>
        <v>D13</v>
      </c>
      <c r="O26" s="28" t="str">
        <f>母公司汇总抵销!O26</f>
        <v>一年内到期的非流动资产</v>
      </c>
    </row>
    <row r="27" spans="1:15" s="23" customFormat="1">
      <c r="A27" s="1160"/>
      <c r="B27" s="1163"/>
      <c r="C27" s="1166"/>
      <c r="D27" s="17"/>
      <c r="E27" s="26" t="str">
        <f t="shared" si="6"/>
        <v/>
      </c>
      <c r="F27" s="313"/>
      <c r="G27" s="27"/>
      <c r="H27" s="26" t="str">
        <f t="shared" si="7"/>
        <v/>
      </c>
      <c r="I27" s="313"/>
      <c r="J27" s="142"/>
      <c r="N27" s="84" t="str">
        <f>母公司汇总抵销!N27</f>
        <v>D14</v>
      </c>
      <c r="O27" s="28" t="str">
        <f>母公司汇总抵销!O27</f>
        <v>其他流动资产</v>
      </c>
    </row>
    <row r="28" spans="1:15" s="23" customFormat="1">
      <c r="A28" s="1160"/>
      <c r="B28" s="1163"/>
      <c r="C28" s="1166"/>
      <c r="D28" s="17"/>
      <c r="E28" s="26" t="str">
        <f t="shared" si="6"/>
        <v/>
      </c>
      <c r="F28" s="313"/>
      <c r="G28" s="27"/>
      <c r="H28" s="26" t="str">
        <f t="shared" si="7"/>
        <v/>
      </c>
      <c r="I28" s="313"/>
      <c r="J28" s="142"/>
      <c r="N28" s="84" t="str">
        <f>母公司汇总抵销!N28</f>
        <v>D15</v>
      </c>
      <c r="O28" s="28" t="str">
        <f>母公司汇总抵销!O28</f>
        <v>0</v>
      </c>
    </row>
    <row r="29" spans="1:15" s="23" customFormat="1">
      <c r="A29" s="1160"/>
      <c r="B29" s="1163"/>
      <c r="C29" s="1166"/>
      <c r="D29" s="17"/>
      <c r="E29" s="26" t="str">
        <f t="shared" si="6"/>
        <v/>
      </c>
      <c r="F29" s="313"/>
      <c r="G29" s="27"/>
      <c r="H29" s="26" t="str">
        <f t="shared" si="7"/>
        <v/>
      </c>
      <c r="I29" s="313"/>
      <c r="J29" s="142"/>
      <c r="N29" s="84" t="str">
        <f>母公司汇总抵销!N29</f>
        <v>D16</v>
      </c>
      <c r="O29" s="28" t="str">
        <f>母公司汇总抵销!O29</f>
        <v>0</v>
      </c>
    </row>
    <row r="30" spans="1:15" s="23" customFormat="1">
      <c r="A30" s="1160"/>
      <c r="B30" s="1163"/>
      <c r="C30" s="1166"/>
      <c r="D30" s="17"/>
      <c r="E30" s="26" t="str">
        <f t="shared" si="6"/>
        <v/>
      </c>
      <c r="F30" s="313"/>
      <c r="G30" s="27"/>
      <c r="H30" s="26" t="str">
        <f t="shared" si="7"/>
        <v/>
      </c>
      <c r="I30" s="313"/>
      <c r="J30" s="142"/>
      <c r="N30" s="84">
        <f>母公司汇总抵销!N30</f>
        <v>0</v>
      </c>
      <c r="O30" s="859" t="str">
        <f>母公司汇总抵销!O30</f>
        <v>流动资产合计</v>
      </c>
    </row>
    <row r="31" spans="1:15" s="23" customFormat="1">
      <c r="A31" s="1161"/>
      <c r="B31" s="1164"/>
      <c r="C31" s="1167"/>
      <c r="D31" s="17"/>
      <c r="E31" s="26" t="str">
        <f t="shared" si="6"/>
        <v/>
      </c>
      <c r="F31" s="313"/>
      <c r="G31" s="27"/>
      <c r="H31" s="26" t="str">
        <f t="shared" si="7"/>
        <v/>
      </c>
      <c r="I31" s="313"/>
      <c r="J31" s="142"/>
      <c r="N31" s="84">
        <f>母公司汇总抵销!N31</f>
        <v>0</v>
      </c>
      <c r="O31" s="859" t="str">
        <f>母公司汇总抵销!O31</f>
        <v>非流动资产:</v>
      </c>
    </row>
    <row r="32" spans="1:15" s="23" customFormat="1">
      <c r="A32" s="308"/>
      <c r="B32" s="308"/>
      <c r="C32" s="309"/>
      <c r="D32" s="310"/>
      <c r="E32" s="311"/>
      <c r="F32" s="311"/>
      <c r="G32" s="310"/>
      <c r="H32" s="311"/>
      <c r="I32" s="311"/>
      <c r="J32" s="755" t="str">
        <f>IF(ABS((SUMIF(E26:E31,"?*",J26:J31)-SUMIF(H26:H31,"?*",J26:J31)))&lt;0.005,"","借贷不等")</f>
        <v/>
      </c>
      <c r="N32" s="84" t="str">
        <f>母公司汇总抵销!N32</f>
        <v>D47</v>
      </c>
      <c r="O32" s="28" t="str">
        <f>母公司汇总抵销!O32</f>
        <v>发放贷款及垫款</v>
      </c>
    </row>
    <row r="33" spans="1:15" s="23" customFormat="1">
      <c r="A33" s="1159">
        <v>5</v>
      </c>
      <c r="B33" s="1162"/>
      <c r="C33" s="1165"/>
      <c r="D33" s="17"/>
      <c r="E33" s="26" t="str">
        <f t="shared" ref="E33:E38" si="8">IF(D33=0,"",VLOOKUP(D33,$N:$O,2,0))</f>
        <v/>
      </c>
      <c r="F33" s="313"/>
      <c r="G33" s="25"/>
      <c r="H33" s="21" t="str">
        <f t="shared" ref="H33:H38" si="9">IF(G33=0,"",VLOOKUP(G33,$N:$O,2,0))</f>
        <v/>
      </c>
      <c r="I33" s="313"/>
      <c r="J33" s="754"/>
      <c r="N33" s="84" t="str">
        <f>母公司汇总抵销!N33</f>
        <v>D17</v>
      </c>
      <c r="O33" s="28" t="str">
        <f>母公司汇总抵销!O33</f>
        <v>债权投资</v>
      </c>
    </row>
    <row r="34" spans="1:15" s="23" customFormat="1">
      <c r="A34" s="1160"/>
      <c r="B34" s="1163"/>
      <c r="C34" s="1166"/>
      <c r="D34" s="17"/>
      <c r="E34" s="26" t="str">
        <f t="shared" si="8"/>
        <v/>
      </c>
      <c r="F34" s="313"/>
      <c r="G34" s="27"/>
      <c r="H34" s="26" t="str">
        <f t="shared" si="9"/>
        <v/>
      </c>
      <c r="I34" s="313"/>
      <c r="J34" s="142"/>
      <c r="N34" s="84" t="str">
        <f>母公司汇总抵销!N34</f>
        <v>D18</v>
      </c>
      <c r="O34" s="28" t="str">
        <f>母公司汇总抵销!O34</f>
        <v>可供出售金融资产</v>
      </c>
    </row>
    <row r="35" spans="1:15" s="23" customFormat="1">
      <c r="A35" s="1160"/>
      <c r="B35" s="1163"/>
      <c r="C35" s="1166"/>
      <c r="D35" s="17"/>
      <c r="E35" s="26" t="str">
        <f t="shared" si="8"/>
        <v/>
      </c>
      <c r="F35" s="313"/>
      <c r="G35" s="27"/>
      <c r="H35" s="26" t="str">
        <f t="shared" si="9"/>
        <v/>
      </c>
      <c r="I35" s="313"/>
      <c r="J35" s="142"/>
      <c r="N35" s="84" t="str">
        <f>母公司汇总抵销!N35</f>
        <v>D19</v>
      </c>
      <c r="O35" s="28" t="str">
        <f>母公司汇总抵销!O35</f>
        <v>其他债权投资</v>
      </c>
    </row>
    <row r="36" spans="1:15" s="23" customFormat="1">
      <c r="A36" s="1160"/>
      <c r="B36" s="1163"/>
      <c r="C36" s="1166"/>
      <c r="D36" s="17"/>
      <c r="E36" s="26" t="str">
        <f t="shared" si="8"/>
        <v/>
      </c>
      <c r="F36" s="313"/>
      <c r="G36" s="27"/>
      <c r="H36" s="26" t="str">
        <f t="shared" si="9"/>
        <v/>
      </c>
      <c r="I36" s="313"/>
      <c r="J36" s="142"/>
      <c r="N36" s="84" t="str">
        <f>母公司汇总抵销!N36</f>
        <v>D20</v>
      </c>
      <c r="O36" s="28" t="str">
        <f>母公司汇总抵销!O36</f>
        <v>持有至到期投资</v>
      </c>
    </row>
    <row r="37" spans="1:15" s="23" customFormat="1">
      <c r="A37" s="1160"/>
      <c r="B37" s="1163"/>
      <c r="C37" s="1166"/>
      <c r="D37" s="17"/>
      <c r="E37" s="26" t="str">
        <f t="shared" si="8"/>
        <v/>
      </c>
      <c r="F37" s="313"/>
      <c r="G37" s="27"/>
      <c r="H37" s="26" t="str">
        <f t="shared" si="9"/>
        <v/>
      </c>
      <c r="I37" s="313"/>
      <c r="J37" s="142"/>
      <c r="N37" s="84" t="str">
        <f>母公司汇总抵销!N37</f>
        <v>D21</v>
      </c>
      <c r="O37" s="28" t="str">
        <f>母公司汇总抵销!O37</f>
        <v>长期应收款</v>
      </c>
    </row>
    <row r="38" spans="1:15" s="23" customFormat="1">
      <c r="A38" s="1161"/>
      <c r="B38" s="1164"/>
      <c r="C38" s="1167"/>
      <c r="D38" s="17"/>
      <c r="E38" s="26" t="str">
        <f t="shared" si="8"/>
        <v/>
      </c>
      <c r="F38" s="313"/>
      <c r="G38" s="27"/>
      <c r="H38" s="26" t="str">
        <f t="shared" si="9"/>
        <v/>
      </c>
      <c r="I38" s="313"/>
      <c r="J38" s="142"/>
      <c r="N38" s="84" t="str">
        <f>母公司汇总抵销!N38</f>
        <v>D22</v>
      </c>
      <c r="O38" s="28" t="str">
        <f>母公司汇总抵销!O38</f>
        <v>设定受益计划净资产</v>
      </c>
    </row>
    <row r="39" spans="1:15" s="23" customFormat="1">
      <c r="A39" s="308"/>
      <c r="B39" s="308"/>
      <c r="C39" s="309"/>
      <c r="D39" s="310"/>
      <c r="E39" s="311"/>
      <c r="F39" s="311"/>
      <c r="G39" s="310"/>
      <c r="H39" s="311"/>
      <c r="I39" s="311"/>
      <c r="J39" s="755" t="str">
        <f>IF(ABS((SUMIF(E33:E38,"?*",J33:J38)-SUMIF(H33:H38,"?*",J33:J38)))&lt;0.005,"","借贷不等")</f>
        <v/>
      </c>
      <c r="N39" s="84" t="str">
        <f>母公司汇总抵销!N39</f>
        <v>D23</v>
      </c>
      <c r="O39" s="28" t="str">
        <f>母公司汇总抵销!O39</f>
        <v>长期股权投资</v>
      </c>
    </row>
    <row r="40" spans="1:15" s="23" customFormat="1">
      <c r="A40" s="1159">
        <v>6</v>
      </c>
      <c r="B40" s="1162"/>
      <c r="C40" s="1165"/>
      <c r="D40" s="17"/>
      <c r="E40" s="26" t="str">
        <f t="shared" ref="E40:E45" si="10">IF(D40=0,"",VLOOKUP(D40,$N:$O,2,0))</f>
        <v/>
      </c>
      <c r="F40" s="313"/>
      <c r="G40" s="25"/>
      <c r="H40" s="21" t="str">
        <f t="shared" ref="H40:H45" si="11">IF(G40=0,"",VLOOKUP(G40,$N:$O,2,0))</f>
        <v/>
      </c>
      <c r="I40" s="313"/>
      <c r="J40" s="754"/>
      <c r="N40" s="84" t="str">
        <f>母公司汇总抵销!N40</f>
        <v>D24</v>
      </c>
      <c r="O40" s="28" t="str">
        <f>母公司汇总抵销!O40</f>
        <v>其他权益工具投资</v>
      </c>
    </row>
    <row r="41" spans="1:15" s="23" customFormat="1">
      <c r="A41" s="1160"/>
      <c r="B41" s="1163"/>
      <c r="C41" s="1166"/>
      <c r="D41" s="17"/>
      <c r="E41" s="26" t="str">
        <f t="shared" si="10"/>
        <v/>
      </c>
      <c r="F41" s="313"/>
      <c r="G41" s="27"/>
      <c r="H41" s="26" t="str">
        <f t="shared" si="11"/>
        <v/>
      </c>
      <c r="I41" s="313"/>
      <c r="J41" s="142"/>
      <c r="N41" s="84" t="str">
        <f>母公司汇总抵销!N41</f>
        <v>D25</v>
      </c>
      <c r="O41" s="28" t="str">
        <f>母公司汇总抵销!O41</f>
        <v>其他非流动金融资产</v>
      </c>
    </row>
    <row r="42" spans="1:15" s="23" customFormat="1">
      <c r="A42" s="1160"/>
      <c r="B42" s="1163"/>
      <c r="C42" s="1166"/>
      <c r="D42" s="17"/>
      <c r="E42" s="26" t="str">
        <f t="shared" si="10"/>
        <v/>
      </c>
      <c r="F42" s="313"/>
      <c r="G42" s="27"/>
      <c r="H42" s="26" t="str">
        <f t="shared" si="11"/>
        <v/>
      </c>
      <c r="I42" s="313"/>
      <c r="J42" s="142"/>
      <c r="N42" s="84" t="str">
        <f>母公司汇总抵销!N42</f>
        <v>D26</v>
      </c>
      <c r="O42" s="28" t="str">
        <f>母公司汇总抵销!O42</f>
        <v>投资性房地产</v>
      </c>
    </row>
    <row r="43" spans="1:15" s="23" customFormat="1">
      <c r="A43" s="1160"/>
      <c r="B43" s="1163"/>
      <c r="C43" s="1166"/>
      <c r="D43" s="17"/>
      <c r="E43" s="26" t="str">
        <f t="shared" si="10"/>
        <v/>
      </c>
      <c r="F43" s="313"/>
      <c r="G43" s="27"/>
      <c r="H43" s="26" t="str">
        <f t="shared" si="11"/>
        <v/>
      </c>
      <c r="I43" s="313"/>
      <c r="J43" s="142"/>
      <c r="N43" s="84" t="str">
        <f>母公司汇总抵销!N43</f>
        <v>D27</v>
      </c>
      <c r="O43" s="28" t="str">
        <f>母公司汇总抵销!O43</f>
        <v>固定资产</v>
      </c>
    </row>
    <row r="44" spans="1:15" s="23" customFormat="1">
      <c r="A44" s="1160"/>
      <c r="B44" s="1163"/>
      <c r="C44" s="1166"/>
      <c r="D44" s="17"/>
      <c r="E44" s="26" t="str">
        <f t="shared" si="10"/>
        <v/>
      </c>
      <c r="F44" s="313"/>
      <c r="G44" s="27"/>
      <c r="H44" s="26" t="str">
        <f t="shared" si="11"/>
        <v/>
      </c>
      <c r="I44" s="313"/>
      <c r="J44" s="142"/>
      <c r="N44" s="84" t="str">
        <f>母公司汇总抵销!N44</f>
        <v>D28</v>
      </c>
      <c r="O44" s="28" t="str">
        <f>母公司汇总抵销!O44</f>
        <v>在建工程</v>
      </c>
    </row>
    <row r="45" spans="1:15" s="23" customFormat="1">
      <c r="A45" s="1161"/>
      <c r="B45" s="1164"/>
      <c r="C45" s="1167"/>
      <c r="D45" s="17"/>
      <c r="E45" s="26" t="str">
        <f t="shared" si="10"/>
        <v/>
      </c>
      <c r="F45" s="313"/>
      <c r="G45" s="27"/>
      <c r="H45" s="26" t="str">
        <f t="shared" si="11"/>
        <v/>
      </c>
      <c r="I45" s="313"/>
      <c r="J45" s="142"/>
      <c r="N45" s="84" t="str">
        <f>母公司汇总抵销!N45</f>
        <v>D29</v>
      </c>
      <c r="O45" s="28" t="str">
        <f>母公司汇总抵销!O45</f>
        <v>生产性生物资产</v>
      </c>
    </row>
    <row r="46" spans="1:15" s="23" customFormat="1">
      <c r="A46" s="308"/>
      <c r="B46" s="308"/>
      <c r="C46" s="309"/>
      <c r="D46" s="310"/>
      <c r="E46" s="311"/>
      <c r="F46" s="311"/>
      <c r="G46" s="310"/>
      <c r="H46" s="311"/>
      <c r="I46" s="311"/>
      <c r="J46" s="755" t="str">
        <f>IF(ABS((SUMIF(E40:E45,"?*",J40:J45)-SUMIF(H40:H45,"?*",J40:J45)))&lt;0.005,"","借贷不等")</f>
        <v/>
      </c>
      <c r="N46" s="84" t="str">
        <f>母公司汇总抵销!N46</f>
        <v>D30</v>
      </c>
      <c r="O46" s="28" t="str">
        <f>母公司汇总抵销!O46</f>
        <v>油气资产</v>
      </c>
    </row>
    <row r="47" spans="1:15" s="23" customFormat="1">
      <c r="A47" s="1159">
        <v>7</v>
      </c>
      <c r="B47" s="1162"/>
      <c r="C47" s="1165"/>
      <c r="D47" s="17"/>
      <c r="E47" s="26" t="str">
        <f t="shared" ref="E47:E52" si="12">IF(D47=0,"",VLOOKUP(D47,$N:$O,2,0))</f>
        <v/>
      </c>
      <c r="F47" s="313"/>
      <c r="G47" s="25"/>
      <c r="H47" s="21" t="str">
        <f t="shared" ref="H47:H52" si="13">IF(G47=0,"",VLOOKUP(G47,$N:$O,2,0))</f>
        <v/>
      </c>
      <c r="I47" s="313"/>
      <c r="J47" s="754"/>
      <c r="N47" s="84" t="str">
        <f>母公司汇总抵销!N47</f>
        <v>D31</v>
      </c>
      <c r="O47" s="28" t="str">
        <f>母公司汇总抵销!O47</f>
        <v>使用权资产</v>
      </c>
    </row>
    <row r="48" spans="1:15" s="23" customFormat="1">
      <c r="A48" s="1160"/>
      <c r="B48" s="1163"/>
      <c r="C48" s="1166"/>
      <c r="D48" s="17"/>
      <c r="E48" s="26" t="str">
        <f t="shared" si="12"/>
        <v/>
      </c>
      <c r="F48" s="313"/>
      <c r="G48" s="27"/>
      <c r="H48" s="26" t="str">
        <f t="shared" si="13"/>
        <v/>
      </c>
      <c r="I48" s="313"/>
      <c r="J48" s="142"/>
      <c r="N48" s="84" t="str">
        <f>母公司汇总抵销!N48</f>
        <v>D32</v>
      </c>
      <c r="O48" s="28" t="str">
        <f>母公司汇总抵销!O48</f>
        <v>无形资产</v>
      </c>
    </row>
    <row r="49" spans="1:15" s="23" customFormat="1">
      <c r="A49" s="1160"/>
      <c r="B49" s="1163"/>
      <c r="C49" s="1166"/>
      <c r="D49" s="17"/>
      <c r="E49" s="26" t="str">
        <f t="shared" si="12"/>
        <v/>
      </c>
      <c r="F49" s="313"/>
      <c r="G49" s="27"/>
      <c r="H49" s="26" t="str">
        <f t="shared" si="13"/>
        <v/>
      </c>
      <c r="I49" s="313"/>
      <c r="J49" s="142"/>
      <c r="N49" s="84" t="str">
        <f>母公司汇总抵销!N49</f>
        <v>D33</v>
      </c>
      <c r="O49" s="28" t="str">
        <f>母公司汇总抵销!O49</f>
        <v>开发支出</v>
      </c>
    </row>
    <row r="50" spans="1:15" s="23" customFormat="1">
      <c r="A50" s="1160"/>
      <c r="B50" s="1163"/>
      <c r="C50" s="1166"/>
      <c r="D50" s="17"/>
      <c r="E50" s="26" t="str">
        <f t="shared" si="12"/>
        <v/>
      </c>
      <c r="F50" s="313"/>
      <c r="G50" s="27"/>
      <c r="H50" s="26" t="str">
        <f t="shared" si="13"/>
        <v/>
      </c>
      <c r="I50" s="313"/>
      <c r="J50" s="142"/>
      <c r="N50" s="84" t="str">
        <f>母公司汇总抵销!N50</f>
        <v>D34</v>
      </c>
      <c r="O50" s="28" t="str">
        <f>母公司汇总抵销!O50</f>
        <v>商誉</v>
      </c>
    </row>
    <row r="51" spans="1:15" s="23" customFormat="1">
      <c r="A51" s="1160"/>
      <c r="B51" s="1163"/>
      <c r="C51" s="1166"/>
      <c r="D51" s="17"/>
      <c r="E51" s="26" t="str">
        <f t="shared" si="12"/>
        <v/>
      </c>
      <c r="F51" s="313"/>
      <c r="G51" s="27"/>
      <c r="H51" s="26" t="str">
        <f t="shared" si="13"/>
        <v/>
      </c>
      <c r="I51" s="313"/>
      <c r="J51" s="142"/>
      <c r="N51" s="84" t="str">
        <f>母公司汇总抵销!N51</f>
        <v>D35</v>
      </c>
      <c r="O51" s="28" t="str">
        <f>母公司汇总抵销!O51</f>
        <v>长期待摊费用</v>
      </c>
    </row>
    <row r="52" spans="1:15" s="23" customFormat="1">
      <c r="A52" s="1161"/>
      <c r="B52" s="1164"/>
      <c r="C52" s="1167"/>
      <c r="D52" s="17"/>
      <c r="E52" s="26" t="str">
        <f t="shared" si="12"/>
        <v/>
      </c>
      <c r="F52" s="313"/>
      <c r="G52" s="27"/>
      <c r="H52" s="26" t="str">
        <f t="shared" si="13"/>
        <v/>
      </c>
      <c r="I52" s="313"/>
      <c r="J52" s="142"/>
      <c r="N52" s="84" t="str">
        <f>母公司汇总抵销!N52</f>
        <v>D36</v>
      </c>
      <c r="O52" s="28" t="str">
        <f>母公司汇总抵销!O52</f>
        <v>递延所得税资产</v>
      </c>
    </row>
    <row r="53" spans="1:15" s="23" customFormat="1">
      <c r="A53" s="308"/>
      <c r="B53" s="308"/>
      <c r="C53" s="309"/>
      <c r="D53" s="310"/>
      <c r="E53" s="311"/>
      <c r="F53" s="311"/>
      <c r="G53" s="310"/>
      <c r="H53" s="311"/>
      <c r="I53" s="311"/>
      <c r="J53" s="755" t="str">
        <f>IF(ABS((SUMIF(E47:E52,"?*",J47:J52)-SUMIF(H47:H52,"?*",J47:J52)))&lt;0.005,"","借贷不等")</f>
        <v/>
      </c>
      <c r="N53" s="84" t="str">
        <f>母公司汇总抵销!N53</f>
        <v>D37</v>
      </c>
      <c r="O53" s="28" t="str">
        <f>母公司汇总抵销!O53</f>
        <v>其他非流动资产</v>
      </c>
    </row>
    <row r="54" spans="1:15" s="23" customFormat="1">
      <c r="A54" s="1159">
        <v>8</v>
      </c>
      <c r="B54" s="1162"/>
      <c r="C54" s="1165"/>
      <c r="D54" s="17"/>
      <c r="E54" s="26" t="str">
        <f t="shared" ref="E54:E59" si="14">IF(D54=0,"",VLOOKUP(D54,$N:$O,2,0))</f>
        <v/>
      </c>
      <c r="F54" s="313"/>
      <c r="G54" s="25"/>
      <c r="H54" s="21" t="str">
        <f t="shared" ref="H54:H59" si="15">IF(G54=0,"",VLOOKUP(G54,$N:$O,2,0))</f>
        <v/>
      </c>
      <c r="I54" s="313"/>
      <c r="J54" s="754"/>
      <c r="N54" s="84" t="str">
        <f>母公司汇总抵销!N54</f>
        <v>D38</v>
      </c>
      <c r="O54" s="28" t="str">
        <f>母公司汇总抵销!O54</f>
        <v>0</v>
      </c>
    </row>
    <row r="55" spans="1:15" s="23" customFormat="1">
      <c r="A55" s="1160"/>
      <c r="B55" s="1163"/>
      <c r="C55" s="1166"/>
      <c r="D55" s="17"/>
      <c r="E55" s="26" t="str">
        <f t="shared" si="14"/>
        <v/>
      </c>
      <c r="F55" s="313"/>
      <c r="G55" s="27"/>
      <c r="H55" s="26" t="str">
        <f t="shared" si="15"/>
        <v/>
      </c>
      <c r="I55" s="313"/>
      <c r="J55" s="142"/>
      <c r="N55" s="84" t="str">
        <f>母公司汇总抵销!N55</f>
        <v>D39</v>
      </c>
      <c r="O55" s="28" t="str">
        <f>母公司汇总抵销!O55</f>
        <v>0</v>
      </c>
    </row>
    <row r="56" spans="1:15" s="23" customFormat="1">
      <c r="A56" s="1160"/>
      <c r="B56" s="1163"/>
      <c r="C56" s="1166"/>
      <c r="D56" s="17"/>
      <c r="E56" s="26" t="str">
        <f t="shared" si="14"/>
        <v/>
      </c>
      <c r="F56" s="313"/>
      <c r="G56" s="27"/>
      <c r="H56" s="26" t="str">
        <f t="shared" si="15"/>
        <v/>
      </c>
      <c r="I56" s="313"/>
      <c r="J56" s="142"/>
      <c r="N56" s="84" t="str">
        <f>母公司汇总抵销!N56</f>
        <v>D40</v>
      </c>
      <c r="O56" s="28" t="str">
        <f>母公司汇总抵销!O56</f>
        <v>0</v>
      </c>
    </row>
    <row r="57" spans="1:15" s="23" customFormat="1">
      <c r="A57" s="1160"/>
      <c r="B57" s="1163"/>
      <c r="C57" s="1166"/>
      <c r="D57" s="17"/>
      <c r="E57" s="26" t="str">
        <f t="shared" si="14"/>
        <v/>
      </c>
      <c r="F57" s="313"/>
      <c r="G57" s="27"/>
      <c r="H57" s="26" t="str">
        <f t="shared" si="15"/>
        <v/>
      </c>
      <c r="I57" s="313"/>
      <c r="J57" s="142"/>
      <c r="N57" s="84">
        <f>母公司汇总抵销!N57</f>
        <v>0</v>
      </c>
      <c r="O57" s="859" t="str">
        <f>母公司汇总抵销!O57</f>
        <v>非流动资产合计</v>
      </c>
    </row>
    <row r="58" spans="1:15" s="23" customFormat="1">
      <c r="A58" s="1160"/>
      <c r="B58" s="1163"/>
      <c r="C58" s="1166"/>
      <c r="D58" s="17"/>
      <c r="E58" s="26" t="str">
        <f t="shared" si="14"/>
        <v/>
      </c>
      <c r="F58" s="313"/>
      <c r="G58" s="27"/>
      <c r="H58" s="26" t="str">
        <f t="shared" si="15"/>
        <v/>
      </c>
      <c r="I58" s="313"/>
      <c r="J58" s="142"/>
      <c r="N58" s="84">
        <f>母公司汇总抵销!N58</f>
        <v>0</v>
      </c>
      <c r="O58" s="859" t="str">
        <f>母公司汇总抵销!O58</f>
        <v>资 产 总 计</v>
      </c>
    </row>
    <row r="59" spans="1:15" s="23" customFormat="1">
      <c r="A59" s="1161"/>
      <c r="B59" s="1164"/>
      <c r="C59" s="1167"/>
      <c r="D59" s="17"/>
      <c r="E59" s="26" t="str">
        <f t="shared" si="14"/>
        <v/>
      </c>
      <c r="F59" s="313"/>
      <c r="G59" s="27"/>
      <c r="H59" s="26" t="str">
        <f t="shared" si="15"/>
        <v/>
      </c>
      <c r="I59" s="313"/>
      <c r="J59" s="142"/>
      <c r="N59" s="84">
        <f>母公司汇总抵销!N59</f>
        <v>0</v>
      </c>
      <c r="O59" s="859" t="str">
        <f>母公司汇总抵销!O59</f>
        <v/>
      </c>
    </row>
    <row r="60" spans="1:15" s="23" customFormat="1">
      <c r="A60" s="308"/>
      <c r="B60" s="308"/>
      <c r="C60" s="309"/>
      <c r="D60" s="310"/>
      <c r="E60" s="311"/>
      <c r="F60" s="311"/>
      <c r="G60" s="310"/>
      <c r="H60" s="311"/>
      <c r="I60" s="311"/>
      <c r="J60" s="755" t="str">
        <f>IF(ABS((SUMIF(E54:E59,"?*",J54:J59)-SUMIF(H54:H59,"?*",J54:J59)))&lt;0.005,"","借贷不等")</f>
        <v/>
      </c>
      <c r="N60" s="84">
        <f>母公司汇总抵销!N60</f>
        <v>0</v>
      </c>
      <c r="O60" s="859" t="str">
        <f>母公司汇总抵销!O60</f>
        <v/>
      </c>
    </row>
    <row r="61" spans="1:15" s="23" customFormat="1">
      <c r="A61" s="1159">
        <v>9</v>
      </c>
      <c r="B61" s="1162"/>
      <c r="C61" s="1165"/>
      <c r="D61" s="17"/>
      <c r="E61" s="26" t="str">
        <f t="shared" ref="E61:E66" si="16">IF(D61=0,"",VLOOKUP(D61,$N:$O,2,0))</f>
        <v/>
      </c>
      <c r="F61" s="313"/>
      <c r="G61" s="25"/>
      <c r="H61" s="21" t="str">
        <f t="shared" ref="H61:H66" si="17">IF(G61=0,"",VLOOKUP(G61,$N:$O,2,0))</f>
        <v/>
      </c>
      <c r="I61" s="313"/>
      <c r="J61" s="754"/>
      <c r="N61" s="84">
        <f>母公司汇总抵销!N61</f>
        <v>0</v>
      </c>
      <c r="O61" s="783" t="str">
        <f>母公司汇总抵销!O61</f>
        <v>流动负债：</v>
      </c>
    </row>
    <row r="62" spans="1:15" s="23" customFormat="1">
      <c r="A62" s="1160"/>
      <c r="B62" s="1163"/>
      <c r="C62" s="1166"/>
      <c r="D62" s="17"/>
      <c r="E62" s="26" t="str">
        <f t="shared" si="16"/>
        <v/>
      </c>
      <c r="F62" s="313"/>
      <c r="G62" s="27"/>
      <c r="H62" s="26" t="str">
        <f t="shared" si="17"/>
        <v/>
      </c>
      <c r="I62" s="313"/>
      <c r="J62" s="142"/>
      <c r="N62" s="84" t="str">
        <f>母公司汇总抵销!N62</f>
        <v>E1</v>
      </c>
      <c r="O62" s="28" t="str">
        <f>母公司汇总抵销!O62</f>
        <v>短期借款</v>
      </c>
    </row>
    <row r="63" spans="1:15" s="23" customFormat="1">
      <c r="A63" s="1160"/>
      <c r="B63" s="1163"/>
      <c r="C63" s="1166"/>
      <c r="D63" s="17"/>
      <c r="E63" s="26" t="str">
        <f t="shared" si="16"/>
        <v/>
      </c>
      <c r="F63" s="313"/>
      <c r="G63" s="27"/>
      <c r="H63" s="26" t="str">
        <f t="shared" si="17"/>
        <v/>
      </c>
      <c r="I63" s="313"/>
      <c r="J63" s="142"/>
      <c r="N63" s="84" t="str">
        <f>母公司汇总抵销!N63</f>
        <v>E24</v>
      </c>
      <c r="O63" s="28" t="str">
        <f>母公司汇总抵销!O63</f>
        <v>向中央银行借款</v>
      </c>
    </row>
    <row r="64" spans="1:15" s="23" customFormat="1">
      <c r="A64" s="1160"/>
      <c r="B64" s="1163"/>
      <c r="C64" s="1166"/>
      <c r="D64" s="17"/>
      <c r="E64" s="26" t="str">
        <f t="shared" si="16"/>
        <v/>
      </c>
      <c r="F64" s="313"/>
      <c r="G64" s="27"/>
      <c r="H64" s="26" t="str">
        <f t="shared" si="17"/>
        <v/>
      </c>
      <c r="I64" s="313"/>
      <c r="J64" s="142"/>
      <c r="N64" s="84" t="str">
        <f>母公司汇总抵销!N64</f>
        <v>E25</v>
      </c>
      <c r="O64" s="28" t="str">
        <f>母公司汇总抵销!O64</f>
        <v>吸收存款及同业存放</v>
      </c>
    </row>
    <row r="65" spans="1:15" s="23" customFormat="1">
      <c r="A65" s="1160"/>
      <c r="B65" s="1163"/>
      <c r="C65" s="1166"/>
      <c r="D65" s="17"/>
      <c r="E65" s="26" t="str">
        <f t="shared" si="16"/>
        <v/>
      </c>
      <c r="F65" s="313"/>
      <c r="G65" s="27"/>
      <c r="H65" s="26" t="str">
        <f t="shared" si="17"/>
        <v/>
      </c>
      <c r="I65" s="313"/>
      <c r="J65" s="142"/>
      <c r="N65" s="84" t="str">
        <f>母公司汇总抵销!N65</f>
        <v>E26</v>
      </c>
      <c r="O65" s="28" t="str">
        <f>母公司汇总抵销!O65</f>
        <v>拆入资金</v>
      </c>
    </row>
    <row r="66" spans="1:15" s="23" customFormat="1">
      <c r="A66" s="1161"/>
      <c r="B66" s="1164"/>
      <c r="C66" s="1167"/>
      <c r="D66" s="17"/>
      <c r="E66" s="26" t="str">
        <f t="shared" si="16"/>
        <v/>
      </c>
      <c r="F66" s="313"/>
      <c r="G66" s="27"/>
      <c r="H66" s="26" t="str">
        <f t="shared" si="17"/>
        <v/>
      </c>
      <c r="I66" s="313"/>
      <c r="J66" s="142"/>
      <c r="N66" s="84" t="str">
        <f>母公司汇总抵销!N66</f>
        <v>E2</v>
      </c>
      <c r="O66" s="28" t="str">
        <f>母公司汇总抵销!O66</f>
        <v>交易性金融负债</v>
      </c>
    </row>
    <row r="67" spans="1:15" s="23" customFormat="1">
      <c r="A67" s="308"/>
      <c r="B67" s="308"/>
      <c r="C67" s="309"/>
      <c r="D67" s="310"/>
      <c r="E67" s="311"/>
      <c r="F67" s="311"/>
      <c r="G67" s="310"/>
      <c r="H67" s="311"/>
      <c r="I67" s="311"/>
      <c r="J67" s="755" t="str">
        <f>IF(ABS((SUMIF(E61:E66,"?*",J61:J66)-SUMIF(H61:H66,"?*",J61:J66)))&lt;0.005,"","借贷不等")</f>
        <v/>
      </c>
      <c r="N67" s="84" t="str">
        <f>母公司汇总抵销!N67</f>
        <v>E3</v>
      </c>
      <c r="O67" s="28" t="str">
        <f>母公司汇总抵销!O67</f>
        <v>以公允价值计量且其变动计入当期损益的金融负债</v>
      </c>
    </row>
    <row r="68" spans="1:15" s="23" customFormat="1">
      <c r="A68" s="1159">
        <v>10</v>
      </c>
      <c r="B68" s="1162"/>
      <c r="C68" s="1165"/>
      <c r="D68" s="17"/>
      <c r="E68" s="26" t="str">
        <f t="shared" ref="E68:E73" si="18">IF(D68=0,"",VLOOKUP(D68,$N:$O,2,0))</f>
        <v/>
      </c>
      <c r="F68" s="313"/>
      <c r="G68" s="25"/>
      <c r="H68" s="21" t="str">
        <f t="shared" ref="H68:H73" si="19">IF(G68=0,"",VLOOKUP(G68,$N:$O,2,0))</f>
        <v/>
      </c>
      <c r="I68" s="313"/>
      <c r="J68" s="754"/>
      <c r="N68" s="84" t="str">
        <f>母公司汇总抵销!N68</f>
        <v>E4</v>
      </c>
      <c r="O68" s="28" t="str">
        <f>母公司汇总抵销!O68</f>
        <v>衍生金融负债</v>
      </c>
    </row>
    <row r="69" spans="1:15" s="23" customFormat="1">
      <c r="A69" s="1160"/>
      <c r="B69" s="1163"/>
      <c r="C69" s="1166"/>
      <c r="D69" s="17"/>
      <c r="E69" s="26" t="str">
        <f t="shared" si="18"/>
        <v/>
      </c>
      <c r="F69" s="313"/>
      <c r="G69" s="27"/>
      <c r="H69" s="26" t="str">
        <f t="shared" si="19"/>
        <v/>
      </c>
      <c r="I69" s="313"/>
      <c r="J69" s="142"/>
      <c r="N69" s="84" t="str">
        <f>母公司汇总抵销!N69</f>
        <v>E5</v>
      </c>
      <c r="O69" s="28" t="str">
        <f>母公司汇总抵销!O69</f>
        <v>应付票据</v>
      </c>
    </row>
    <row r="70" spans="1:15" s="23" customFormat="1">
      <c r="A70" s="1160"/>
      <c r="B70" s="1163"/>
      <c r="C70" s="1166"/>
      <c r="D70" s="17"/>
      <c r="E70" s="26" t="str">
        <f t="shared" si="18"/>
        <v/>
      </c>
      <c r="F70" s="313"/>
      <c r="G70" s="27"/>
      <c r="H70" s="26" t="str">
        <f t="shared" si="19"/>
        <v/>
      </c>
      <c r="I70" s="313"/>
      <c r="J70" s="142"/>
      <c r="N70" s="84" t="str">
        <f>母公司汇总抵销!N70</f>
        <v>E6</v>
      </c>
      <c r="O70" s="28" t="str">
        <f>母公司汇总抵销!O70</f>
        <v>应付账款</v>
      </c>
    </row>
    <row r="71" spans="1:15" s="23" customFormat="1">
      <c r="A71" s="1160"/>
      <c r="B71" s="1163"/>
      <c r="C71" s="1166"/>
      <c r="D71" s="17"/>
      <c r="E71" s="26" t="str">
        <f t="shared" si="18"/>
        <v/>
      </c>
      <c r="F71" s="313"/>
      <c r="G71" s="27"/>
      <c r="H71" s="26" t="str">
        <f t="shared" si="19"/>
        <v/>
      </c>
      <c r="I71" s="313"/>
      <c r="J71" s="142"/>
      <c r="N71" s="84" t="str">
        <f>母公司汇总抵销!N71</f>
        <v>E7</v>
      </c>
      <c r="O71" s="28" t="str">
        <f>母公司汇总抵销!O71</f>
        <v>预收款项</v>
      </c>
    </row>
    <row r="72" spans="1:15" s="23" customFormat="1">
      <c r="A72" s="1160"/>
      <c r="B72" s="1163"/>
      <c r="C72" s="1166"/>
      <c r="D72" s="17"/>
      <c r="E72" s="26" t="str">
        <f t="shared" si="18"/>
        <v/>
      </c>
      <c r="F72" s="313"/>
      <c r="G72" s="27"/>
      <c r="H72" s="26" t="str">
        <f t="shared" si="19"/>
        <v/>
      </c>
      <c r="I72" s="313"/>
      <c r="J72" s="142"/>
      <c r="N72" s="84" t="str">
        <f>母公司汇总抵销!N72</f>
        <v>E27</v>
      </c>
      <c r="O72" s="28" t="str">
        <f>母公司汇总抵销!O72</f>
        <v>卖出回购金融资产款</v>
      </c>
    </row>
    <row r="73" spans="1:15" s="23" customFormat="1">
      <c r="A73" s="1161"/>
      <c r="B73" s="1164"/>
      <c r="C73" s="1167"/>
      <c r="D73" s="17"/>
      <c r="E73" s="26" t="str">
        <f t="shared" si="18"/>
        <v/>
      </c>
      <c r="F73" s="313"/>
      <c r="G73" s="27"/>
      <c r="H73" s="26" t="str">
        <f t="shared" si="19"/>
        <v/>
      </c>
      <c r="I73" s="313"/>
      <c r="J73" s="142"/>
      <c r="N73" s="84" t="str">
        <f>母公司汇总抵销!N73</f>
        <v>E28</v>
      </c>
      <c r="O73" s="28" t="str">
        <f>母公司汇总抵销!O73</f>
        <v>应付手续费及佣金</v>
      </c>
    </row>
    <row r="74" spans="1:15" s="23" customFormat="1">
      <c r="A74" s="308"/>
      <c r="B74" s="308"/>
      <c r="C74" s="309"/>
      <c r="D74" s="310"/>
      <c r="E74" s="311"/>
      <c r="F74" s="311"/>
      <c r="G74" s="310"/>
      <c r="H74" s="311"/>
      <c r="I74" s="311"/>
      <c r="J74" s="755" t="str">
        <f>IF(ABS((SUMIF(E68:E73,"?*",J68:J73)-SUMIF(H68:H73,"?*",J68:J73)))&lt;0.005,"","借贷不等")</f>
        <v/>
      </c>
      <c r="N74" s="84" t="str">
        <f>母公司汇总抵销!N74</f>
        <v>E8</v>
      </c>
      <c r="O74" s="28" t="str">
        <f>母公司汇总抵销!O74</f>
        <v>合同负债</v>
      </c>
    </row>
    <row r="75" spans="1:15" s="23" customFormat="1">
      <c r="A75" s="1159">
        <v>11</v>
      </c>
      <c r="B75" s="1162"/>
      <c r="C75" s="1165"/>
      <c r="D75" s="17"/>
      <c r="E75" s="26" t="str">
        <f t="shared" ref="E75:E80" si="20">IF(D75=0,"",VLOOKUP(D75,$N:$O,2,0))</f>
        <v/>
      </c>
      <c r="F75" s="313"/>
      <c r="G75" s="25"/>
      <c r="H75" s="21" t="str">
        <f t="shared" ref="H75:H80" si="21">IF(G75=0,"",VLOOKUP(G75,$N:$O,2,0))</f>
        <v/>
      </c>
      <c r="I75" s="313"/>
      <c r="J75" s="754"/>
      <c r="N75" s="84" t="str">
        <f>母公司汇总抵销!N75</f>
        <v>E9</v>
      </c>
      <c r="O75" s="28" t="str">
        <f>母公司汇总抵销!O75</f>
        <v>应付职工薪酬</v>
      </c>
    </row>
    <row r="76" spans="1:15" s="23" customFormat="1">
      <c r="A76" s="1160"/>
      <c r="B76" s="1163"/>
      <c r="C76" s="1166"/>
      <c r="D76" s="17"/>
      <c r="E76" s="26" t="str">
        <f t="shared" si="20"/>
        <v/>
      </c>
      <c r="F76" s="313"/>
      <c r="G76" s="27"/>
      <c r="H76" s="26" t="str">
        <f t="shared" si="21"/>
        <v/>
      </c>
      <c r="I76" s="313"/>
      <c r="J76" s="142"/>
      <c r="N76" s="84" t="str">
        <f>母公司汇总抵销!N76</f>
        <v>E10</v>
      </c>
      <c r="O76" s="28" t="str">
        <f>母公司汇总抵销!O76</f>
        <v>应交税费</v>
      </c>
    </row>
    <row r="77" spans="1:15" s="23" customFormat="1">
      <c r="A77" s="1160"/>
      <c r="B77" s="1163"/>
      <c r="C77" s="1166"/>
      <c r="D77" s="17"/>
      <c r="E77" s="26" t="str">
        <f t="shared" si="20"/>
        <v/>
      </c>
      <c r="F77" s="313"/>
      <c r="G77" s="27"/>
      <c r="H77" s="26" t="str">
        <f t="shared" si="21"/>
        <v/>
      </c>
      <c r="I77" s="313"/>
      <c r="J77" s="142"/>
      <c r="N77" s="84" t="str">
        <f>母公司汇总抵销!N77</f>
        <v>E11</v>
      </c>
      <c r="O77" s="28" t="str">
        <f>母公司汇总抵销!O77</f>
        <v>其他应付款</v>
      </c>
    </row>
    <row r="78" spans="1:15" s="23" customFormat="1">
      <c r="A78" s="1160"/>
      <c r="B78" s="1163"/>
      <c r="C78" s="1166"/>
      <c r="D78" s="17"/>
      <c r="E78" s="26" t="str">
        <f t="shared" si="20"/>
        <v/>
      </c>
      <c r="F78" s="313"/>
      <c r="G78" s="27"/>
      <c r="H78" s="26" t="str">
        <f t="shared" si="21"/>
        <v/>
      </c>
      <c r="I78" s="313"/>
      <c r="J78" s="142"/>
      <c r="N78" s="84">
        <f>母公司汇总抵销!N78</f>
        <v>0</v>
      </c>
      <c r="O78" s="28" t="str">
        <f>母公司汇总抵销!O78</f>
        <v>应付利息</v>
      </c>
    </row>
    <row r="79" spans="1:15" s="23" customFormat="1">
      <c r="A79" s="1160"/>
      <c r="B79" s="1163"/>
      <c r="C79" s="1166"/>
      <c r="D79" s="17"/>
      <c r="E79" s="26" t="str">
        <f t="shared" si="20"/>
        <v/>
      </c>
      <c r="F79" s="313"/>
      <c r="G79" s="27"/>
      <c r="H79" s="26" t="str">
        <f t="shared" si="21"/>
        <v/>
      </c>
      <c r="I79" s="313"/>
      <c r="J79" s="142"/>
      <c r="N79" s="84">
        <f>母公司汇总抵销!N79</f>
        <v>0</v>
      </c>
      <c r="O79" s="28" t="str">
        <f>母公司汇总抵销!O79</f>
        <v>应付股利</v>
      </c>
    </row>
    <row r="80" spans="1:15" s="23" customFormat="1">
      <c r="A80" s="1161"/>
      <c r="B80" s="1164"/>
      <c r="C80" s="1167"/>
      <c r="D80" s="17"/>
      <c r="E80" s="26" t="str">
        <f t="shared" si="20"/>
        <v/>
      </c>
      <c r="F80" s="313"/>
      <c r="G80" s="27"/>
      <c r="H80" s="26" t="str">
        <f t="shared" si="21"/>
        <v/>
      </c>
      <c r="I80" s="313"/>
      <c r="J80" s="142"/>
      <c r="N80" s="84" t="str">
        <f>母公司汇总抵销!N80</f>
        <v>E29</v>
      </c>
      <c r="O80" s="28" t="str">
        <f>母公司汇总抵销!O80</f>
        <v>应付分保账款</v>
      </c>
    </row>
    <row r="81" spans="1:15" s="23" customFormat="1">
      <c r="A81" s="308"/>
      <c r="B81" s="308"/>
      <c r="C81" s="309"/>
      <c r="D81" s="310"/>
      <c r="E81" s="311"/>
      <c r="F81" s="311"/>
      <c r="G81" s="310"/>
      <c r="H81" s="311"/>
      <c r="I81" s="311"/>
      <c r="J81" s="755" t="str">
        <f>IF(ABS((SUMIF(E75:E80,"?*",J75:J80)-SUMIF(H75:H80,"?*",J75:J80)))&lt;0.005,"","借贷不等")</f>
        <v/>
      </c>
      <c r="N81" s="84" t="str">
        <f>母公司汇总抵销!N81</f>
        <v>E30</v>
      </c>
      <c r="O81" s="28" t="str">
        <f>母公司汇总抵销!O81</f>
        <v>保险合同准备金</v>
      </c>
    </row>
    <row r="82" spans="1:15" s="23" customFormat="1">
      <c r="A82" s="1159">
        <v>12</v>
      </c>
      <c r="B82" s="1162"/>
      <c r="C82" s="1165"/>
      <c r="D82" s="17"/>
      <c r="E82" s="26" t="str">
        <f t="shared" ref="E82:E87" si="22">IF(D82=0,"",VLOOKUP(D82,$N:$O,2,0))</f>
        <v/>
      </c>
      <c r="F82" s="313"/>
      <c r="G82" s="25"/>
      <c r="H82" s="21" t="str">
        <f t="shared" ref="H82:H87" si="23">IF(G82=0,"",VLOOKUP(G82,$N:$O,2,0))</f>
        <v/>
      </c>
      <c r="I82" s="313"/>
      <c r="J82" s="754"/>
      <c r="N82" s="84" t="str">
        <f>母公司汇总抵销!N82</f>
        <v>E31</v>
      </c>
      <c r="O82" s="28" t="str">
        <f>母公司汇总抵销!O82</f>
        <v>代理买卖证券款</v>
      </c>
    </row>
    <row r="83" spans="1:15" s="23" customFormat="1">
      <c r="A83" s="1160"/>
      <c r="B83" s="1163"/>
      <c r="C83" s="1166"/>
      <c r="D83" s="17"/>
      <c r="E83" s="26" t="str">
        <f t="shared" si="22"/>
        <v/>
      </c>
      <c r="F83" s="313"/>
      <c r="G83" s="27"/>
      <c r="H83" s="26" t="str">
        <f t="shared" si="23"/>
        <v/>
      </c>
      <c r="I83" s="313"/>
      <c r="J83" s="142"/>
      <c r="N83" s="84" t="str">
        <f>母公司汇总抵销!N83</f>
        <v>E32</v>
      </c>
      <c r="O83" s="28" t="str">
        <f>母公司汇总抵销!O83</f>
        <v>代理承销证券款</v>
      </c>
    </row>
    <row r="84" spans="1:15" s="23" customFormat="1">
      <c r="A84" s="1160"/>
      <c r="B84" s="1163"/>
      <c r="C84" s="1166"/>
      <c r="D84" s="17"/>
      <c r="E84" s="26" t="str">
        <f t="shared" si="22"/>
        <v/>
      </c>
      <c r="F84" s="313"/>
      <c r="G84" s="27"/>
      <c r="H84" s="26" t="str">
        <f t="shared" si="23"/>
        <v/>
      </c>
      <c r="I84" s="313"/>
      <c r="J84" s="142"/>
      <c r="N84" s="84" t="str">
        <f>母公司汇总抵销!N84</f>
        <v>E12</v>
      </c>
      <c r="O84" s="28" t="str">
        <f>母公司汇总抵销!O84</f>
        <v>持有待售负债</v>
      </c>
    </row>
    <row r="85" spans="1:15" s="23" customFormat="1">
      <c r="A85" s="1160"/>
      <c r="B85" s="1163"/>
      <c r="C85" s="1166"/>
      <c r="D85" s="17"/>
      <c r="E85" s="26" t="str">
        <f t="shared" si="22"/>
        <v/>
      </c>
      <c r="F85" s="313"/>
      <c r="G85" s="27"/>
      <c r="H85" s="26" t="str">
        <f t="shared" si="23"/>
        <v/>
      </c>
      <c r="I85" s="313"/>
      <c r="J85" s="142"/>
      <c r="N85" s="84" t="str">
        <f>母公司汇总抵销!N85</f>
        <v>E13</v>
      </c>
      <c r="O85" s="28" t="str">
        <f>母公司汇总抵销!O85</f>
        <v>一年内到期的非流动负债</v>
      </c>
    </row>
    <row r="86" spans="1:15" s="23" customFormat="1">
      <c r="A86" s="1160"/>
      <c r="B86" s="1163"/>
      <c r="C86" s="1166"/>
      <c r="D86" s="17"/>
      <c r="E86" s="26" t="str">
        <f t="shared" si="22"/>
        <v/>
      </c>
      <c r="F86" s="313"/>
      <c r="G86" s="27"/>
      <c r="H86" s="26" t="str">
        <f t="shared" si="23"/>
        <v/>
      </c>
      <c r="I86" s="313"/>
      <c r="J86" s="142"/>
      <c r="N86" s="84" t="str">
        <f>母公司汇总抵销!N86</f>
        <v>E14</v>
      </c>
      <c r="O86" s="28" t="str">
        <f>母公司汇总抵销!O86</f>
        <v>其他流动负债</v>
      </c>
    </row>
    <row r="87" spans="1:15" s="23" customFormat="1">
      <c r="A87" s="1161"/>
      <c r="B87" s="1164"/>
      <c r="C87" s="1167"/>
      <c r="D87" s="17"/>
      <c r="E87" s="26" t="str">
        <f t="shared" si="22"/>
        <v/>
      </c>
      <c r="F87" s="313"/>
      <c r="G87" s="27"/>
      <c r="H87" s="26" t="str">
        <f t="shared" si="23"/>
        <v/>
      </c>
      <c r="I87" s="313"/>
      <c r="J87" s="142"/>
      <c r="N87" s="84">
        <f>母公司汇总抵销!N87</f>
        <v>0</v>
      </c>
      <c r="O87" s="859" t="str">
        <f>母公司汇总抵销!O87</f>
        <v>流动负债合计</v>
      </c>
    </row>
    <row r="88" spans="1:15" s="23" customFormat="1">
      <c r="A88" s="308"/>
      <c r="B88" s="308"/>
      <c r="C88" s="309"/>
      <c r="D88" s="310"/>
      <c r="E88" s="311"/>
      <c r="F88" s="311"/>
      <c r="G88" s="310"/>
      <c r="H88" s="311"/>
      <c r="I88" s="311"/>
      <c r="J88" s="755" t="str">
        <f>IF(ABS((SUMIF(E82:E87,"?*",J82:J87)-SUMIF(H82:H87,"?*",J82:J87)))&lt;0.005,"","借贷不等")</f>
        <v/>
      </c>
      <c r="N88" s="84">
        <f>母公司汇总抵销!N88</f>
        <v>0</v>
      </c>
      <c r="O88" s="783" t="str">
        <f>母公司汇总抵销!O88</f>
        <v>非流动负债:</v>
      </c>
    </row>
    <row r="89" spans="1:15" s="23" customFormat="1">
      <c r="A89" s="1159">
        <v>13</v>
      </c>
      <c r="B89" s="1162"/>
      <c r="C89" s="1165"/>
      <c r="D89" s="17"/>
      <c r="E89" s="26" t="str">
        <f t="shared" ref="E89:E94" si="24">IF(D89=0,"",VLOOKUP(D89,$N:$O,2,0))</f>
        <v/>
      </c>
      <c r="F89" s="313"/>
      <c r="G89" s="25"/>
      <c r="H89" s="21" t="str">
        <f t="shared" ref="H89:H94" si="25">IF(G89=0,"",VLOOKUP(G89,$N:$O,2,0))</f>
        <v/>
      </c>
      <c r="I89" s="313"/>
      <c r="J89" s="754"/>
      <c r="N89" s="84" t="str">
        <f>母公司汇总抵销!N89</f>
        <v>E15</v>
      </c>
      <c r="O89" s="28" t="str">
        <f>母公司汇总抵销!O89</f>
        <v>长期借款</v>
      </c>
    </row>
    <row r="90" spans="1:15" s="23" customFormat="1">
      <c r="A90" s="1160"/>
      <c r="B90" s="1163"/>
      <c r="C90" s="1166"/>
      <c r="D90" s="17"/>
      <c r="E90" s="26" t="str">
        <f t="shared" si="24"/>
        <v/>
      </c>
      <c r="F90" s="313"/>
      <c r="G90" s="27"/>
      <c r="H90" s="26" t="str">
        <f t="shared" si="25"/>
        <v/>
      </c>
      <c r="I90" s="313"/>
      <c r="J90" s="142"/>
      <c r="N90" s="84" t="str">
        <f>母公司汇总抵销!N90</f>
        <v>E16</v>
      </c>
      <c r="O90" s="28" t="str">
        <f>母公司汇总抵销!O90</f>
        <v>应付债券</v>
      </c>
    </row>
    <row r="91" spans="1:15" s="23" customFormat="1">
      <c r="A91" s="1160"/>
      <c r="B91" s="1163"/>
      <c r="C91" s="1166"/>
      <c r="D91" s="17"/>
      <c r="E91" s="26" t="str">
        <f t="shared" si="24"/>
        <v/>
      </c>
      <c r="F91" s="313"/>
      <c r="G91" s="27"/>
      <c r="H91" s="26" t="str">
        <f t="shared" si="25"/>
        <v/>
      </c>
      <c r="I91" s="313"/>
      <c r="J91" s="142"/>
      <c r="N91" s="84">
        <f>母公司汇总抵销!N91</f>
        <v>0</v>
      </c>
      <c r="O91" s="28" t="str">
        <f>母公司汇总抵销!O91</f>
        <v>优先股</v>
      </c>
    </row>
    <row r="92" spans="1:15" s="23" customFormat="1">
      <c r="A92" s="1160"/>
      <c r="B92" s="1163"/>
      <c r="C92" s="1166"/>
      <c r="D92" s="17"/>
      <c r="E92" s="26" t="str">
        <f t="shared" si="24"/>
        <v/>
      </c>
      <c r="F92" s="313"/>
      <c r="G92" s="27"/>
      <c r="H92" s="26" t="str">
        <f t="shared" si="25"/>
        <v/>
      </c>
      <c r="I92" s="313"/>
      <c r="J92" s="142"/>
      <c r="N92" s="84">
        <f>母公司汇总抵销!N92</f>
        <v>0</v>
      </c>
      <c r="O92" s="28" t="str">
        <f>母公司汇总抵销!O92</f>
        <v>永续债</v>
      </c>
    </row>
    <row r="93" spans="1:15" s="23" customFormat="1">
      <c r="A93" s="1160"/>
      <c r="B93" s="1163"/>
      <c r="C93" s="1166"/>
      <c r="D93" s="17"/>
      <c r="E93" s="26" t="str">
        <f t="shared" si="24"/>
        <v/>
      </c>
      <c r="F93" s="313"/>
      <c r="G93" s="27"/>
      <c r="H93" s="26" t="str">
        <f t="shared" si="25"/>
        <v/>
      </c>
      <c r="I93" s="313"/>
      <c r="J93" s="142"/>
      <c r="N93" s="84" t="str">
        <f>母公司汇总抵销!N93</f>
        <v>E17</v>
      </c>
      <c r="O93" s="28" t="str">
        <f>母公司汇总抵销!O93</f>
        <v>租赁负债</v>
      </c>
    </row>
    <row r="94" spans="1:15" s="23" customFormat="1">
      <c r="A94" s="1161"/>
      <c r="B94" s="1164"/>
      <c r="C94" s="1167"/>
      <c r="D94" s="17"/>
      <c r="E94" s="26" t="str">
        <f t="shared" si="24"/>
        <v/>
      </c>
      <c r="F94" s="313"/>
      <c r="G94" s="27"/>
      <c r="H94" s="26" t="str">
        <f t="shared" si="25"/>
        <v/>
      </c>
      <c r="I94" s="313"/>
      <c r="J94" s="142"/>
      <c r="N94" s="84" t="str">
        <f>母公司汇总抵销!N94</f>
        <v>E18</v>
      </c>
      <c r="O94" s="28" t="str">
        <f>母公司汇总抵销!O94</f>
        <v>长期应付款</v>
      </c>
    </row>
    <row r="95" spans="1:15" s="23" customFormat="1">
      <c r="A95" s="308"/>
      <c r="B95" s="308"/>
      <c r="C95" s="309"/>
      <c r="D95" s="310"/>
      <c r="E95" s="311"/>
      <c r="F95" s="311"/>
      <c r="G95" s="310"/>
      <c r="H95" s="311"/>
      <c r="I95" s="311"/>
      <c r="J95" s="755" t="str">
        <f>IF(ABS((SUMIF(E89:E94,"?*",J89:J94)-SUMIF(H89:H94,"?*",J89:J94)))&lt;0.005,"","借贷不等")</f>
        <v/>
      </c>
      <c r="N95" s="84" t="str">
        <f>母公司汇总抵销!N95</f>
        <v>E19</v>
      </c>
      <c r="O95" s="28" t="str">
        <f>母公司汇总抵销!O95</f>
        <v>长期应付职工薪酬</v>
      </c>
    </row>
    <row r="96" spans="1:15" s="23" customFormat="1">
      <c r="A96" s="1159">
        <v>14</v>
      </c>
      <c r="B96" s="1162"/>
      <c r="C96" s="1165"/>
      <c r="D96" s="17"/>
      <c r="E96" s="26" t="str">
        <f t="shared" ref="E96:E101" si="26">IF(D96=0,"",VLOOKUP(D96,$N:$O,2,0))</f>
        <v/>
      </c>
      <c r="F96" s="313"/>
      <c r="G96" s="25"/>
      <c r="H96" s="21" t="str">
        <f t="shared" ref="H96:H101" si="27">IF(G96=0,"",VLOOKUP(G96,$N:$O,2,0))</f>
        <v/>
      </c>
      <c r="I96" s="313"/>
      <c r="J96" s="754"/>
      <c r="N96" s="84" t="str">
        <f>母公司汇总抵销!N96</f>
        <v>E20</v>
      </c>
      <c r="O96" s="28" t="str">
        <f>母公司汇总抵销!O96</f>
        <v>预计负债</v>
      </c>
    </row>
    <row r="97" spans="1:15" s="23" customFormat="1">
      <c r="A97" s="1160"/>
      <c r="B97" s="1163"/>
      <c r="C97" s="1166"/>
      <c r="D97" s="17"/>
      <c r="E97" s="26" t="str">
        <f t="shared" si="26"/>
        <v/>
      </c>
      <c r="F97" s="313"/>
      <c r="G97" s="27"/>
      <c r="H97" s="26" t="str">
        <f t="shared" si="27"/>
        <v/>
      </c>
      <c r="I97" s="313"/>
      <c r="J97" s="142"/>
      <c r="N97" s="84" t="str">
        <f>母公司汇总抵销!N97</f>
        <v>E21</v>
      </c>
      <c r="O97" s="28" t="str">
        <f>母公司汇总抵销!O97</f>
        <v>递延收益</v>
      </c>
    </row>
    <row r="98" spans="1:15" s="23" customFormat="1">
      <c r="A98" s="1160"/>
      <c r="B98" s="1163"/>
      <c r="C98" s="1166"/>
      <c r="D98" s="17"/>
      <c r="E98" s="26" t="str">
        <f t="shared" si="26"/>
        <v/>
      </c>
      <c r="F98" s="313"/>
      <c r="G98" s="27"/>
      <c r="H98" s="26" t="str">
        <f t="shared" si="27"/>
        <v/>
      </c>
      <c r="I98" s="313"/>
      <c r="J98" s="142"/>
      <c r="N98" s="84" t="str">
        <f>母公司汇总抵销!N98</f>
        <v>E22</v>
      </c>
      <c r="O98" s="28" t="str">
        <f>母公司汇总抵销!O98</f>
        <v>递延所得税负债</v>
      </c>
    </row>
    <row r="99" spans="1:15" s="23" customFormat="1">
      <c r="A99" s="1160"/>
      <c r="B99" s="1163"/>
      <c r="C99" s="1166"/>
      <c r="D99" s="17"/>
      <c r="E99" s="26" t="str">
        <f t="shared" si="26"/>
        <v/>
      </c>
      <c r="F99" s="313"/>
      <c r="G99" s="27"/>
      <c r="H99" s="26" t="str">
        <f t="shared" si="27"/>
        <v/>
      </c>
      <c r="I99" s="313"/>
      <c r="J99" s="142"/>
      <c r="N99" s="84" t="str">
        <f>母公司汇总抵销!N99</f>
        <v>E23</v>
      </c>
      <c r="O99" s="28" t="str">
        <f>母公司汇总抵销!O99</f>
        <v>其他非流动负债</v>
      </c>
    </row>
    <row r="100" spans="1:15" s="23" customFormat="1">
      <c r="A100" s="1160"/>
      <c r="B100" s="1163"/>
      <c r="C100" s="1166"/>
      <c r="D100" s="17"/>
      <c r="E100" s="26" t="str">
        <f t="shared" si="26"/>
        <v/>
      </c>
      <c r="F100" s="313"/>
      <c r="G100" s="27"/>
      <c r="H100" s="26" t="str">
        <f t="shared" si="27"/>
        <v/>
      </c>
      <c r="I100" s="313"/>
      <c r="J100" s="142"/>
      <c r="N100" s="84">
        <f>母公司汇总抵销!N100</f>
        <v>0</v>
      </c>
      <c r="O100" s="859" t="str">
        <f>母公司汇总抵销!O100</f>
        <v>非流动负债合计</v>
      </c>
    </row>
    <row r="101" spans="1:15" s="23" customFormat="1">
      <c r="A101" s="1161"/>
      <c r="B101" s="1164"/>
      <c r="C101" s="1167"/>
      <c r="D101" s="17"/>
      <c r="E101" s="26" t="str">
        <f t="shared" si="26"/>
        <v/>
      </c>
      <c r="F101" s="313"/>
      <c r="G101" s="27"/>
      <c r="H101" s="26" t="str">
        <f t="shared" si="27"/>
        <v/>
      </c>
      <c r="I101" s="313"/>
      <c r="J101" s="142"/>
      <c r="N101" s="84">
        <f>母公司汇总抵销!N101</f>
        <v>0</v>
      </c>
      <c r="O101" s="859" t="str">
        <f>母公司汇总抵销!O101</f>
        <v>负 债 合 计</v>
      </c>
    </row>
    <row r="102" spans="1:15" s="23" customFormat="1">
      <c r="A102" s="308"/>
      <c r="B102" s="308"/>
      <c r="C102" s="309"/>
      <c r="D102" s="310"/>
      <c r="E102" s="311"/>
      <c r="F102" s="311"/>
      <c r="G102" s="310"/>
      <c r="H102" s="311"/>
      <c r="I102" s="311"/>
      <c r="J102" s="755" t="str">
        <f>IF(ABS((SUMIF(E96:E101,"?*",J96:J101)-SUMIF(H96:H101,"?*",J96:J101)))&lt;0.005,"","借贷不等")</f>
        <v/>
      </c>
      <c r="N102" s="84">
        <f>母公司汇总抵销!N102</f>
        <v>0</v>
      </c>
      <c r="O102" s="783" t="str">
        <f>母公司汇总抵销!O102</f>
        <v>股东权益：</v>
      </c>
    </row>
    <row r="103" spans="1:15" s="23" customFormat="1">
      <c r="A103" s="1159">
        <v>15</v>
      </c>
      <c r="B103" s="1162"/>
      <c r="C103" s="1165"/>
      <c r="D103" s="17"/>
      <c r="E103" s="26" t="str">
        <f t="shared" ref="E103:E108" si="28">IF(D103=0,"",VLOOKUP(D103,$N:$O,2,0))</f>
        <v/>
      </c>
      <c r="F103" s="313"/>
      <c r="G103" s="25"/>
      <c r="H103" s="21" t="str">
        <f t="shared" ref="H103:H108" si="29">IF(G103=0,"",VLOOKUP(G103,$N:$O,2,0))</f>
        <v/>
      </c>
      <c r="I103" s="313"/>
      <c r="J103" s="754"/>
      <c r="N103" s="84" t="str">
        <f>母公司汇总抵销!N103</f>
        <v>F1</v>
      </c>
      <c r="O103" s="28" t="str">
        <f>母公司汇总抵销!O103</f>
        <v>股本</v>
      </c>
    </row>
    <row r="104" spans="1:15" s="23" customFormat="1">
      <c r="A104" s="1160"/>
      <c r="B104" s="1163"/>
      <c r="C104" s="1166"/>
      <c r="D104" s="17"/>
      <c r="E104" s="26" t="str">
        <f t="shared" si="28"/>
        <v/>
      </c>
      <c r="F104" s="313"/>
      <c r="G104" s="27"/>
      <c r="H104" s="26" t="str">
        <f t="shared" si="29"/>
        <v/>
      </c>
      <c r="I104" s="313"/>
      <c r="J104" s="142"/>
      <c r="N104" s="84" t="str">
        <f>母公司汇总抵销!N104</f>
        <v>F2</v>
      </c>
      <c r="O104" s="28" t="str">
        <f>母公司汇总抵销!O104</f>
        <v>其他权益工具</v>
      </c>
    </row>
    <row r="105" spans="1:15" s="23" customFormat="1">
      <c r="A105" s="1160"/>
      <c r="B105" s="1163"/>
      <c r="C105" s="1166"/>
      <c r="D105" s="17"/>
      <c r="E105" s="26" t="str">
        <f t="shared" si="28"/>
        <v/>
      </c>
      <c r="F105" s="313"/>
      <c r="G105" s="27"/>
      <c r="H105" s="26" t="str">
        <f t="shared" si="29"/>
        <v/>
      </c>
      <c r="I105" s="313"/>
      <c r="J105" s="142"/>
      <c r="N105" s="84">
        <f>母公司汇总抵销!N105</f>
        <v>0</v>
      </c>
      <c r="O105" s="28" t="str">
        <f>母公司汇总抵销!O105</f>
        <v>优先股</v>
      </c>
    </row>
    <row r="106" spans="1:15" s="23" customFormat="1">
      <c r="A106" s="1160"/>
      <c r="B106" s="1163"/>
      <c r="C106" s="1166"/>
      <c r="D106" s="17"/>
      <c r="E106" s="26" t="str">
        <f t="shared" si="28"/>
        <v/>
      </c>
      <c r="F106" s="313"/>
      <c r="G106" s="27"/>
      <c r="H106" s="26" t="str">
        <f t="shared" si="29"/>
        <v/>
      </c>
      <c r="I106" s="313"/>
      <c r="J106" s="142"/>
      <c r="N106" s="84">
        <f>母公司汇总抵销!N106</f>
        <v>0</v>
      </c>
      <c r="O106" s="28" t="str">
        <f>母公司汇总抵销!O106</f>
        <v>永续债</v>
      </c>
    </row>
    <row r="107" spans="1:15" s="23" customFormat="1">
      <c r="A107" s="1160"/>
      <c r="B107" s="1163"/>
      <c r="C107" s="1166"/>
      <c r="D107" s="17"/>
      <c r="E107" s="26" t="str">
        <f t="shared" si="28"/>
        <v/>
      </c>
      <c r="F107" s="313"/>
      <c r="G107" s="27"/>
      <c r="H107" s="26" t="str">
        <f t="shared" si="29"/>
        <v/>
      </c>
      <c r="I107" s="313"/>
      <c r="J107" s="142"/>
      <c r="N107" s="84" t="str">
        <f>母公司汇总抵销!N107</f>
        <v>F3</v>
      </c>
      <c r="O107" s="28" t="str">
        <f>母公司汇总抵销!O107</f>
        <v>资本公积</v>
      </c>
    </row>
    <row r="108" spans="1:15" s="23" customFormat="1">
      <c r="A108" s="1161"/>
      <c r="B108" s="1164"/>
      <c r="C108" s="1167"/>
      <c r="D108" s="17"/>
      <c r="E108" s="26" t="str">
        <f t="shared" si="28"/>
        <v/>
      </c>
      <c r="F108" s="313"/>
      <c r="G108" s="27"/>
      <c r="H108" s="26" t="str">
        <f t="shared" si="29"/>
        <v/>
      </c>
      <c r="I108" s="313"/>
      <c r="J108" s="142"/>
      <c r="N108" s="84" t="str">
        <f>母公司汇总抵销!N108</f>
        <v>F4</v>
      </c>
      <c r="O108" s="28" t="str">
        <f>母公司汇总抵销!O108</f>
        <v>库存股</v>
      </c>
    </row>
    <row r="109" spans="1:15" s="23" customFormat="1">
      <c r="A109" s="308"/>
      <c r="B109" s="308"/>
      <c r="C109" s="309"/>
      <c r="D109" s="310"/>
      <c r="E109" s="311"/>
      <c r="F109" s="311"/>
      <c r="G109" s="310"/>
      <c r="H109" s="311"/>
      <c r="I109" s="311"/>
      <c r="J109" s="755" t="str">
        <f>IF(ABS((SUMIF(E103:E108,"?*",J103:J108)-SUMIF(H103:H108,"?*",J103:J108)))&lt;0.005,"","借贷不等")</f>
        <v/>
      </c>
      <c r="N109" s="84" t="str">
        <f>母公司汇总抵销!N109</f>
        <v>F5</v>
      </c>
      <c r="O109" s="28" t="str">
        <f>母公司汇总抵销!O109</f>
        <v>其他综合收益</v>
      </c>
    </row>
    <row r="110" spans="1:15" s="23" customFormat="1">
      <c r="A110" s="1159">
        <v>16</v>
      </c>
      <c r="B110" s="1162"/>
      <c r="C110" s="1165"/>
      <c r="D110" s="17"/>
      <c r="E110" s="26" t="str">
        <f t="shared" ref="E110:E115" si="30">IF(D110=0,"",VLOOKUP(D110,$N:$O,2,0))</f>
        <v/>
      </c>
      <c r="F110" s="313"/>
      <c r="G110" s="25"/>
      <c r="H110" s="21" t="str">
        <f t="shared" ref="H110:H115" si="31">IF(G110=0,"",VLOOKUP(G110,$N:$O,2,0))</f>
        <v/>
      </c>
      <c r="I110" s="313"/>
      <c r="J110" s="754"/>
      <c r="N110" s="84" t="str">
        <f>母公司汇总抵销!N110</f>
        <v>F6</v>
      </c>
      <c r="O110" s="28" t="str">
        <f>母公司汇总抵销!O110</f>
        <v>专项储备</v>
      </c>
    </row>
    <row r="111" spans="1:15" s="23" customFormat="1">
      <c r="A111" s="1160"/>
      <c r="B111" s="1163"/>
      <c r="C111" s="1166"/>
      <c r="D111" s="17"/>
      <c r="E111" s="26" t="str">
        <f t="shared" si="30"/>
        <v/>
      </c>
      <c r="F111" s="313"/>
      <c r="G111" s="27"/>
      <c r="H111" s="26" t="str">
        <f t="shared" si="31"/>
        <v/>
      </c>
      <c r="I111" s="313"/>
      <c r="J111" s="142"/>
      <c r="N111" s="84" t="str">
        <f>母公司汇总抵销!N111</f>
        <v>F7</v>
      </c>
      <c r="O111" s="28" t="str">
        <f>母公司汇总抵销!O111</f>
        <v>盈余公积</v>
      </c>
    </row>
    <row r="112" spans="1:15" s="23" customFormat="1">
      <c r="A112" s="1160"/>
      <c r="B112" s="1163"/>
      <c r="C112" s="1166"/>
      <c r="D112" s="17"/>
      <c r="E112" s="26" t="str">
        <f t="shared" si="30"/>
        <v/>
      </c>
      <c r="F112" s="313"/>
      <c r="G112" s="27"/>
      <c r="H112" s="26" t="str">
        <f t="shared" si="31"/>
        <v/>
      </c>
      <c r="I112" s="313"/>
      <c r="J112" s="142"/>
      <c r="N112" s="84" t="str">
        <f>母公司汇总抵销!N112</f>
        <v>F10</v>
      </c>
      <c r="O112" s="28" t="str">
        <f>母公司汇总抵销!O112</f>
        <v>一般风险准备</v>
      </c>
    </row>
    <row r="113" spans="1:15" s="23" customFormat="1">
      <c r="A113" s="1160"/>
      <c r="B113" s="1163"/>
      <c r="C113" s="1166"/>
      <c r="D113" s="17"/>
      <c r="E113" s="26" t="str">
        <f t="shared" si="30"/>
        <v/>
      </c>
      <c r="F113" s="313"/>
      <c r="G113" s="27"/>
      <c r="H113" s="26" t="str">
        <f t="shared" si="31"/>
        <v/>
      </c>
      <c r="I113" s="313"/>
      <c r="J113" s="142"/>
      <c r="N113" s="84" t="str">
        <f>母公司汇总抵销!N113</f>
        <v>F8</v>
      </c>
      <c r="O113" s="28" t="str">
        <f>母公司汇总抵销!O113</f>
        <v>未分配利润</v>
      </c>
    </row>
    <row r="114" spans="1:15" s="23" customFormat="1">
      <c r="A114" s="1160"/>
      <c r="B114" s="1163"/>
      <c r="C114" s="1166"/>
      <c r="D114" s="17"/>
      <c r="E114" s="26" t="str">
        <f t="shared" si="30"/>
        <v/>
      </c>
      <c r="F114" s="313"/>
      <c r="G114" s="27"/>
      <c r="H114" s="26" t="str">
        <f t="shared" si="31"/>
        <v/>
      </c>
      <c r="I114" s="313"/>
      <c r="J114" s="142"/>
      <c r="N114" s="84">
        <f>母公司汇总抵销!N114</f>
        <v>0</v>
      </c>
      <c r="O114" s="28" t="str">
        <f>母公司汇总抵销!O114</f>
        <v>归属于母公司股东权益合计</v>
      </c>
    </row>
    <row r="115" spans="1:15" s="23" customFormat="1">
      <c r="A115" s="1161"/>
      <c r="B115" s="1164"/>
      <c r="C115" s="1167"/>
      <c r="D115" s="17"/>
      <c r="E115" s="26" t="str">
        <f t="shared" si="30"/>
        <v/>
      </c>
      <c r="F115" s="313"/>
      <c r="G115" s="27"/>
      <c r="H115" s="26" t="str">
        <f t="shared" si="31"/>
        <v/>
      </c>
      <c r="I115" s="313"/>
      <c r="J115" s="142"/>
      <c r="N115" s="84" t="str">
        <f>母公司汇总抵销!N115</f>
        <v>F9</v>
      </c>
      <c r="O115" s="28" t="str">
        <f>母公司汇总抵销!O115</f>
        <v>少数股东权益</v>
      </c>
    </row>
    <row r="116" spans="1:15" s="23" customFormat="1">
      <c r="A116" s="308"/>
      <c r="B116" s="308"/>
      <c r="C116" s="309"/>
      <c r="D116" s="310"/>
      <c r="E116" s="311"/>
      <c r="F116" s="311"/>
      <c r="G116" s="310"/>
      <c r="H116" s="311"/>
      <c r="I116" s="311"/>
      <c r="J116" s="755" t="str">
        <f>IF(ABS((SUMIF(E110:E115,"?*",J110:J115)-SUMIF(H110:H115,"?*",J110:J115)))&lt;0.005,"","借贷不等")</f>
        <v/>
      </c>
      <c r="N116" s="84">
        <f>母公司汇总抵销!N116</f>
        <v>0</v>
      </c>
      <c r="O116" s="859" t="str">
        <f>母公司汇总抵销!O116</f>
        <v>股东权益合计</v>
      </c>
    </row>
    <row r="117" spans="1:15" s="23" customFormat="1">
      <c r="A117" s="1159">
        <v>17</v>
      </c>
      <c r="B117" s="1162"/>
      <c r="C117" s="1165"/>
      <c r="D117" s="17"/>
      <c r="E117" s="26" t="str">
        <f t="shared" ref="E117:E122" si="32">IF(D117=0,"",VLOOKUP(D117,$N:$O,2,0))</f>
        <v/>
      </c>
      <c r="F117" s="313"/>
      <c r="G117" s="25"/>
      <c r="H117" s="21" t="str">
        <f t="shared" ref="H117:H122" si="33">IF(G117=0,"",VLOOKUP(G117,$N:$O,2,0))</f>
        <v/>
      </c>
      <c r="I117" s="313"/>
      <c r="J117" s="754"/>
      <c r="N117" s="84">
        <f>母公司汇总抵销!N117</f>
        <v>0</v>
      </c>
      <c r="O117" s="859" t="str">
        <f>母公司汇总抵销!O117</f>
        <v>负债和股东权益合计</v>
      </c>
    </row>
    <row r="118" spans="1:15" s="23" customFormat="1">
      <c r="A118" s="1160"/>
      <c r="B118" s="1163"/>
      <c r="C118" s="1166"/>
      <c r="D118" s="17"/>
      <c r="E118" s="26" t="str">
        <f t="shared" si="32"/>
        <v/>
      </c>
      <c r="F118" s="313"/>
      <c r="G118" s="27"/>
      <c r="H118" s="26" t="str">
        <f t="shared" si="33"/>
        <v/>
      </c>
      <c r="I118" s="313"/>
      <c r="J118" s="142"/>
      <c r="N118" s="84">
        <f>母公司汇总抵销!N118</f>
        <v>0</v>
      </c>
      <c r="O118" s="28" t="str">
        <f>母公司汇总抵销!O118</f>
        <v>0</v>
      </c>
    </row>
    <row r="119" spans="1:15" s="23" customFormat="1">
      <c r="A119" s="1160"/>
      <c r="B119" s="1163"/>
      <c r="C119" s="1166"/>
      <c r="D119" s="17"/>
      <c r="E119" s="26" t="str">
        <f t="shared" si="32"/>
        <v/>
      </c>
      <c r="F119" s="313"/>
      <c r="G119" s="27"/>
      <c r="H119" s="26" t="str">
        <f t="shared" si="33"/>
        <v/>
      </c>
      <c r="I119" s="313"/>
      <c r="J119" s="142"/>
      <c r="N119" s="84">
        <f>母公司汇总抵销!N119</f>
        <v>0</v>
      </c>
      <c r="O119" s="28" t="str">
        <f>母公司汇总抵销!O119</f>
        <v>0</v>
      </c>
    </row>
    <row r="120" spans="1:15" s="23" customFormat="1">
      <c r="A120" s="1160"/>
      <c r="B120" s="1163"/>
      <c r="C120" s="1166"/>
      <c r="D120" s="17"/>
      <c r="E120" s="26" t="str">
        <f t="shared" si="32"/>
        <v/>
      </c>
      <c r="F120" s="313"/>
      <c r="G120" s="27"/>
      <c r="H120" s="26" t="str">
        <f t="shared" si="33"/>
        <v/>
      </c>
      <c r="I120" s="313"/>
      <c r="J120" s="142"/>
      <c r="N120" s="84">
        <f>母公司汇总抵销!N120</f>
        <v>0</v>
      </c>
      <c r="O120" s="28" t="str">
        <f>母公司汇总抵销!O120</f>
        <v/>
      </c>
    </row>
    <row r="121" spans="1:15" s="23" customFormat="1">
      <c r="A121" s="1160"/>
      <c r="B121" s="1163"/>
      <c r="C121" s="1166"/>
      <c r="D121" s="17"/>
      <c r="E121" s="26" t="str">
        <f t="shared" si="32"/>
        <v/>
      </c>
      <c r="F121" s="313"/>
      <c r="G121" s="27"/>
      <c r="H121" s="26" t="str">
        <f t="shared" si="33"/>
        <v/>
      </c>
      <c r="I121" s="313"/>
      <c r="J121" s="142"/>
      <c r="N121" s="84" t="str">
        <f>母公司汇总抵销!N121</f>
        <v>G1</v>
      </c>
      <c r="O121" s="782" t="str">
        <f>母公司汇总抵销!O121</f>
        <v>营业收入</v>
      </c>
    </row>
    <row r="122" spans="1:15" s="23" customFormat="1">
      <c r="A122" s="1161"/>
      <c r="B122" s="1164"/>
      <c r="C122" s="1167"/>
      <c r="D122" s="17"/>
      <c r="E122" s="26" t="str">
        <f t="shared" si="32"/>
        <v/>
      </c>
      <c r="F122" s="313"/>
      <c r="G122" s="27"/>
      <c r="H122" s="26" t="str">
        <f t="shared" si="33"/>
        <v/>
      </c>
      <c r="I122" s="313"/>
      <c r="J122" s="142"/>
      <c r="N122" s="84">
        <f>母公司汇总抵销!N122</f>
        <v>0</v>
      </c>
      <c r="O122" s="28" t="str">
        <f>母公司汇总抵销!O122</f>
        <v>主营业务收入</v>
      </c>
    </row>
    <row r="123" spans="1:15" s="23" customFormat="1">
      <c r="A123" s="308"/>
      <c r="B123" s="308"/>
      <c r="C123" s="309"/>
      <c r="D123" s="310"/>
      <c r="E123" s="311"/>
      <c r="F123" s="311"/>
      <c r="G123" s="310"/>
      <c r="H123" s="311"/>
      <c r="I123" s="311"/>
      <c r="J123" s="755" t="str">
        <f>IF(ABS((SUMIF(E117:E122,"?*",J117:J122)-SUMIF(H117:H122,"?*",J117:J122)))&lt;0.005,"","借贷不等")</f>
        <v/>
      </c>
      <c r="N123" s="84">
        <f>母公司汇总抵销!N123</f>
        <v>0</v>
      </c>
      <c r="O123" s="28" t="str">
        <f>母公司汇总抵销!O123</f>
        <v>利息收入</v>
      </c>
    </row>
    <row r="124" spans="1:15" s="23" customFormat="1">
      <c r="A124" s="1159">
        <v>18</v>
      </c>
      <c r="B124" s="1162"/>
      <c r="C124" s="1165"/>
      <c r="D124" s="17"/>
      <c r="E124" s="26" t="str">
        <f t="shared" ref="E124:E129" si="34">IF(D124=0,"",VLOOKUP(D124,$N:$O,2,0))</f>
        <v/>
      </c>
      <c r="F124" s="313"/>
      <c r="G124" s="25"/>
      <c r="H124" s="21" t="str">
        <f t="shared" ref="H124:H129" si="35">IF(G124=0,"",VLOOKUP(G124,$N:$O,2,0))</f>
        <v/>
      </c>
      <c r="I124" s="313"/>
      <c r="J124" s="754"/>
      <c r="N124" s="84">
        <f>母公司汇总抵销!N124</f>
        <v>0</v>
      </c>
      <c r="O124" s="28" t="str">
        <f>母公司汇总抵销!O124</f>
        <v>已赚保费</v>
      </c>
    </row>
    <row r="125" spans="1:15" s="23" customFormat="1">
      <c r="A125" s="1160"/>
      <c r="B125" s="1163"/>
      <c r="C125" s="1166"/>
      <c r="D125" s="17"/>
      <c r="E125" s="26" t="str">
        <f t="shared" si="34"/>
        <v/>
      </c>
      <c r="F125" s="313"/>
      <c r="G125" s="27"/>
      <c r="H125" s="26" t="str">
        <f t="shared" si="35"/>
        <v/>
      </c>
      <c r="I125" s="313"/>
      <c r="J125" s="142"/>
      <c r="N125" s="84">
        <f>母公司汇总抵销!N125</f>
        <v>0</v>
      </c>
      <c r="O125" s="28" t="str">
        <f>母公司汇总抵销!O125</f>
        <v>手续费及佣金收入</v>
      </c>
    </row>
    <row r="126" spans="1:15" s="23" customFormat="1">
      <c r="A126" s="1160"/>
      <c r="B126" s="1163"/>
      <c r="C126" s="1166"/>
      <c r="D126" s="17"/>
      <c r="E126" s="26" t="str">
        <f t="shared" si="34"/>
        <v/>
      </c>
      <c r="F126" s="313"/>
      <c r="G126" s="27"/>
      <c r="H126" s="26" t="str">
        <f t="shared" si="35"/>
        <v/>
      </c>
      <c r="I126" s="313"/>
      <c r="J126" s="142"/>
      <c r="N126" s="84">
        <f>母公司汇总抵销!N126</f>
        <v>0</v>
      </c>
      <c r="O126" s="28" t="str">
        <f>母公司汇总抵销!O126</f>
        <v>其他业务收入</v>
      </c>
    </row>
    <row r="127" spans="1:15" s="23" customFormat="1">
      <c r="A127" s="1160"/>
      <c r="B127" s="1163"/>
      <c r="C127" s="1166"/>
      <c r="D127" s="17"/>
      <c r="E127" s="26" t="str">
        <f t="shared" si="34"/>
        <v/>
      </c>
      <c r="F127" s="313"/>
      <c r="G127" s="27"/>
      <c r="H127" s="26" t="str">
        <f t="shared" si="35"/>
        <v/>
      </c>
      <c r="I127" s="313"/>
      <c r="J127" s="142"/>
      <c r="N127" s="84" t="str">
        <f>母公司汇总抵销!N127</f>
        <v>G2</v>
      </c>
      <c r="O127" s="782" t="str">
        <f>母公司汇总抵销!O127</f>
        <v>营业成本</v>
      </c>
    </row>
    <row r="128" spans="1:15" s="23" customFormat="1">
      <c r="A128" s="1160"/>
      <c r="B128" s="1163"/>
      <c r="C128" s="1166"/>
      <c r="D128" s="17"/>
      <c r="E128" s="26" t="str">
        <f t="shared" si="34"/>
        <v/>
      </c>
      <c r="F128" s="313"/>
      <c r="G128" s="27"/>
      <c r="H128" s="26" t="str">
        <f t="shared" si="35"/>
        <v/>
      </c>
      <c r="I128" s="313"/>
      <c r="J128" s="142"/>
      <c r="N128" s="84">
        <f>母公司汇总抵销!N128</f>
        <v>0</v>
      </c>
      <c r="O128" s="28" t="str">
        <f>母公司汇总抵销!O128</f>
        <v>主营业务成本</v>
      </c>
    </row>
    <row r="129" spans="1:15" s="23" customFormat="1">
      <c r="A129" s="1161"/>
      <c r="B129" s="1164"/>
      <c r="C129" s="1167"/>
      <c r="D129" s="17"/>
      <c r="E129" s="26" t="str">
        <f t="shared" si="34"/>
        <v/>
      </c>
      <c r="F129" s="313"/>
      <c r="G129" s="27"/>
      <c r="H129" s="26" t="str">
        <f t="shared" si="35"/>
        <v/>
      </c>
      <c r="I129" s="313"/>
      <c r="J129" s="142"/>
      <c r="N129" s="84">
        <f>母公司汇总抵销!N129</f>
        <v>0</v>
      </c>
      <c r="O129" s="28" t="str">
        <f>母公司汇总抵销!O129</f>
        <v>利息支出</v>
      </c>
    </row>
    <row r="130" spans="1:15" s="23" customFormat="1">
      <c r="A130" s="308"/>
      <c r="B130" s="308"/>
      <c r="C130" s="309"/>
      <c r="D130" s="310"/>
      <c r="E130" s="311"/>
      <c r="F130" s="311"/>
      <c r="G130" s="310"/>
      <c r="H130" s="311"/>
      <c r="I130" s="311"/>
      <c r="J130" s="755" t="str">
        <f>IF(ABS((SUMIF(E124:E129,"?*",J124:J129)-SUMIF(H124:H129,"?*",J124:J129)))&lt;0.005,"","借贷不等")</f>
        <v/>
      </c>
      <c r="N130" s="84">
        <f>母公司汇总抵销!N130</f>
        <v>0</v>
      </c>
      <c r="O130" s="28" t="str">
        <f>母公司汇总抵销!O130</f>
        <v>手续费及佣金支出</v>
      </c>
    </row>
    <row r="131" spans="1:15" s="23" customFormat="1">
      <c r="A131" s="1159">
        <v>19</v>
      </c>
      <c r="B131" s="1162"/>
      <c r="C131" s="1165"/>
      <c r="D131" s="17"/>
      <c r="E131" s="26" t="str">
        <f t="shared" ref="E131:E136" si="36">IF(D131=0,"",VLOOKUP(D131,$N:$O,2,0))</f>
        <v/>
      </c>
      <c r="F131" s="313"/>
      <c r="G131" s="25"/>
      <c r="H131" s="21" t="str">
        <f t="shared" ref="H131:H136" si="37">IF(G131=0,"",VLOOKUP(G131,$N:$O,2,0))</f>
        <v/>
      </c>
      <c r="I131" s="313"/>
      <c r="J131" s="754"/>
      <c r="N131" s="84">
        <f>母公司汇总抵销!N131</f>
        <v>0</v>
      </c>
      <c r="O131" s="28" t="str">
        <f>母公司汇总抵销!O131</f>
        <v>退保金</v>
      </c>
    </row>
    <row r="132" spans="1:15" s="23" customFormat="1">
      <c r="A132" s="1160"/>
      <c r="B132" s="1163"/>
      <c r="C132" s="1166"/>
      <c r="D132" s="17"/>
      <c r="E132" s="26" t="str">
        <f t="shared" si="36"/>
        <v/>
      </c>
      <c r="F132" s="313"/>
      <c r="G132" s="27"/>
      <c r="H132" s="26" t="str">
        <f t="shared" si="37"/>
        <v/>
      </c>
      <c r="I132" s="313"/>
      <c r="J132" s="142"/>
      <c r="N132" s="84">
        <f>母公司汇总抵销!N132</f>
        <v>0</v>
      </c>
      <c r="O132" s="28" t="str">
        <f>母公司汇总抵销!O132</f>
        <v>赔付支出净额</v>
      </c>
    </row>
    <row r="133" spans="1:15" s="23" customFormat="1">
      <c r="A133" s="1160"/>
      <c r="B133" s="1163"/>
      <c r="C133" s="1166"/>
      <c r="D133" s="17"/>
      <c r="E133" s="26" t="str">
        <f t="shared" si="36"/>
        <v/>
      </c>
      <c r="F133" s="313"/>
      <c r="G133" s="27"/>
      <c r="H133" s="26" t="str">
        <f t="shared" si="37"/>
        <v/>
      </c>
      <c r="I133" s="313"/>
      <c r="J133" s="142"/>
      <c r="N133" s="84">
        <f>母公司汇总抵销!N133</f>
        <v>0</v>
      </c>
      <c r="O133" s="28" t="str">
        <f>母公司汇总抵销!O133</f>
        <v>提取保险合同准备金净额</v>
      </c>
    </row>
    <row r="134" spans="1:15" s="23" customFormat="1">
      <c r="A134" s="1160"/>
      <c r="B134" s="1163"/>
      <c r="C134" s="1166"/>
      <c r="D134" s="17"/>
      <c r="E134" s="26" t="str">
        <f t="shared" si="36"/>
        <v/>
      </c>
      <c r="F134" s="313"/>
      <c r="G134" s="27"/>
      <c r="H134" s="26" t="str">
        <f t="shared" si="37"/>
        <v/>
      </c>
      <c r="I134" s="313"/>
      <c r="J134" s="142"/>
      <c r="N134" s="84">
        <f>母公司汇总抵销!N134</f>
        <v>0</v>
      </c>
      <c r="O134" s="28" t="str">
        <f>母公司汇总抵销!O134</f>
        <v>保单红利支出</v>
      </c>
    </row>
    <row r="135" spans="1:15" s="23" customFormat="1">
      <c r="A135" s="1160"/>
      <c r="B135" s="1163"/>
      <c r="C135" s="1166"/>
      <c r="D135" s="17"/>
      <c r="E135" s="26" t="str">
        <f t="shared" si="36"/>
        <v/>
      </c>
      <c r="F135" s="313"/>
      <c r="G135" s="27"/>
      <c r="H135" s="26" t="str">
        <f t="shared" si="37"/>
        <v/>
      </c>
      <c r="I135" s="313"/>
      <c r="J135" s="142"/>
      <c r="N135" s="84">
        <f>母公司汇总抵销!N135</f>
        <v>0</v>
      </c>
      <c r="O135" s="28" t="str">
        <f>母公司汇总抵销!O135</f>
        <v>分保费用</v>
      </c>
    </row>
    <row r="136" spans="1:15" s="23" customFormat="1">
      <c r="A136" s="1161"/>
      <c r="B136" s="1164"/>
      <c r="C136" s="1167"/>
      <c r="D136" s="17"/>
      <c r="E136" s="26" t="str">
        <f t="shared" si="36"/>
        <v/>
      </c>
      <c r="F136" s="313"/>
      <c r="G136" s="27"/>
      <c r="H136" s="26" t="str">
        <f t="shared" si="37"/>
        <v/>
      </c>
      <c r="I136" s="313"/>
      <c r="J136" s="142"/>
      <c r="N136" s="84">
        <f>母公司汇总抵销!N136</f>
        <v>0</v>
      </c>
      <c r="O136" s="28" t="str">
        <f>母公司汇总抵销!O136</f>
        <v>其他业务成本</v>
      </c>
    </row>
    <row r="137" spans="1:15" s="23" customFormat="1">
      <c r="A137" s="308"/>
      <c r="B137" s="308"/>
      <c r="C137" s="309"/>
      <c r="D137" s="310"/>
      <c r="E137" s="311"/>
      <c r="F137" s="311"/>
      <c r="G137" s="310"/>
      <c r="H137" s="311"/>
      <c r="I137" s="311"/>
      <c r="J137" s="755" t="str">
        <f>IF(ABS((SUMIF(E131:E136,"?*",J131:J136)-SUMIF(H131:H136,"?*",J131:J136)))&lt;0.005,"","借贷不等")</f>
        <v/>
      </c>
      <c r="N137" s="84" t="str">
        <f>母公司汇总抵销!N137</f>
        <v>G3</v>
      </c>
      <c r="O137" s="28" t="str">
        <f>母公司汇总抵销!O137</f>
        <v>税金及附加</v>
      </c>
    </row>
    <row r="138" spans="1:15" s="23" customFormat="1">
      <c r="A138" s="1159">
        <v>20</v>
      </c>
      <c r="B138" s="1162"/>
      <c r="C138" s="1165"/>
      <c r="D138" s="17"/>
      <c r="E138" s="26" t="str">
        <f t="shared" ref="E138:E143" si="38">IF(D138=0,"",VLOOKUP(D138,$N:$O,2,0))</f>
        <v/>
      </c>
      <c r="F138" s="313"/>
      <c r="G138" s="25"/>
      <c r="H138" s="21" t="str">
        <f t="shared" ref="H138:H143" si="39">IF(G138=0,"",VLOOKUP(G138,$N:$O,2,0))</f>
        <v/>
      </c>
      <c r="I138" s="313"/>
      <c r="J138" s="754"/>
      <c r="N138" s="84" t="str">
        <f>母公司汇总抵销!N138</f>
        <v>G4</v>
      </c>
      <c r="O138" s="28" t="str">
        <f>母公司汇总抵销!O138</f>
        <v>销售费用</v>
      </c>
    </row>
    <row r="139" spans="1:15" s="23" customFormat="1">
      <c r="A139" s="1160"/>
      <c r="B139" s="1163"/>
      <c r="C139" s="1166"/>
      <c r="D139" s="17"/>
      <c r="E139" s="26" t="str">
        <f t="shared" si="38"/>
        <v/>
      </c>
      <c r="F139" s="313"/>
      <c r="G139" s="27"/>
      <c r="H139" s="26" t="str">
        <f t="shared" si="39"/>
        <v/>
      </c>
      <c r="I139" s="313"/>
      <c r="J139" s="142"/>
      <c r="N139" s="84" t="str">
        <f>母公司汇总抵销!N139</f>
        <v>G5</v>
      </c>
      <c r="O139" s="28" t="str">
        <f>母公司汇总抵销!O139</f>
        <v>管理费用</v>
      </c>
    </row>
    <row r="140" spans="1:15" s="23" customFormat="1">
      <c r="A140" s="1160"/>
      <c r="B140" s="1163"/>
      <c r="C140" s="1166"/>
      <c r="D140" s="17"/>
      <c r="E140" s="26" t="str">
        <f t="shared" si="38"/>
        <v/>
      </c>
      <c r="F140" s="313"/>
      <c r="G140" s="27"/>
      <c r="H140" s="26" t="str">
        <f t="shared" si="39"/>
        <v/>
      </c>
      <c r="I140" s="313"/>
      <c r="J140" s="142"/>
      <c r="N140" s="84" t="str">
        <f>母公司汇总抵销!N140</f>
        <v>G6</v>
      </c>
      <c r="O140" s="28" t="str">
        <f>母公司汇总抵销!O140</f>
        <v>研发费用</v>
      </c>
    </row>
    <row r="141" spans="1:15" s="23" customFormat="1">
      <c r="A141" s="1160"/>
      <c r="B141" s="1163"/>
      <c r="C141" s="1166"/>
      <c r="D141" s="17"/>
      <c r="E141" s="26" t="str">
        <f t="shared" si="38"/>
        <v/>
      </c>
      <c r="F141" s="313"/>
      <c r="G141" s="27"/>
      <c r="H141" s="26" t="str">
        <f t="shared" si="39"/>
        <v/>
      </c>
      <c r="I141" s="313"/>
      <c r="J141" s="142"/>
      <c r="N141" s="84" t="str">
        <f>母公司汇总抵销!N141</f>
        <v>G7</v>
      </c>
      <c r="O141" s="28" t="str">
        <f>母公司汇总抵销!O141</f>
        <v>财务费用</v>
      </c>
    </row>
    <row r="142" spans="1:15" s="23" customFormat="1">
      <c r="A142" s="1160"/>
      <c r="B142" s="1163"/>
      <c r="C142" s="1166"/>
      <c r="D142" s="17"/>
      <c r="E142" s="26" t="str">
        <f t="shared" si="38"/>
        <v/>
      </c>
      <c r="F142" s="313"/>
      <c r="G142" s="27"/>
      <c r="H142" s="26" t="str">
        <f t="shared" si="39"/>
        <v/>
      </c>
      <c r="I142" s="313"/>
      <c r="J142" s="142"/>
      <c r="N142" s="84">
        <f>母公司汇总抵销!N142</f>
        <v>0</v>
      </c>
      <c r="O142" s="28" t="str">
        <f>母公司汇总抵销!O142</f>
        <v>利息费用</v>
      </c>
    </row>
    <row r="143" spans="1:15" s="23" customFormat="1">
      <c r="A143" s="1161"/>
      <c r="B143" s="1164"/>
      <c r="C143" s="1167"/>
      <c r="D143" s="17"/>
      <c r="E143" s="26" t="str">
        <f t="shared" si="38"/>
        <v/>
      </c>
      <c r="F143" s="313"/>
      <c r="G143" s="27"/>
      <c r="H143" s="26" t="str">
        <f t="shared" si="39"/>
        <v/>
      </c>
      <c r="I143" s="313"/>
      <c r="J143" s="142"/>
      <c r="N143" s="84">
        <f>母公司汇总抵销!N143</f>
        <v>0</v>
      </c>
      <c r="O143" s="28" t="str">
        <f>母公司汇总抵销!O143</f>
        <v>利息收入</v>
      </c>
    </row>
    <row r="144" spans="1:15" s="23" customFormat="1">
      <c r="A144" s="308"/>
      <c r="B144" s="308"/>
      <c r="C144" s="309"/>
      <c r="D144" s="310"/>
      <c r="E144" s="311"/>
      <c r="F144" s="311"/>
      <c r="G144" s="310"/>
      <c r="H144" s="311"/>
      <c r="I144" s="311"/>
      <c r="J144" s="755" t="str">
        <f>IF(ABS((SUMIF(E138:E143,"?*",J138:J143)-SUMIF(H138:H143,"?*",J138:J143)))&lt;0.005,"","借贷不等")</f>
        <v/>
      </c>
      <c r="N144" s="84" t="str">
        <f>母公司汇总抵销!N144</f>
        <v>G8</v>
      </c>
      <c r="O144" s="28" t="str">
        <f>母公司汇总抵销!O144</f>
        <v>其他收益</v>
      </c>
    </row>
    <row r="145" spans="1:15" s="23" customFormat="1">
      <c r="A145" s="1159">
        <v>21</v>
      </c>
      <c r="B145" s="1162"/>
      <c r="C145" s="1165"/>
      <c r="D145" s="17"/>
      <c r="E145" s="26" t="str">
        <f t="shared" ref="E145:E150" si="40">IF(D145=0,"",VLOOKUP(D145,$N:$O,2,0))</f>
        <v/>
      </c>
      <c r="F145" s="313"/>
      <c r="G145" s="25"/>
      <c r="H145" s="21" t="str">
        <f t="shared" ref="H145:H150" si="41">IF(G145=0,"",VLOOKUP(G145,$N:$O,2,0))</f>
        <v/>
      </c>
      <c r="I145" s="313"/>
      <c r="J145" s="754"/>
      <c r="N145" s="84" t="str">
        <f>母公司汇总抵销!N145</f>
        <v>G9</v>
      </c>
      <c r="O145" s="28" t="str">
        <f>母公司汇总抵销!O145</f>
        <v>投资收益</v>
      </c>
    </row>
    <row r="146" spans="1:15" s="23" customFormat="1">
      <c r="A146" s="1160"/>
      <c r="B146" s="1163"/>
      <c r="C146" s="1166"/>
      <c r="D146" s="17"/>
      <c r="E146" s="26" t="str">
        <f t="shared" si="40"/>
        <v/>
      </c>
      <c r="F146" s="313"/>
      <c r="G146" s="27"/>
      <c r="H146" s="26" t="str">
        <f t="shared" si="41"/>
        <v/>
      </c>
      <c r="I146" s="313"/>
      <c r="J146" s="142"/>
      <c r="N146" s="84">
        <f>母公司汇总抵销!N146</f>
        <v>0</v>
      </c>
      <c r="O146" s="28" t="str">
        <f>母公司汇总抵销!O146</f>
        <v>对联营企业和合营企业的投资收益</v>
      </c>
    </row>
    <row r="147" spans="1:15" s="23" customFormat="1">
      <c r="A147" s="1160"/>
      <c r="B147" s="1163"/>
      <c r="C147" s="1166"/>
      <c r="D147" s="17"/>
      <c r="E147" s="26" t="str">
        <f t="shared" si="40"/>
        <v/>
      </c>
      <c r="F147" s="313"/>
      <c r="G147" s="27"/>
      <c r="H147" s="26" t="str">
        <f t="shared" si="41"/>
        <v/>
      </c>
      <c r="I147" s="313"/>
      <c r="J147" s="142"/>
      <c r="N147" s="84">
        <f>母公司汇总抵销!N147</f>
        <v>0</v>
      </c>
      <c r="O147" s="28" t="str">
        <f>母公司汇总抵销!O147</f>
        <v>以摊余成本计量的金融资产终止确认收益</v>
      </c>
    </row>
    <row r="148" spans="1:15" s="23" customFormat="1">
      <c r="A148" s="1160"/>
      <c r="B148" s="1163"/>
      <c r="C148" s="1166"/>
      <c r="D148" s="17"/>
      <c r="E148" s="26" t="str">
        <f t="shared" si="40"/>
        <v/>
      </c>
      <c r="F148" s="313"/>
      <c r="G148" s="27"/>
      <c r="H148" s="26" t="str">
        <f t="shared" si="41"/>
        <v/>
      </c>
      <c r="I148" s="313"/>
      <c r="J148" s="142"/>
      <c r="N148" s="84" t="str">
        <f>母公司汇总抵销!N148</f>
        <v>G10</v>
      </c>
      <c r="O148" s="28" t="str">
        <f>母公司汇总抵销!O148</f>
        <v>净敞口套期收益</v>
      </c>
    </row>
    <row r="149" spans="1:15" s="23" customFormat="1">
      <c r="A149" s="1160"/>
      <c r="B149" s="1163"/>
      <c r="C149" s="1166"/>
      <c r="D149" s="17"/>
      <c r="E149" s="26" t="str">
        <f t="shared" si="40"/>
        <v/>
      </c>
      <c r="F149" s="313"/>
      <c r="G149" s="27"/>
      <c r="H149" s="26" t="str">
        <f t="shared" si="41"/>
        <v/>
      </c>
      <c r="I149" s="313"/>
      <c r="J149" s="142"/>
      <c r="N149" s="84" t="str">
        <f>母公司汇总抵销!N149</f>
        <v>G11</v>
      </c>
      <c r="O149" s="28" t="str">
        <f>母公司汇总抵销!O149</f>
        <v>公允价值变动收益</v>
      </c>
    </row>
    <row r="150" spans="1:15" s="23" customFormat="1">
      <c r="A150" s="1161"/>
      <c r="B150" s="1164"/>
      <c r="C150" s="1167"/>
      <c r="D150" s="17"/>
      <c r="E150" s="26" t="str">
        <f t="shared" si="40"/>
        <v/>
      </c>
      <c r="F150" s="313"/>
      <c r="G150" s="27"/>
      <c r="H150" s="26" t="str">
        <f t="shared" si="41"/>
        <v/>
      </c>
      <c r="I150" s="313"/>
      <c r="J150" s="142"/>
      <c r="N150" s="84" t="str">
        <f>母公司汇总抵销!N150</f>
        <v>G12</v>
      </c>
      <c r="O150" s="28" t="str">
        <f>母公司汇总抵销!O150</f>
        <v>信用减值损失(损</v>
      </c>
    </row>
    <row r="151" spans="1:15" s="23" customFormat="1">
      <c r="A151" s="308"/>
      <c r="B151" s="308"/>
      <c r="C151" s="309"/>
      <c r="D151" s="310"/>
      <c r="E151" s="311"/>
      <c r="F151" s="311"/>
      <c r="G151" s="310"/>
      <c r="H151" s="311"/>
      <c r="I151" s="311"/>
      <c r="J151" s="755" t="str">
        <f>IF(ABS((SUMIF(E145:E150,"?*",J145:J150)-SUMIF(H145:H150,"?*",J145:J150)))&lt;0.005,"","借贷不等")</f>
        <v/>
      </c>
      <c r="N151" s="84" t="str">
        <f>母公司汇总抵销!N151</f>
        <v>G13</v>
      </c>
      <c r="O151" s="28" t="str">
        <f>母公司汇总抵销!O151</f>
        <v>资产减值损失</v>
      </c>
    </row>
    <row r="152" spans="1:15" s="23" customFormat="1">
      <c r="A152" s="1159">
        <v>22</v>
      </c>
      <c r="B152" s="1162"/>
      <c r="C152" s="1165"/>
      <c r="D152" s="17"/>
      <c r="E152" s="26" t="str">
        <f t="shared" ref="E152:E157" si="42">IF(D152=0,"",VLOOKUP(D152,$N:$O,2,0))</f>
        <v/>
      </c>
      <c r="F152" s="313"/>
      <c r="G152" s="25"/>
      <c r="H152" s="21" t="str">
        <f t="shared" ref="H152:H157" si="43">IF(G152=0,"",VLOOKUP(G152,$N:$O,2,0))</f>
        <v/>
      </c>
      <c r="I152" s="313"/>
      <c r="J152" s="754"/>
      <c r="N152" s="84" t="str">
        <f>母公司汇总抵销!N152</f>
        <v>G14</v>
      </c>
      <c r="O152" s="28" t="str">
        <f>母公司汇总抵销!O152</f>
        <v>资产处置收益</v>
      </c>
    </row>
    <row r="153" spans="1:15" s="23" customFormat="1">
      <c r="A153" s="1160"/>
      <c r="B153" s="1163"/>
      <c r="C153" s="1166"/>
      <c r="D153" s="17"/>
      <c r="E153" s="26" t="str">
        <f t="shared" si="42"/>
        <v/>
      </c>
      <c r="F153" s="313"/>
      <c r="G153" s="27"/>
      <c r="H153" s="26" t="str">
        <f t="shared" si="43"/>
        <v/>
      </c>
      <c r="I153" s="313"/>
      <c r="J153" s="142"/>
      <c r="N153" s="84">
        <f>母公司汇总抵销!N153</f>
        <v>0</v>
      </c>
      <c r="O153" s="782" t="str">
        <f>母公司汇总抵销!O153</f>
        <v>营业利润</v>
      </c>
    </row>
    <row r="154" spans="1:15" s="23" customFormat="1">
      <c r="A154" s="1160"/>
      <c r="B154" s="1163"/>
      <c r="C154" s="1166"/>
      <c r="D154" s="17"/>
      <c r="E154" s="26" t="str">
        <f t="shared" si="42"/>
        <v/>
      </c>
      <c r="F154" s="313"/>
      <c r="G154" s="27"/>
      <c r="H154" s="26" t="str">
        <f t="shared" si="43"/>
        <v/>
      </c>
      <c r="I154" s="313"/>
      <c r="J154" s="142"/>
      <c r="N154" s="84" t="str">
        <f>母公司汇总抵销!N154</f>
        <v>G15</v>
      </c>
      <c r="O154" s="28" t="str">
        <f>母公司汇总抵销!O154</f>
        <v>营业外收入</v>
      </c>
    </row>
    <row r="155" spans="1:15" s="23" customFormat="1">
      <c r="A155" s="1160"/>
      <c r="B155" s="1163"/>
      <c r="C155" s="1166"/>
      <c r="D155" s="17"/>
      <c r="E155" s="26" t="str">
        <f t="shared" si="42"/>
        <v/>
      </c>
      <c r="F155" s="313"/>
      <c r="G155" s="27"/>
      <c r="H155" s="26" t="str">
        <f t="shared" si="43"/>
        <v/>
      </c>
      <c r="I155" s="313"/>
      <c r="J155" s="142"/>
      <c r="N155" s="84" t="str">
        <f>母公司汇总抵销!N155</f>
        <v>G16</v>
      </c>
      <c r="O155" s="28" t="str">
        <f>母公司汇总抵销!O155</f>
        <v>营业外支出</v>
      </c>
    </row>
    <row r="156" spans="1:15" s="23" customFormat="1">
      <c r="A156" s="1160"/>
      <c r="B156" s="1163"/>
      <c r="C156" s="1166"/>
      <c r="D156" s="17"/>
      <c r="E156" s="26" t="str">
        <f t="shared" si="42"/>
        <v/>
      </c>
      <c r="F156" s="313"/>
      <c r="G156" s="27"/>
      <c r="H156" s="26" t="str">
        <f t="shared" si="43"/>
        <v/>
      </c>
      <c r="I156" s="313"/>
      <c r="J156" s="142"/>
      <c r="N156" s="84">
        <f>母公司汇总抵销!N156</f>
        <v>0</v>
      </c>
      <c r="O156" s="782" t="str">
        <f>母公司汇总抵销!O156</f>
        <v>利润总额</v>
      </c>
    </row>
    <row r="157" spans="1:15" s="23" customFormat="1">
      <c r="A157" s="1161"/>
      <c r="B157" s="1164"/>
      <c r="C157" s="1167"/>
      <c r="D157" s="17"/>
      <c r="E157" s="26" t="str">
        <f t="shared" si="42"/>
        <v/>
      </c>
      <c r="F157" s="313"/>
      <c r="G157" s="27"/>
      <c r="H157" s="26" t="str">
        <f t="shared" si="43"/>
        <v/>
      </c>
      <c r="I157" s="313"/>
      <c r="J157" s="142"/>
      <c r="N157" s="84" t="str">
        <f>母公司汇总抵销!N157</f>
        <v>G17</v>
      </c>
      <c r="O157" s="28" t="str">
        <f>母公司汇总抵销!O157</f>
        <v>所得税费用</v>
      </c>
    </row>
    <row r="158" spans="1:15" s="23" customFormat="1">
      <c r="A158" s="308"/>
      <c r="B158" s="308"/>
      <c r="C158" s="309"/>
      <c r="D158" s="310"/>
      <c r="E158" s="311"/>
      <c r="F158" s="311"/>
      <c r="G158" s="310"/>
      <c r="H158" s="311"/>
      <c r="I158" s="311"/>
      <c r="J158" s="755" t="str">
        <f>IF(ABS((SUMIF(E152:E157,"?*",J152:J157)-SUMIF(H152:H157,"?*",J152:J157)))&lt;0.005,"","借贷不等")</f>
        <v/>
      </c>
      <c r="N158" s="84" t="str">
        <f>母公司汇总抵销!N158</f>
        <v>G18</v>
      </c>
      <c r="O158" s="28" t="str">
        <f>母公司汇总抵销!O158</f>
        <v>0</v>
      </c>
    </row>
    <row r="159" spans="1:15" s="23" customFormat="1">
      <c r="A159" s="1159">
        <v>23</v>
      </c>
      <c r="B159" s="1162"/>
      <c r="C159" s="1165"/>
      <c r="D159" s="17"/>
      <c r="E159" s="26" t="str">
        <f t="shared" ref="E159:E164" si="44">IF(D159=0,"",VLOOKUP(D159,$N:$O,2,0))</f>
        <v/>
      </c>
      <c r="F159" s="313"/>
      <c r="G159" s="25"/>
      <c r="H159" s="21" t="str">
        <f t="shared" ref="H159:H164" si="45">IF(G159=0,"",VLOOKUP(G159,$N:$O,2,0))</f>
        <v/>
      </c>
      <c r="I159" s="313"/>
      <c r="J159" s="754"/>
      <c r="N159" s="84">
        <f>母公司汇总抵销!N159</f>
        <v>0</v>
      </c>
      <c r="O159" s="782" t="str">
        <f>母公司汇总抵销!O159</f>
        <v>净利润</v>
      </c>
    </row>
    <row r="160" spans="1:15" s="23" customFormat="1">
      <c r="A160" s="1160"/>
      <c r="B160" s="1163"/>
      <c r="C160" s="1166"/>
      <c r="D160" s="17"/>
      <c r="E160" s="26" t="str">
        <f t="shared" si="44"/>
        <v/>
      </c>
      <c r="F160" s="313"/>
      <c r="G160" s="27"/>
      <c r="H160" s="26" t="str">
        <f t="shared" si="45"/>
        <v/>
      </c>
      <c r="I160" s="313"/>
      <c r="J160" s="142"/>
      <c r="N160" s="84">
        <f>母公司汇总抵销!N160</f>
        <v>0</v>
      </c>
      <c r="O160" s="28" t="str">
        <f>母公司汇总抵销!O160</f>
        <v>（一）按经营持续性分类</v>
      </c>
    </row>
    <row r="161" spans="1:15" s="23" customFormat="1">
      <c r="A161" s="1160"/>
      <c r="B161" s="1163"/>
      <c r="C161" s="1166"/>
      <c r="D161" s="17"/>
      <c r="E161" s="26" t="str">
        <f t="shared" si="44"/>
        <v/>
      </c>
      <c r="F161" s="313"/>
      <c r="G161" s="27"/>
      <c r="H161" s="26" t="str">
        <f t="shared" si="45"/>
        <v/>
      </c>
      <c r="I161" s="313"/>
      <c r="J161" s="142"/>
      <c r="N161" s="84">
        <f>母公司汇总抵销!N161</f>
        <v>0</v>
      </c>
      <c r="O161" s="28" t="str">
        <f>母公司汇总抵销!O161</f>
        <v>持续经营净利润</v>
      </c>
    </row>
    <row r="162" spans="1:15" s="23" customFormat="1">
      <c r="A162" s="1160"/>
      <c r="B162" s="1163"/>
      <c r="C162" s="1166"/>
      <c r="D162" s="17"/>
      <c r="E162" s="26" t="str">
        <f t="shared" si="44"/>
        <v/>
      </c>
      <c r="F162" s="313"/>
      <c r="G162" s="27"/>
      <c r="H162" s="26" t="str">
        <f t="shared" si="45"/>
        <v/>
      </c>
      <c r="I162" s="313"/>
      <c r="J162" s="142"/>
      <c r="N162" s="84">
        <f>母公司汇总抵销!N162</f>
        <v>0</v>
      </c>
      <c r="O162" s="28" t="str">
        <f>母公司汇总抵销!O162</f>
        <v>终止经营净利润</v>
      </c>
    </row>
    <row r="163" spans="1:15" s="23" customFormat="1">
      <c r="A163" s="1160"/>
      <c r="B163" s="1163"/>
      <c r="C163" s="1166"/>
      <c r="D163" s="17"/>
      <c r="E163" s="26" t="str">
        <f t="shared" si="44"/>
        <v/>
      </c>
      <c r="F163" s="313"/>
      <c r="G163" s="27"/>
      <c r="H163" s="26" t="str">
        <f t="shared" si="45"/>
        <v/>
      </c>
      <c r="I163" s="313"/>
      <c r="J163" s="142"/>
      <c r="N163" s="84">
        <f>母公司汇总抵销!N163</f>
        <v>0</v>
      </c>
      <c r="O163" s="28" t="str">
        <f>母公司汇总抵销!O163</f>
        <v>（二）按所有权归属分类</v>
      </c>
    </row>
    <row r="164" spans="1:15" s="23" customFormat="1">
      <c r="A164" s="1161"/>
      <c r="B164" s="1164"/>
      <c r="C164" s="1167"/>
      <c r="D164" s="17"/>
      <c r="E164" s="26" t="str">
        <f t="shared" si="44"/>
        <v/>
      </c>
      <c r="F164" s="313"/>
      <c r="G164" s="27"/>
      <c r="H164" s="26" t="str">
        <f t="shared" si="45"/>
        <v/>
      </c>
      <c r="I164" s="313"/>
      <c r="J164" s="142"/>
      <c r="N164" s="84">
        <f>母公司汇总抵销!N164</f>
        <v>0</v>
      </c>
      <c r="O164" s="28" t="str">
        <f>母公司汇总抵销!O164</f>
        <v>归属于母公司股东的净利润</v>
      </c>
    </row>
    <row r="165" spans="1:15" s="23" customFormat="1">
      <c r="A165" s="308"/>
      <c r="B165" s="308"/>
      <c r="C165" s="309"/>
      <c r="D165" s="310"/>
      <c r="E165" s="311"/>
      <c r="F165" s="311"/>
      <c r="G165" s="310"/>
      <c r="H165" s="311"/>
      <c r="I165" s="311"/>
      <c r="J165" s="755" t="str">
        <f>IF(ABS((SUMIF(E159:E164,"?*",J159:J164)-SUMIF(H159:H164,"?*",J159:J164)))&lt;0.005,"","借贷不等")</f>
        <v/>
      </c>
      <c r="N165" s="84" t="str">
        <f>母公司汇总抵销!N165</f>
        <v>G19</v>
      </c>
      <c r="O165" s="28" t="str">
        <f>母公司汇总抵销!O165</f>
        <v>少数股东损益</v>
      </c>
    </row>
    <row r="166" spans="1:15" s="23" customFormat="1">
      <c r="A166" s="1159">
        <v>24</v>
      </c>
      <c r="B166" s="1162"/>
      <c r="C166" s="1165"/>
      <c r="D166" s="17"/>
      <c r="E166" s="26" t="str">
        <f t="shared" ref="E166:E171" si="46">IF(D166=0,"",VLOOKUP(D166,$N:$O,2,0))</f>
        <v/>
      </c>
      <c r="F166" s="313"/>
      <c r="G166" s="25"/>
      <c r="H166" s="21" t="str">
        <f t="shared" ref="H166:H171" si="47">IF(G166=0,"",VLOOKUP(G166,$N:$O,2,0))</f>
        <v/>
      </c>
      <c r="I166" s="313"/>
      <c r="J166" s="754"/>
      <c r="N166" s="84">
        <f>母公司汇总抵销!N166</f>
        <v>0</v>
      </c>
      <c r="O166" s="782" t="str">
        <f>母公司汇总抵销!O166</f>
        <v>其他综合收益的税后净额</v>
      </c>
    </row>
    <row r="167" spans="1:15" s="23" customFormat="1">
      <c r="A167" s="1160"/>
      <c r="B167" s="1163"/>
      <c r="C167" s="1166"/>
      <c r="D167" s="17"/>
      <c r="E167" s="26" t="str">
        <f t="shared" si="46"/>
        <v/>
      </c>
      <c r="F167" s="313"/>
      <c r="G167" s="27"/>
      <c r="H167" s="26" t="str">
        <f t="shared" si="47"/>
        <v/>
      </c>
      <c r="I167" s="313"/>
      <c r="J167" s="142"/>
      <c r="N167" s="84">
        <f>母公司汇总抵销!N167</f>
        <v>0</v>
      </c>
      <c r="O167" s="28" t="str">
        <f>母公司汇总抵销!O167</f>
        <v>归属于母公司股东的其他综合收益的税后净额</v>
      </c>
    </row>
    <row r="168" spans="1:15" s="23" customFormat="1">
      <c r="A168" s="1160"/>
      <c r="B168" s="1163"/>
      <c r="C168" s="1166"/>
      <c r="D168" s="17"/>
      <c r="E168" s="26" t="str">
        <f t="shared" si="46"/>
        <v/>
      </c>
      <c r="F168" s="313"/>
      <c r="G168" s="27"/>
      <c r="H168" s="26" t="str">
        <f t="shared" si="47"/>
        <v/>
      </c>
      <c r="I168" s="313"/>
      <c r="J168" s="142"/>
      <c r="N168" s="84">
        <f>母公司汇总抵销!N168</f>
        <v>0</v>
      </c>
      <c r="O168" s="28" t="str">
        <f>母公司汇总抵销!O168</f>
        <v>（一）不能重分类进损益的其他综合收益</v>
      </c>
    </row>
    <row r="169" spans="1:15" s="23" customFormat="1">
      <c r="A169" s="1160"/>
      <c r="B169" s="1163"/>
      <c r="C169" s="1166"/>
      <c r="D169" s="17"/>
      <c r="E169" s="26" t="str">
        <f t="shared" si="46"/>
        <v/>
      </c>
      <c r="F169" s="313"/>
      <c r="G169" s="27"/>
      <c r="H169" s="26" t="str">
        <f t="shared" si="47"/>
        <v/>
      </c>
      <c r="I169" s="313"/>
      <c r="J169" s="142"/>
      <c r="N169" s="84" t="str">
        <f>母公司汇总抵销!N169</f>
        <v>G21</v>
      </c>
      <c r="O169" s="28" t="str">
        <f>母公司汇总抵销!O169</f>
        <v>1.重新计量设定受益计划变动额</v>
      </c>
    </row>
    <row r="170" spans="1:15" s="23" customFormat="1">
      <c r="A170" s="1160"/>
      <c r="B170" s="1163"/>
      <c r="C170" s="1166"/>
      <c r="D170" s="17"/>
      <c r="E170" s="26" t="str">
        <f t="shared" si="46"/>
        <v/>
      </c>
      <c r="F170" s="313"/>
      <c r="G170" s="27"/>
      <c r="H170" s="26" t="str">
        <f t="shared" si="47"/>
        <v/>
      </c>
      <c r="I170" s="313"/>
      <c r="J170" s="142"/>
      <c r="N170" s="84" t="str">
        <f>母公司汇总抵销!N170</f>
        <v>G22</v>
      </c>
      <c r="O170" s="28" t="str">
        <f>母公司汇总抵销!O170</f>
        <v>2.权益法下不能转损益的其他综合收益</v>
      </c>
    </row>
    <row r="171" spans="1:15" s="23" customFormat="1">
      <c r="A171" s="1161"/>
      <c r="B171" s="1164"/>
      <c r="C171" s="1167"/>
      <c r="D171" s="17"/>
      <c r="E171" s="26" t="str">
        <f t="shared" si="46"/>
        <v/>
      </c>
      <c r="F171" s="313"/>
      <c r="G171" s="27"/>
      <c r="H171" s="26" t="str">
        <f t="shared" si="47"/>
        <v/>
      </c>
      <c r="I171" s="313"/>
      <c r="J171" s="142"/>
      <c r="N171" s="84" t="str">
        <f>母公司汇总抵销!N171</f>
        <v>G23</v>
      </c>
      <c r="O171" s="28" t="str">
        <f>母公司汇总抵销!O171</f>
        <v>3.其他权益工具投资公允价值变动</v>
      </c>
    </row>
    <row r="172" spans="1:15" s="23" customFormat="1">
      <c r="A172" s="308"/>
      <c r="B172" s="308"/>
      <c r="C172" s="309"/>
      <c r="D172" s="310"/>
      <c r="E172" s="311"/>
      <c r="F172" s="311"/>
      <c r="G172" s="310"/>
      <c r="H172" s="311"/>
      <c r="I172" s="311"/>
      <c r="J172" s="755" t="str">
        <f>IF(ABS((SUMIF(E166:E171,"?*",J166:J171)-SUMIF(H166:H171,"?*",J166:J171)))&lt;0.005,"","借贷不等")</f>
        <v/>
      </c>
      <c r="N172" s="84" t="str">
        <f>母公司汇总抵销!N172</f>
        <v>G24</v>
      </c>
      <c r="O172" s="28" t="str">
        <f>母公司汇总抵销!O172</f>
        <v>4.企业自身信用风险公允价值变动</v>
      </c>
    </row>
    <row r="173" spans="1:15" s="23" customFormat="1">
      <c r="A173" s="1159">
        <v>25</v>
      </c>
      <c r="B173" s="1162"/>
      <c r="C173" s="1165"/>
      <c r="D173" s="17"/>
      <c r="E173" s="26" t="str">
        <f t="shared" ref="E173:E178" si="48">IF(D173=0,"",VLOOKUP(D173,$N:$O,2,0))</f>
        <v/>
      </c>
      <c r="F173" s="313"/>
      <c r="G173" s="25"/>
      <c r="H173" s="21" t="str">
        <f t="shared" ref="H173:H178" si="49">IF(G173=0,"",VLOOKUP(G173,$N:$O,2,0))</f>
        <v/>
      </c>
      <c r="I173" s="313"/>
      <c r="J173" s="754"/>
      <c r="N173" s="84" t="str">
        <f>母公司汇总抵销!N173</f>
        <v>G25</v>
      </c>
      <c r="O173" s="28" t="str">
        <f>母公司汇总抵销!O173</f>
        <v>5.其他</v>
      </c>
    </row>
    <row r="174" spans="1:15" s="23" customFormat="1">
      <c r="A174" s="1160"/>
      <c r="B174" s="1163"/>
      <c r="C174" s="1166"/>
      <c r="D174" s="17"/>
      <c r="E174" s="26" t="str">
        <f t="shared" si="48"/>
        <v/>
      </c>
      <c r="F174" s="313"/>
      <c r="G174" s="27"/>
      <c r="H174" s="26" t="str">
        <f t="shared" si="49"/>
        <v/>
      </c>
      <c r="I174" s="313"/>
      <c r="J174" s="142"/>
      <c r="N174" s="84">
        <f>母公司汇总抵销!N174</f>
        <v>0</v>
      </c>
      <c r="O174" s="28" t="str">
        <f>母公司汇总抵销!O174</f>
        <v>（二）将重分类进损益的其他综合收益</v>
      </c>
    </row>
    <row r="175" spans="1:15" s="23" customFormat="1">
      <c r="A175" s="1160"/>
      <c r="B175" s="1163"/>
      <c r="C175" s="1166"/>
      <c r="D175" s="17"/>
      <c r="E175" s="26" t="str">
        <f t="shared" si="48"/>
        <v/>
      </c>
      <c r="F175" s="313"/>
      <c r="G175" s="27"/>
      <c r="H175" s="26" t="str">
        <f t="shared" si="49"/>
        <v/>
      </c>
      <c r="I175" s="313"/>
      <c r="J175" s="142"/>
      <c r="N175" s="84" t="str">
        <f>母公司汇总抵销!N175</f>
        <v>G26</v>
      </c>
      <c r="O175" s="28" t="str">
        <f>母公司汇总抵销!O175</f>
        <v>1.权益法下可转损益的其他综合收益</v>
      </c>
    </row>
    <row r="176" spans="1:15" s="23" customFormat="1">
      <c r="A176" s="1160"/>
      <c r="B176" s="1163"/>
      <c r="C176" s="1166"/>
      <c r="D176" s="17"/>
      <c r="E176" s="26" t="str">
        <f t="shared" si="48"/>
        <v/>
      </c>
      <c r="F176" s="313"/>
      <c r="G176" s="27"/>
      <c r="H176" s="26" t="str">
        <f t="shared" si="49"/>
        <v/>
      </c>
      <c r="I176" s="313"/>
      <c r="J176" s="142"/>
      <c r="N176" s="84" t="str">
        <f>母公司汇总抵销!N176</f>
        <v>G27</v>
      </c>
      <c r="O176" s="28" t="str">
        <f>母公司汇总抵销!O176</f>
        <v>2.其他债权投资公允价值变动</v>
      </c>
    </row>
    <row r="177" spans="1:15" s="23" customFormat="1">
      <c r="A177" s="1160"/>
      <c r="B177" s="1163"/>
      <c r="C177" s="1166"/>
      <c r="D177" s="17"/>
      <c r="E177" s="26" t="str">
        <f t="shared" si="48"/>
        <v/>
      </c>
      <c r="F177" s="313"/>
      <c r="G177" s="27"/>
      <c r="H177" s="26" t="str">
        <f t="shared" si="49"/>
        <v/>
      </c>
      <c r="I177" s="313"/>
      <c r="J177" s="142"/>
      <c r="N177" s="84" t="str">
        <f>母公司汇总抵销!N177</f>
        <v>G28</v>
      </c>
      <c r="O177" s="28" t="str">
        <f>母公司汇总抵销!O177</f>
        <v>3.可供出售金融资产公允价值变动损益</v>
      </c>
    </row>
    <row r="178" spans="1:15" s="23" customFormat="1">
      <c r="A178" s="1161"/>
      <c r="B178" s="1164"/>
      <c r="C178" s="1167"/>
      <c r="D178" s="17"/>
      <c r="E178" s="26" t="str">
        <f t="shared" si="48"/>
        <v/>
      </c>
      <c r="F178" s="313"/>
      <c r="G178" s="27"/>
      <c r="H178" s="26" t="str">
        <f t="shared" si="49"/>
        <v/>
      </c>
      <c r="I178" s="313"/>
      <c r="J178" s="142"/>
      <c r="N178" s="84" t="str">
        <f>母公司汇总抵销!N178</f>
        <v>G29</v>
      </c>
      <c r="O178" s="28" t="str">
        <f>母公司汇总抵销!O178</f>
        <v>4.金融资产重分类计入其他综合收益的金额</v>
      </c>
    </row>
    <row r="179" spans="1:15" s="23" customFormat="1">
      <c r="A179" s="308"/>
      <c r="B179" s="308"/>
      <c r="C179" s="309"/>
      <c r="D179" s="310"/>
      <c r="E179" s="311"/>
      <c r="F179" s="311"/>
      <c r="G179" s="310"/>
      <c r="H179" s="311"/>
      <c r="I179" s="311"/>
      <c r="J179" s="755" t="str">
        <f>IF(ABS((SUMIF(E173:E178,"?*",J173:J178)-SUMIF(H173:H178,"?*",J173:J178)))&lt;0.005,"","借贷不等")</f>
        <v/>
      </c>
      <c r="N179" s="84" t="str">
        <f>母公司汇总抵销!N179</f>
        <v>G30</v>
      </c>
      <c r="O179" s="28" t="str">
        <f>母公司汇总抵销!O179</f>
        <v>5.持有至到期投资重分类为可供出售金融资产损益</v>
      </c>
    </row>
    <row r="180" spans="1:15" s="23" customFormat="1">
      <c r="A180" s="1159">
        <v>26</v>
      </c>
      <c r="B180" s="1162"/>
      <c r="C180" s="1165"/>
      <c r="D180" s="17"/>
      <c r="E180" s="26" t="str">
        <f t="shared" ref="E180:E185" si="50">IF(D180=0,"",VLOOKUP(D180,$N:$O,2,0))</f>
        <v/>
      </c>
      <c r="F180" s="313"/>
      <c r="G180" s="25"/>
      <c r="H180" s="21" t="str">
        <f t="shared" ref="H180:H185" si="51">IF(G180=0,"",VLOOKUP(G180,$N:$O,2,0))</f>
        <v/>
      </c>
      <c r="I180" s="313"/>
      <c r="J180" s="754"/>
      <c r="N180" s="84" t="str">
        <f>母公司汇总抵销!N180</f>
        <v>G31</v>
      </c>
      <c r="O180" s="28" t="str">
        <f>母公司汇总抵销!O180</f>
        <v>6.其他债权投资信用减值准备</v>
      </c>
    </row>
    <row r="181" spans="1:15" s="23" customFormat="1">
      <c r="A181" s="1160"/>
      <c r="B181" s="1163"/>
      <c r="C181" s="1166"/>
      <c r="D181" s="17"/>
      <c r="E181" s="26" t="str">
        <f t="shared" si="50"/>
        <v/>
      </c>
      <c r="F181" s="313"/>
      <c r="G181" s="27"/>
      <c r="H181" s="26" t="str">
        <f t="shared" si="51"/>
        <v/>
      </c>
      <c r="I181" s="313"/>
      <c r="J181" s="142"/>
      <c r="N181" s="84" t="str">
        <f>母公司汇总抵销!N181</f>
        <v>G32</v>
      </c>
      <c r="O181" s="28" t="str">
        <f>母公司汇总抵销!O181</f>
        <v>7.现金流量套期储备</v>
      </c>
    </row>
    <row r="182" spans="1:15" s="23" customFormat="1">
      <c r="A182" s="1160"/>
      <c r="B182" s="1163"/>
      <c r="C182" s="1166"/>
      <c r="D182" s="17"/>
      <c r="E182" s="26" t="str">
        <f t="shared" si="50"/>
        <v/>
      </c>
      <c r="F182" s="313"/>
      <c r="G182" s="27"/>
      <c r="H182" s="26" t="str">
        <f t="shared" si="51"/>
        <v/>
      </c>
      <c r="I182" s="313"/>
      <c r="J182" s="142"/>
      <c r="N182" s="84" t="str">
        <f>母公司汇总抵销!N182</f>
        <v>G33</v>
      </c>
      <c r="O182" s="28" t="str">
        <f>母公司汇总抵销!O182</f>
        <v>8.外币财务报表折算差额</v>
      </c>
    </row>
    <row r="183" spans="1:15" s="23" customFormat="1">
      <c r="A183" s="1160"/>
      <c r="B183" s="1163"/>
      <c r="C183" s="1166"/>
      <c r="D183" s="17"/>
      <c r="E183" s="26" t="str">
        <f t="shared" si="50"/>
        <v/>
      </c>
      <c r="F183" s="313"/>
      <c r="G183" s="27"/>
      <c r="H183" s="26" t="str">
        <f t="shared" si="51"/>
        <v/>
      </c>
      <c r="I183" s="313"/>
      <c r="J183" s="142"/>
      <c r="N183" s="84" t="str">
        <f>母公司汇总抵销!N183</f>
        <v>G34</v>
      </c>
      <c r="O183" s="28" t="str">
        <f>母公司汇总抵销!O183</f>
        <v>9.自用房地产或作为存货的房地产转换为以公允价值计量的投资性房地产在转换日公允价值大于账面价值部分</v>
      </c>
    </row>
    <row r="184" spans="1:15" s="23" customFormat="1">
      <c r="A184" s="1160"/>
      <c r="B184" s="1163"/>
      <c r="C184" s="1166"/>
      <c r="D184" s="17"/>
      <c r="E184" s="26" t="str">
        <f t="shared" si="50"/>
        <v/>
      </c>
      <c r="F184" s="313"/>
      <c r="G184" s="27"/>
      <c r="H184" s="26" t="str">
        <f t="shared" si="51"/>
        <v/>
      </c>
      <c r="I184" s="313"/>
      <c r="J184" s="142"/>
      <c r="N184" s="84" t="str">
        <f>母公司汇总抵销!N184</f>
        <v>G35</v>
      </c>
      <c r="O184" s="28" t="str">
        <f>母公司汇总抵销!O184</f>
        <v>10.多次交易分步处置子公司股权构成一揽子交易的，丧失控制权之前各次交易处置价款与对应净资产账面价值份额的差额</v>
      </c>
    </row>
    <row r="185" spans="1:15" s="23" customFormat="1">
      <c r="A185" s="1161"/>
      <c r="B185" s="1164"/>
      <c r="C185" s="1167"/>
      <c r="D185" s="17"/>
      <c r="E185" s="26" t="str">
        <f t="shared" si="50"/>
        <v/>
      </c>
      <c r="F185" s="313"/>
      <c r="G185" s="27"/>
      <c r="H185" s="26" t="str">
        <f t="shared" si="51"/>
        <v/>
      </c>
      <c r="I185" s="313"/>
      <c r="J185" s="142"/>
      <c r="N185" s="84" t="str">
        <f>母公司汇总抵销!N185</f>
        <v>G36</v>
      </c>
      <c r="O185" s="28" t="str">
        <f>母公司汇总抵销!O185</f>
        <v>11.其他</v>
      </c>
    </row>
    <row r="186" spans="1:15" s="23" customFormat="1">
      <c r="A186" s="308"/>
      <c r="B186" s="308"/>
      <c r="C186" s="309"/>
      <c r="D186" s="310"/>
      <c r="E186" s="311"/>
      <c r="F186" s="311"/>
      <c r="G186" s="310"/>
      <c r="H186" s="311"/>
      <c r="I186" s="311"/>
      <c r="J186" s="755" t="str">
        <f>IF(ABS((SUMIF(E180:E185,"?*",J180:J185)-SUMIF(H180:H185,"?*",J180:J185)))&lt;0.005,"","借贷不等")</f>
        <v/>
      </c>
      <c r="N186" s="84" t="str">
        <f>母公司汇总抵销!N186</f>
        <v>G37</v>
      </c>
      <c r="O186" s="28" t="str">
        <f>母公司汇总抵销!O186</f>
        <v>归属于少数股东的其他综合收益的税后净额</v>
      </c>
    </row>
    <row r="187" spans="1:15" s="23" customFormat="1">
      <c r="A187" s="1159">
        <v>27</v>
      </c>
      <c r="B187" s="1162"/>
      <c r="C187" s="1165"/>
      <c r="D187" s="17"/>
      <c r="E187" s="26" t="str">
        <f t="shared" ref="E187:E192" si="52">IF(D187=0,"",VLOOKUP(D187,$N:$O,2,0))</f>
        <v/>
      </c>
      <c r="F187" s="313"/>
      <c r="G187" s="25"/>
      <c r="H187" s="21" t="str">
        <f t="shared" ref="H187:H192" si="53">IF(G187=0,"",VLOOKUP(G187,$N:$O,2,0))</f>
        <v/>
      </c>
      <c r="I187" s="313"/>
      <c r="J187" s="754"/>
      <c r="N187" s="84">
        <f>母公司汇总抵销!N187</f>
        <v>0</v>
      </c>
      <c r="O187" s="782" t="str">
        <f>母公司汇总抵销!O187</f>
        <v>综合收益总额</v>
      </c>
    </row>
    <row r="188" spans="1:15" s="23" customFormat="1">
      <c r="A188" s="1160"/>
      <c r="B188" s="1163"/>
      <c r="C188" s="1166"/>
      <c r="D188" s="17"/>
      <c r="E188" s="26" t="str">
        <f t="shared" si="52"/>
        <v/>
      </c>
      <c r="F188" s="313"/>
      <c r="G188" s="27"/>
      <c r="H188" s="26" t="str">
        <f t="shared" si="53"/>
        <v/>
      </c>
      <c r="I188" s="313"/>
      <c r="J188" s="142"/>
      <c r="N188" s="84">
        <f>母公司汇总抵销!N188</f>
        <v>0</v>
      </c>
      <c r="O188" s="28" t="str">
        <f>母公司汇总抵销!O188</f>
        <v>归属于母公司股东的综合收益总额</v>
      </c>
    </row>
    <row r="189" spans="1:15" s="23" customFormat="1">
      <c r="A189" s="1160"/>
      <c r="B189" s="1163"/>
      <c r="C189" s="1166"/>
      <c r="D189" s="17"/>
      <c r="E189" s="26" t="str">
        <f t="shared" si="52"/>
        <v/>
      </c>
      <c r="F189" s="313"/>
      <c r="G189" s="27"/>
      <c r="H189" s="26" t="str">
        <f t="shared" si="53"/>
        <v/>
      </c>
      <c r="I189" s="313"/>
      <c r="J189" s="142"/>
      <c r="N189" s="84">
        <f>母公司汇总抵销!N189</f>
        <v>0</v>
      </c>
      <c r="O189" s="28" t="str">
        <f>母公司汇总抵销!O189</f>
        <v>归属于少数股东的综合收益总额</v>
      </c>
    </row>
    <row r="190" spans="1:15" s="23" customFormat="1">
      <c r="A190" s="1160"/>
      <c r="B190" s="1163"/>
      <c r="C190" s="1166"/>
      <c r="D190" s="17"/>
      <c r="E190" s="26" t="str">
        <f t="shared" si="52"/>
        <v/>
      </c>
      <c r="F190" s="313"/>
      <c r="G190" s="27"/>
      <c r="H190" s="26" t="str">
        <f t="shared" si="53"/>
        <v/>
      </c>
      <c r="I190" s="313"/>
      <c r="J190" s="142"/>
      <c r="N190" s="84">
        <f>母公司汇总抵销!N190</f>
        <v>0</v>
      </c>
      <c r="O190" s="782" t="str">
        <f>母公司汇总抵销!O190</f>
        <v>每股收益</v>
      </c>
    </row>
    <row r="191" spans="1:15" s="23" customFormat="1">
      <c r="A191" s="1160"/>
      <c r="B191" s="1163"/>
      <c r="C191" s="1166"/>
      <c r="D191" s="17"/>
      <c r="E191" s="26" t="str">
        <f t="shared" si="52"/>
        <v/>
      </c>
      <c r="F191" s="313"/>
      <c r="G191" s="27"/>
      <c r="H191" s="26" t="str">
        <f t="shared" si="53"/>
        <v/>
      </c>
      <c r="I191" s="313"/>
      <c r="J191" s="142"/>
      <c r="N191" s="84" t="str">
        <f>母公司汇总抵销!N191</f>
        <v>G38</v>
      </c>
      <c r="O191" s="28" t="str">
        <f>母公司汇总抵销!O191</f>
        <v>基本每股收益</v>
      </c>
    </row>
    <row r="192" spans="1:15" s="23" customFormat="1">
      <c r="A192" s="1161"/>
      <c r="B192" s="1164"/>
      <c r="C192" s="1167"/>
      <c r="D192" s="17"/>
      <c r="E192" s="26" t="str">
        <f t="shared" si="52"/>
        <v/>
      </c>
      <c r="F192" s="313"/>
      <c r="G192" s="27"/>
      <c r="H192" s="26" t="str">
        <f t="shared" si="53"/>
        <v/>
      </c>
      <c r="I192" s="313"/>
      <c r="J192" s="142"/>
      <c r="N192" s="84" t="str">
        <f>母公司汇总抵销!N192</f>
        <v>G39</v>
      </c>
      <c r="O192" s="28" t="str">
        <f>母公司汇总抵销!O192</f>
        <v>稀释每股收益</v>
      </c>
    </row>
    <row r="193" spans="1:15" s="23" customFormat="1">
      <c r="A193" s="308"/>
      <c r="B193" s="308"/>
      <c r="C193" s="309"/>
      <c r="D193" s="310"/>
      <c r="E193" s="311"/>
      <c r="F193" s="311"/>
      <c r="G193" s="310"/>
      <c r="H193" s="311"/>
      <c r="I193" s="311"/>
      <c r="J193" s="755" t="str">
        <f>IF(ABS((SUMIF(E187:E192,"?*",J187:J192)-SUMIF(H187:H192,"?*",J187:J192)))&lt;0.005,"","借贷不等")</f>
        <v/>
      </c>
      <c r="N193" s="84">
        <f>母公司汇总抵销!N193</f>
        <v>0</v>
      </c>
      <c r="O193" s="782" t="str">
        <f>母公司汇总抵销!O193</f>
        <v>利润分配</v>
      </c>
    </row>
    <row r="194" spans="1:15" s="23" customFormat="1">
      <c r="A194" s="1159">
        <v>28</v>
      </c>
      <c r="B194" s="1162"/>
      <c r="C194" s="1165"/>
      <c r="D194" s="17"/>
      <c r="E194" s="26" t="str">
        <f t="shared" ref="E194:E199" si="54">IF(D194=0,"",VLOOKUP(D194,$N:$O,2,0))</f>
        <v/>
      </c>
      <c r="F194" s="313"/>
      <c r="G194" s="25"/>
      <c r="H194" s="21" t="str">
        <f t="shared" ref="H194:H199" si="55">IF(G194=0,"",VLOOKUP(G194,$N:$O,2,0))</f>
        <v/>
      </c>
      <c r="I194" s="313"/>
      <c r="J194" s="754"/>
      <c r="N194" s="84" t="str">
        <f>母公司汇总抵销!N194</f>
        <v>G40</v>
      </c>
      <c r="O194" s="28" t="str">
        <f>母公司汇总抵销!O194</f>
        <v>年初未分配利润</v>
      </c>
    </row>
    <row r="195" spans="1:15" s="23" customFormat="1">
      <c r="A195" s="1160"/>
      <c r="B195" s="1163"/>
      <c r="C195" s="1166"/>
      <c r="D195" s="17"/>
      <c r="E195" s="26" t="str">
        <f t="shared" si="54"/>
        <v/>
      </c>
      <c r="F195" s="313"/>
      <c r="G195" s="27"/>
      <c r="H195" s="26" t="str">
        <f t="shared" si="55"/>
        <v/>
      </c>
      <c r="I195" s="313"/>
      <c r="J195" s="142"/>
      <c r="N195" s="84">
        <f>母公司汇总抵销!N195</f>
        <v>0</v>
      </c>
      <c r="O195" s="28" t="str">
        <f>母公司汇总抵销!O195</f>
        <v>可供分配的利润</v>
      </c>
    </row>
    <row r="196" spans="1:15" s="23" customFormat="1">
      <c r="A196" s="1160"/>
      <c r="B196" s="1163"/>
      <c r="C196" s="1166"/>
      <c r="D196" s="17"/>
      <c r="E196" s="26" t="str">
        <f t="shared" si="54"/>
        <v/>
      </c>
      <c r="F196" s="313"/>
      <c r="G196" s="27"/>
      <c r="H196" s="26" t="str">
        <f t="shared" si="55"/>
        <v/>
      </c>
      <c r="I196" s="313"/>
      <c r="J196" s="142"/>
      <c r="N196" s="84" t="str">
        <f>母公司汇总抵销!N196</f>
        <v>G41</v>
      </c>
      <c r="O196" s="28" t="str">
        <f>母公司汇总抵销!O196</f>
        <v>1、提取法定盈余公积</v>
      </c>
    </row>
    <row r="197" spans="1:15" s="23" customFormat="1">
      <c r="A197" s="1160"/>
      <c r="B197" s="1163"/>
      <c r="C197" s="1166"/>
      <c r="D197" s="17"/>
      <c r="E197" s="26" t="str">
        <f t="shared" si="54"/>
        <v/>
      </c>
      <c r="F197" s="313"/>
      <c r="G197" s="27"/>
      <c r="H197" s="26" t="str">
        <f t="shared" si="55"/>
        <v/>
      </c>
      <c r="I197" s="313"/>
      <c r="J197" s="142"/>
      <c r="N197" s="84" t="str">
        <f>母公司汇总抵销!N197</f>
        <v>G42</v>
      </c>
      <c r="O197" s="28" t="str">
        <f>母公司汇总抵销!O197</f>
        <v>2、其他</v>
      </c>
    </row>
    <row r="198" spans="1:15" s="23" customFormat="1">
      <c r="A198" s="1160"/>
      <c r="B198" s="1163"/>
      <c r="C198" s="1166"/>
      <c r="D198" s="17"/>
      <c r="E198" s="26" t="str">
        <f t="shared" si="54"/>
        <v/>
      </c>
      <c r="F198" s="313"/>
      <c r="G198" s="27"/>
      <c r="H198" s="26" t="str">
        <f t="shared" si="55"/>
        <v/>
      </c>
      <c r="I198" s="313"/>
      <c r="J198" s="142"/>
      <c r="N198" s="84">
        <f>母公司汇总抵销!N198</f>
        <v>0</v>
      </c>
      <c r="O198" s="28" t="str">
        <f>母公司汇总抵销!O198</f>
        <v>可供投资者分配的利润</v>
      </c>
    </row>
    <row r="199" spans="1:15" s="23" customFormat="1">
      <c r="A199" s="1161"/>
      <c r="B199" s="1164"/>
      <c r="C199" s="1167"/>
      <c r="D199" s="17"/>
      <c r="E199" s="26" t="str">
        <f t="shared" si="54"/>
        <v/>
      </c>
      <c r="F199" s="313"/>
      <c r="G199" s="27"/>
      <c r="H199" s="26" t="str">
        <f t="shared" si="55"/>
        <v/>
      </c>
      <c r="I199" s="313"/>
      <c r="J199" s="142"/>
      <c r="N199" s="84" t="str">
        <f>母公司汇总抵销!N199</f>
        <v>G43</v>
      </c>
      <c r="O199" s="28" t="str">
        <f>母公司汇总抵销!O199</f>
        <v>1、应付优先股股利</v>
      </c>
    </row>
    <row r="200" spans="1:15" s="23" customFormat="1">
      <c r="A200" s="308"/>
      <c r="B200" s="308"/>
      <c r="C200" s="309"/>
      <c r="D200" s="310"/>
      <c r="E200" s="311"/>
      <c r="F200" s="311"/>
      <c r="G200" s="310"/>
      <c r="H200" s="311"/>
      <c r="I200" s="311"/>
      <c r="J200" s="755" t="str">
        <f>IF(ABS((SUMIF(E194:E199,"?*",J194:J199)-SUMIF(H194:H199,"?*",J194:J199)))&lt;0.005,"","借贷不等")</f>
        <v/>
      </c>
      <c r="N200" s="84" t="str">
        <f>母公司汇总抵销!N200</f>
        <v>G44</v>
      </c>
      <c r="O200" s="28" t="str">
        <f>母公司汇总抵销!O200</f>
        <v>2、提取任意盈余公积</v>
      </c>
    </row>
    <row r="201" spans="1:15" s="23" customFormat="1">
      <c r="A201" s="1159">
        <v>29</v>
      </c>
      <c r="B201" s="1162"/>
      <c r="C201" s="1165"/>
      <c r="D201" s="17"/>
      <c r="E201" s="26" t="str">
        <f t="shared" ref="E201:E206" si="56">IF(D201=0,"",VLOOKUP(D201,$N:$O,2,0))</f>
        <v/>
      </c>
      <c r="F201" s="313"/>
      <c r="G201" s="25"/>
      <c r="H201" s="21" t="str">
        <f t="shared" ref="H201:H206" si="57">IF(G201=0,"",VLOOKUP(G201,$N:$O,2,0))</f>
        <v/>
      </c>
      <c r="I201" s="313"/>
      <c r="J201" s="754"/>
      <c r="N201" s="84" t="str">
        <f>母公司汇总抵销!N201</f>
        <v>G45</v>
      </c>
      <c r="O201" s="28" t="str">
        <f>母公司汇总抵销!O201</f>
        <v>3、应付普通股股利（应付利润）</v>
      </c>
    </row>
    <row r="202" spans="1:15" s="23" customFormat="1">
      <c r="A202" s="1160"/>
      <c r="B202" s="1163"/>
      <c r="C202" s="1166"/>
      <c r="D202" s="17"/>
      <c r="E202" s="26" t="str">
        <f t="shared" si="56"/>
        <v/>
      </c>
      <c r="F202" s="313"/>
      <c r="G202" s="27"/>
      <c r="H202" s="26" t="str">
        <f t="shared" si="57"/>
        <v/>
      </c>
      <c r="I202" s="313"/>
      <c r="J202" s="142"/>
      <c r="N202" s="84" t="str">
        <f>母公司汇总抵销!N202</f>
        <v>G46</v>
      </c>
      <c r="O202" s="28" t="str">
        <f>母公司汇总抵销!O202</f>
        <v>4、转作资本（或股本）的普通股股利</v>
      </c>
    </row>
    <row r="203" spans="1:15" s="23" customFormat="1">
      <c r="A203" s="1160"/>
      <c r="B203" s="1163"/>
      <c r="C203" s="1166"/>
      <c r="D203" s="17"/>
      <c r="E203" s="26" t="str">
        <f t="shared" si="56"/>
        <v/>
      </c>
      <c r="F203" s="313"/>
      <c r="G203" s="27"/>
      <c r="H203" s="26" t="str">
        <f t="shared" si="57"/>
        <v/>
      </c>
      <c r="I203" s="313"/>
      <c r="J203" s="142"/>
      <c r="N203" s="84" t="str">
        <f>母公司汇总抵销!N203</f>
        <v>G47</v>
      </c>
      <c r="O203" s="28" t="str">
        <f>母公司汇总抵销!O203</f>
        <v>5、其他</v>
      </c>
    </row>
    <row r="204" spans="1:15" s="23" customFormat="1">
      <c r="A204" s="1160"/>
      <c r="B204" s="1163"/>
      <c r="C204" s="1166"/>
      <c r="D204" s="17"/>
      <c r="E204" s="26" t="str">
        <f t="shared" si="56"/>
        <v/>
      </c>
      <c r="F204" s="313"/>
      <c r="G204" s="27"/>
      <c r="H204" s="26" t="str">
        <f t="shared" si="57"/>
        <v/>
      </c>
      <c r="I204" s="313"/>
      <c r="J204" s="142"/>
      <c r="N204" s="84">
        <f>母公司汇总抵销!N204</f>
        <v>0</v>
      </c>
      <c r="O204" s="782" t="str">
        <f>母公司汇总抵销!O204</f>
        <v>未分配利润</v>
      </c>
    </row>
    <row r="205" spans="1:15" s="23" customFormat="1">
      <c r="A205" s="1160"/>
      <c r="B205" s="1163"/>
      <c r="C205" s="1166"/>
      <c r="D205" s="17"/>
      <c r="E205" s="26" t="str">
        <f t="shared" si="56"/>
        <v/>
      </c>
      <c r="F205" s="313"/>
      <c r="G205" s="27"/>
      <c r="H205" s="26" t="str">
        <f t="shared" si="57"/>
        <v/>
      </c>
      <c r="I205" s="313"/>
      <c r="J205" s="142"/>
      <c r="N205" s="84">
        <f>母公司汇总抵销!N205</f>
        <v>0</v>
      </c>
      <c r="O205" s="28" t="str">
        <f>母公司汇总抵销!O205</f>
        <v/>
      </c>
    </row>
    <row r="206" spans="1:15" s="23" customFormat="1">
      <c r="A206" s="1161"/>
      <c r="B206" s="1164"/>
      <c r="C206" s="1167"/>
      <c r="D206" s="17"/>
      <c r="E206" s="26" t="str">
        <f t="shared" si="56"/>
        <v/>
      </c>
      <c r="F206" s="313"/>
      <c r="G206" s="27"/>
      <c r="H206" s="26" t="str">
        <f t="shared" si="57"/>
        <v/>
      </c>
      <c r="I206" s="313"/>
      <c r="J206" s="142"/>
      <c r="N206" s="84">
        <f>母公司汇总抵销!N206</f>
        <v>0</v>
      </c>
      <c r="O206" s="28" t="str">
        <f>母公司汇总抵销!O206</f>
        <v/>
      </c>
    </row>
    <row r="207" spans="1:15" s="23" customFormat="1">
      <c r="A207" s="308"/>
      <c r="B207" s="308"/>
      <c r="C207" s="309"/>
      <c r="D207" s="310"/>
      <c r="E207" s="311"/>
      <c r="F207" s="311"/>
      <c r="G207" s="310"/>
      <c r="H207" s="311"/>
      <c r="I207" s="311"/>
      <c r="J207" s="312" t="str">
        <f>IF(ABS((SUMIF(E201:E206,"?*",J201:J206)-SUMIF(H201:H206,"?*",J201:J206)))&lt;0.005,"","借贷不等")</f>
        <v/>
      </c>
      <c r="N207" s="84">
        <f>母公司汇总抵销!N207</f>
        <v>0</v>
      </c>
      <c r="O207" s="28" t="str">
        <f>母公司汇总抵销!O207</f>
        <v/>
      </c>
    </row>
    <row r="208" spans="1:15">
      <c r="N208" s="84">
        <f>母公司汇总抵销!N208</f>
        <v>0</v>
      </c>
      <c r="O208" s="28" t="str">
        <f>母公司汇总抵销!O208</f>
        <v/>
      </c>
    </row>
    <row r="209" spans="14:15">
      <c r="N209" s="84"/>
      <c r="O209" s="85"/>
    </row>
    <row r="210" spans="14:15">
      <c r="N210" s="84"/>
      <c r="O210" s="85"/>
    </row>
    <row r="211" spans="14:15">
      <c r="N211" s="84"/>
      <c r="O211" s="87"/>
    </row>
    <row r="212" spans="14:15">
      <c r="N212" s="84"/>
      <c r="O212" s="85"/>
    </row>
    <row r="213" spans="14:15">
      <c r="N213" s="84"/>
      <c r="O213" s="85"/>
    </row>
    <row r="214" spans="14:15">
      <c r="N214" s="84"/>
      <c r="O214" s="85"/>
    </row>
    <row r="215" spans="14:15">
      <c r="N215" s="84"/>
      <c r="O215" s="87"/>
    </row>
    <row r="216" spans="14:15">
      <c r="N216" s="84"/>
      <c r="O216" s="85"/>
    </row>
    <row r="217" spans="14:15">
      <c r="N217" s="84"/>
      <c r="O217" s="85"/>
    </row>
    <row r="218" spans="14:15">
      <c r="N218" s="84"/>
      <c r="O218" s="85"/>
    </row>
    <row r="219" spans="14:15">
      <c r="N219" s="84"/>
      <c r="O219" s="85"/>
    </row>
    <row r="220" spans="14:15">
      <c r="N220" s="84"/>
      <c r="O220" s="85"/>
    </row>
    <row r="221" spans="14:15">
      <c r="N221" s="84"/>
      <c r="O221" s="85"/>
    </row>
    <row r="222" spans="14:15">
      <c r="N222" s="84"/>
      <c r="O222" s="85"/>
    </row>
    <row r="223" spans="14:15">
      <c r="N223" s="84"/>
      <c r="O223" s="85"/>
    </row>
    <row r="224" spans="14:15">
      <c r="N224" s="84"/>
      <c r="O224" s="85"/>
    </row>
    <row r="225" spans="14:15">
      <c r="N225" s="84"/>
      <c r="O225" s="87"/>
    </row>
    <row r="226" spans="14:15">
      <c r="N226" s="84"/>
      <c r="O226" s="85"/>
    </row>
    <row r="227" spans="14:15">
      <c r="N227" s="84"/>
      <c r="O227" s="85"/>
    </row>
    <row r="228" spans="14:15">
      <c r="N228" s="84"/>
      <c r="O228" s="85"/>
    </row>
    <row r="229" spans="14:15">
      <c r="N229" s="84"/>
      <c r="O229" s="85"/>
    </row>
    <row r="230" spans="14:15">
      <c r="N230" s="84"/>
      <c r="O230" s="85"/>
    </row>
    <row r="231" spans="14:15">
      <c r="N231" s="84"/>
      <c r="O231" s="86"/>
    </row>
    <row r="232" spans="14:15">
      <c r="N232" s="84"/>
      <c r="O232" s="85"/>
    </row>
    <row r="233" spans="14:15">
      <c r="N233" s="84"/>
      <c r="O233" s="83"/>
    </row>
    <row r="234" spans="14:15">
      <c r="N234" s="23"/>
      <c r="O234" s="23"/>
    </row>
  </sheetData>
  <sheetProtection formatCells="0" formatColumns="0" formatRows="0" insertRows="0" autoFilter="0" pivotTables="0"/>
  <mergeCells count="87">
    <mergeCell ref="A201:A206"/>
    <mergeCell ref="B201:B206"/>
    <mergeCell ref="C201:C206"/>
    <mergeCell ref="A12:A17"/>
    <mergeCell ref="B12:B17"/>
    <mergeCell ref="C12:C17"/>
    <mergeCell ref="A187:A192"/>
    <mergeCell ref="B187:B192"/>
    <mergeCell ref="C187:C192"/>
    <mergeCell ref="A194:A199"/>
    <mergeCell ref="B194:B199"/>
    <mergeCell ref="C194:C199"/>
    <mergeCell ref="A173:A178"/>
    <mergeCell ref="B173:B178"/>
    <mergeCell ref="C173:C178"/>
    <mergeCell ref="A180:A185"/>
    <mergeCell ref="B180:B185"/>
    <mergeCell ref="C180:C185"/>
    <mergeCell ref="C82:C87"/>
    <mergeCell ref="A89:A94"/>
    <mergeCell ref="B89:B94"/>
    <mergeCell ref="C89:C94"/>
    <mergeCell ref="A166:A171"/>
    <mergeCell ref="B166:B171"/>
    <mergeCell ref="C166:C171"/>
    <mergeCell ref="A145:A150"/>
    <mergeCell ref="A152:A157"/>
    <mergeCell ref="A159:A164"/>
    <mergeCell ref="B159:B164"/>
    <mergeCell ref="C159:C164"/>
    <mergeCell ref="B145:B150"/>
    <mergeCell ref="C145:C150"/>
    <mergeCell ref="A40:A45"/>
    <mergeCell ref="A47:A52"/>
    <mergeCell ref="A54:A59"/>
    <mergeCell ref="A61:A66"/>
    <mergeCell ref="A138:A143"/>
    <mergeCell ref="A96:A101"/>
    <mergeCell ref="A103:A108"/>
    <mergeCell ref="A110:A115"/>
    <mergeCell ref="A124:A129"/>
    <mergeCell ref="A131:A136"/>
    <mergeCell ref="A117:A122"/>
    <mergeCell ref="A68:A73"/>
    <mergeCell ref="A75:A80"/>
    <mergeCell ref="A82:A87"/>
    <mergeCell ref="A19:A24"/>
    <mergeCell ref="A26:A31"/>
    <mergeCell ref="A33:A38"/>
    <mergeCell ref="A5:A10"/>
    <mergeCell ref="B33:B38"/>
    <mergeCell ref="C5:C10"/>
    <mergeCell ref="B19:B24"/>
    <mergeCell ref="C19:C24"/>
    <mergeCell ref="B26:B31"/>
    <mergeCell ref="C26:C31"/>
    <mergeCell ref="B5:B10"/>
    <mergeCell ref="C33:C38"/>
    <mergeCell ref="B96:B101"/>
    <mergeCell ref="C96:C101"/>
    <mergeCell ref="B40:B45"/>
    <mergeCell ref="C40:C45"/>
    <mergeCell ref="B61:B66"/>
    <mergeCell ref="C61:C66"/>
    <mergeCell ref="B68:B73"/>
    <mergeCell ref="C68:C73"/>
    <mergeCell ref="B47:B52"/>
    <mergeCell ref="C47:C52"/>
    <mergeCell ref="B75:B80"/>
    <mergeCell ref="C75:C80"/>
    <mergeCell ref="B54:B59"/>
    <mergeCell ref="C54:C59"/>
    <mergeCell ref="B82:B87"/>
    <mergeCell ref="C103:C108"/>
    <mergeCell ref="B110:B115"/>
    <mergeCell ref="C110:C115"/>
    <mergeCell ref="B117:B122"/>
    <mergeCell ref="C117:C122"/>
    <mergeCell ref="B103:B108"/>
    <mergeCell ref="B152:B157"/>
    <mergeCell ref="C152:C157"/>
    <mergeCell ref="C124:C129"/>
    <mergeCell ref="B131:B136"/>
    <mergeCell ref="C131:C136"/>
    <mergeCell ref="B138:B143"/>
    <mergeCell ref="C138:C143"/>
    <mergeCell ref="B124:B129"/>
  </mergeCells>
  <phoneticPr fontId="50" type="noConversion"/>
  <conditionalFormatting sqref="A1">
    <cfRule type="cellIs" dxfId="36"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调整事项转换表”核对科目名称" sqref="H11 E207 H207 E200 H200 E193 H193 E186 H186 E179 H179 E172 H172 E165 H165 E158 H158 E151 H151 E144 H144 E137 H137 E130 H130 E123 H123 E116 H116 E109 H109 E102 H102 E95 H95 E88 H88 E81 H81 E74 H74 E67 H67 E60 H60 E53 H53 E46 H46 E39 H39 E32 H32 E25 H25 E18 H18 E11">
      <formula1>$O$6:$O$115</formula1>
    </dataValidation>
    <dataValidation type="list" allowBlank="1" showDropDown="1" showInputMessage="1" showErrorMessage="1" errorTitle="警告" error="   您输入的科目不是报表标准科目_x000a__x000a_请对应“报表项目”核对科目名称" sqref="H6:H10 E201:E206 H202:H206 E194:E199 H195:H199 E187:E192 H188:H192 E180:E185 H181:H185 E173:E178 H174:H178 E166:E171 H167:H171 E159:E164 H160:H164 E152:E157 H153:H157 E145:E150 H146:H150 E138:E143 H139:H143 E131:E136 H132:H136 E124:E129 H125:H129 E117:E122 H118:H122 E110:E115 H111:H115 E103:E108 H104:H108 E96:E101 H97:H101 E89:E94 H90:H94 E82:E87 H83:H87 E75:E80 H76:H80 E68:E73 H69:H73 E61:E66 H62:H66 E54:E59 H55:H59 E47:E52 H48:H52 E40:E45 H41:H45 E33:E38 H34:H38 E26:E31 H27:H31 E19:E24 H20:H24 E12:E17 H13:H17 E6:E10">
      <formula1>$O:$O</formula1>
    </dataValidation>
    <dataValidation type="list" allowBlank="1" showDropDown="1" showInputMessage="1" showErrorMessage="1" prompt="可直接输入科目名称；也可以在“code”列输入代码" sqref="E5 H201 H194 H187 H180 H173 H166 H159 H152 H145 H138 H131 H124 H117 H110 H103 H96 H89 H82 H75 H68 H61 H54 H47 H40 H33 H26 H19 H12 H5">
      <formula1>$O:$O</formula1>
    </dataValidation>
  </dataValidations>
  <printOptions horizontalCentered="1" verticalCentered="1"/>
  <pageMargins left="0.61" right="0.23622047244094491" top="0.6" bottom="0.65" header="0.38" footer="0.34"/>
  <pageSetup paperSize="9" orientation="portrait" horizontalDpi="360" verticalDpi="360" r:id="rId1"/>
  <headerFooter alignWithMargins="0">
    <oddFooter>&amp;C&amp;9&amp;P/&amp;N</oddFooter>
  </headerFooter>
  <colBreaks count="1" manualBreakCount="1">
    <brk id="10"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O61"/>
  <sheetViews>
    <sheetView showZeros="0" workbookViewId="0">
      <pane xSplit="2" ySplit="5" topLeftCell="C6" activePane="bottomRight" state="frozen"/>
      <selection activeCell="H6" sqref="H6"/>
      <selection pane="topRight" activeCell="H6" sqref="H6"/>
      <selection pane="bottomLeft" activeCell="H6" sqref="H6"/>
      <selection pane="bottomRight" activeCell="L62" sqref="L62"/>
    </sheetView>
  </sheetViews>
  <sheetFormatPr defaultColWidth="7" defaultRowHeight="13.5" outlineLevelCol="1"/>
  <cols>
    <col min="1" max="1" width="20.5" style="33" customWidth="1"/>
    <col min="2" max="4" width="11.625" style="33" customWidth="1"/>
    <col min="5" max="6" width="11" style="33" customWidth="1"/>
    <col min="7" max="7" width="10.375" style="33" customWidth="1"/>
    <col min="8" max="8" width="10" style="33" customWidth="1"/>
    <col min="9" max="10" width="11.625" style="33" customWidth="1" outlineLevel="1"/>
    <col min="11" max="11" width="11.625" style="33" customWidth="1"/>
    <col min="12" max="12" width="11.625" style="33" bestFit="1" customWidth="1"/>
    <col min="13" max="13" width="17.25" style="33" bestFit="1" customWidth="1"/>
    <col min="14" max="14" width="6.75" style="33" bestFit="1" customWidth="1"/>
    <col min="15" max="16384" width="7" style="33"/>
  </cols>
  <sheetData>
    <row r="1" spans="1:15" s="32" customFormat="1" ht="19.5" customHeight="1">
      <c r="A1" s="29" t="s">
        <v>571</v>
      </c>
      <c r="B1" s="30"/>
      <c r="C1" s="30"/>
      <c r="D1" s="30"/>
      <c r="E1" s="30"/>
      <c r="F1" s="30"/>
      <c r="G1" s="30"/>
      <c r="H1" s="30"/>
      <c r="I1" s="30"/>
      <c r="J1" s="30"/>
      <c r="K1" s="30"/>
      <c r="L1" s="33"/>
      <c r="M1" s="101"/>
      <c r="N1" s="21"/>
      <c r="O1" s="33"/>
    </row>
    <row r="2" spans="1:15" s="32" customFormat="1" ht="15" customHeight="1">
      <c r="A2" s="88" t="str">
        <f>CONCATENATE("客户名称：",说明!E23)</f>
        <v>客户名称：</v>
      </c>
      <c r="D2" s="89" t="str">
        <f>CONCATENATE("编制：",说明!E36)</f>
        <v>编制：</v>
      </c>
      <c r="F2" s="88" t="str">
        <f>CONCATENATE("复核：",说明!E37)</f>
        <v>复核：</v>
      </c>
      <c r="I2" s="91"/>
      <c r="J2" s="92"/>
      <c r="K2" s="89" t="s">
        <v>294</v>
      </c>
      <c r="L2" s="33"/>
      <c r="M2" s="101"/>
      <c r="N2" s="21"/>
      <c r="O2" s="33"/>
    </row>
    <row r="3" spans="1:15" s="32" customFormat="1" ht="17.25" customHeight="1">
      <c r="A3" s="91" t="str">
        <f>CONCATENATE("会计时点：",TEXT(说明!E32,"yyyy.mm.dd"))</f>
        <v>会计时点：2019.12.31</v>
      </c>
      <c r="D3" s="93" t="str">
        <f ca="1">CONCATENATE("日期：",TEXT(NOW(),"yyyy.mm.dd"))</f>
        <v>日期：2019.12.31</v>
      </c>
      <c r="F3" s="89" t="s">
        <v>295</v>
      </c>
      <c r="I3" s="91"/>
      <c r="J3" s="91"/>
      <c r="K3" s="89" t="s">
        <v>296</v>
      </c>
      <c r="L3" s="33"/>
      <c r="M3" s="101"/>
      <c r="N3" s="21"/>
      <c r="O3" s="33"/>
    </row>
    <row r="4" spans="1:15" s="32" customFormat="1" ht="13.5" customHeight="1">
      <c r="A4" s="1183" t="str">
        <f>IF((ROUND(K59,2))=(ROUND(合并TB负债!K62,2)),"资       产","报表未调平!")</f>
        <v>资       产</v>
      </c>
      <c r="B4" s="1174" t="s">
        <v>145</v>
      </c>
      <c r="C4" s="1176" t="s">
        <v>574</v>
      </c>
      <c r="D4" s="1176"/>
      <c r="E4" s="1176" t="s">
        <v>575</v>
      </c>
      <c r="F4" s="1176"/>
      <c r="G4" s="1176" t="s">
        <v>576</v>
      </c>
      <c r="H4" s="1176"/>
      <c r="I4" s="248" t="s">
        <v>299</v>
      </c>
      <c r="J4" s="248" t="s">
        <v>300</v>
      </c>
      <c r="K4" s="1170" t="s">
        <v>570</v>
      </c>
      <c r="L4" s="33"/>
      <c r="M4" s="101"/>
      <c r="N4" s="21"/>
      <c r="O4" s="33"/>
    </row>
    <row r="5" spans="1:15" s="32" customFormat="1">
      <c r="A5" s="1184"/>
      <c r="B5" s="1175"/>
      <c r="C5" s="249" t="s">
        <v>455</v>
      </c>
      <c r="D5" s="249" t="s">
        <v>361</v>
      </c>
      <c r="E5" s="249" t="s">
        <v>455</v>
      </c>
      <c r="F5" s="249" t="s">
        <v>361</v>
      </c>
      <c r="G5" s="249" t="s">
        <v>455</v>
      </c>
      <c r="H5" s="249" t="s">
        <v>361</v>
      </c>
      <c r="I5" s="249"/>
      <c r="J5" s="249"/>
      <c r="K5" s="1171"/>
      <c r="L5" s="33"/>
      <c r="M5" s="101"/>
      <c r="N5" s="21"/>
      <c r="O5" s="33"/>
    </row>
    <row r="6" spans="1:15" ht="14.45" customHeight="1">
      <c r="A6" s="94" t="str">
        <f>报表格式!B5</f>
        <v>流动资产：</v>
      </c>
      <c r="B6" s="95"/>
      <c r="C6" s="95"/>
      <c r="D6" s="95"/>
      <c r="E6" s="95"/>
      <c r="F6" s="95"/>
      <c r="G6" s="95"/>
      <c r="H6" s="95"/>
      <c r="I6" s="95"/>
      <c r="J6" s="95"/>
      <c r="K6" s="96"/>
      <c r="M6" s="101"/>
      <c r="N6" s="21"/>
    </row>
    <row r="7" spans="1:15" ht="14.45" customHeight="1">
      <c r="A7" s="97" t="str">
        <f>报表格式!B6</f>
        <v>货币资金</v>
      </c>
      <c r="B7" s="236">
        <f>合并BS汇总!B7</f>
        <v>0</v>
      </c>
      <c r="C7" s="236">
        <f>SUMIF(权益抵销!$E$5:$E$65537,IF(OR(MID(TRIM($A7),2,1)="：",MID(TRIM($A7),2,1)="、"),REPLACEB(TRIM($A7),1,4,""),TRIM($A7)),权益抵销!$J$5:$J$65537)</f>
        <v>0</v>
      </c>
      <c r="D7" s="236">
        <f>SUMIF(权益抵销!$H$5:$H$65537,IF(OR(MID(TRIM($A7),2,1)="：",MID(TRIM($A7),2,1)="、"),REPLACEB(TRIM($A7),1,4,""),TRIM($A7)),权益抵销!$J$5:$J$65537)</f>
        <v>0</v>
      </c>
      <c r="E7" s="236">
        <f>SUMIF(往来交易抵销!$E$5:$E$65536,IF(OR(MID(TRIM($A7),2,1)="：",MID(TRIM($A7),2,1)="、"),REPLACEB(TRIM($A7),1,4,""),TRIM($A7)),往来交易抵销!$J$5:$J$65536)</f>
        <v>0</v>
      </c>
      <c r="F7" s="236">
        <f>SUMIF(往来交易抵销!$H$5:$H$65536,IF(OR(MID(TRIM($A7),2,1)="：",MID(TRIM($A7),2,1)="、"),REPLACEB(TRIM($A7),1,4,""),TRIM($A7)),往来交易抵销!$J$5:$J$65536)</f>
        <v>0</v>
      </c>
      <c r="G7" s="236">
        <f>SUMIF('合并报表调整 '!$E$5:$E$65536,IF(OR(MID(TRIM($A7),2,1)="：",MID(TRIM($A7),2,1)="、"),REPLACEB(TRIM($A7),1,4,""),TRIM($A7)),'合并报表调整 '!$J$5:$J$65536)</f>
        <v>0</v>
      </c>
      <c r="H7" s="236">
        <f>SUMIF('合并报表调整 '!$H$5:$H$65536,IF(OR(MID(TRIM($A7),2,1)="：",MID(TRIM($A7),2,1)="、"),REPLACEB(TRIM($A7),1,4,""),TRIM($A7)),'合并报表调整 '!$J$5:$J$65536)</f>
        <v>0</v>
      </c>
      <c r="I7" s="236">
        <f>B7+E7+G7-F7-H7+C7-D7</f>
        <v>0</v>
      </c>
      <c r="J7" s="236"/>
      <c r="K7" s="237">
        <f t="shared" ref="K7:K58" si="0">SUM(I7:J7)</f>
        <v>0</v>
      </c>
      <c r="M7" s="101"/>
      <c r="N7" s="21"/>
    </row>
    <row r="8" spans="1:15" ht="14.45" customHeight="1">
      <c r="A8" s="97" t="str">
        <f>报表格式!B7</f>
        <v>结算备付金</v>
      </c>
      <c r="B8" s="236">
        <f>合并BS汇总!B8</f>
        <v>0</v>
      </c>
      <c r="C8" s="236">
        <f>SUMIF(权益抵销!$E$5:$E$65537,IF(OR(MID(TRIM($A8),2,1)="：",MID(TRIM($A8),2,1)="、"),REPLACEB(TRIM($A8),1,4,""),TRIM($A8)),权益抵销!$J$5:$J$65537)</f>
        <v>0</v>
      </c>
      <c r="D8" s="236">
        <f>SUMIF(权益抵销!$H$5:$H$65537,IF(OR(MID(TRIM($A8),2,1)="：",MID(TRIM($A8),2,1)="、"),REPLACEB(TRIM($A8),1,4,""),TRIM($A8)),权益抵销!$J$5:$J$65537)</f>
        <v>0</v>
      </c>
      <c r="E8" s="236">
        <f>SUMIF(往来交易抵销!$E$5:$E$65536,IF(OR(MID(TRIM($A8),2,1)="：",MID(TRIM($A8),2,1)="、"),REPLACEB(TRIM($A8),1,4,""),TRIM($A8)),往来交易抵销!$J$5:$J$65536)</f>
        <v>0</v>
      </c>
      <c r="F8" s="236">
        <f>SUMIF(往来交易抵销!$H$5:$H$65536,IF(OR(MID(TRIM($A8),2,1)="：",MID(TRIM($A8),2,1)="、"),REPLACEB(TRIM($A8),1,4,""),TRIM($A8)),往来交易抵销!$J$5:$J$65536)</f>
        <v>0</v>
      </c>
      <c r="G8" s="236">
        <f>SUMIF('合并报表调整 '!$E$5:$E$65536,IF(OR(MID(TRIM($A8),2,1)="：",MID(TRIM($A8),2,1)="、"),REPLACEB(TRIM($A8),1,4,""),TRIM($A8)),'合并报表调整 '!$J$5:$J$65536)</f>
        <v>0</v>
      </c>
      <c r="H8" s="236">
        <f>SUMIF('合并报表调整 '!$H$5:$H$65536,IF(OR(MID(TRIM($A8),2,1)="：",MID(TRIM($A8),2,1)="、"),REPLACEB(TRIM($A8),1,4,""),TRIM($A8)),'合并报表调整 '!$J$5:$J$65536)</f>
        <v>0</v>
      </c>
      <c r="I8" s="236">
        <f t="shared" ref="I8:I9" si="1">B8+E8+G8-F8-H8+C8-D8</f>
        <v>0</v>
      </c>
      <c r="J8" s="236"/>
      <c r="K8" s="237">
        <f t="shared" ref="K8:K9" si="2">SUM(I8:J8)</f>
        <v>0</v>
      </c>
      <c r="M8" s="101"/>
      <c r="N8" s="21"/>
    </row>
    <row r="9" spans="1:15" ht="14.45" customHeight="1">
      <c r="A9" s="97" t="str">
        <f>报表格式!B8</f>
        <v>拆出资金</v>
      </c>
      <c r="B9" s="236">
        <f>合并BS汇总!B9</f>
        <v>0</v>
      </c>
      <c r="C9" s="236">
        <f>SUMIF(权益抵销!$E$5:$E$65537,IF(OR(MID(TRIM($A9),2,1)="：",MID(TRIM($A9),2,1)="、"),REPLACEB(TRIM($A9),1,4,""),TRIM($A9)),权益抵销!$J$5:$J$65537)</f>
        <v>0</v>
      </c>
      <c r="D9" s="236">
        <f>SUMIF(权益抵销!$H$5:$H$65537,IF(OR(MID(TRIM($A9),2,1)="：",MID(TRIM($A9),2,1)="、"),REPLACEB(TRIM($A9),1,4,""),TRIM($A9)),权益抵销!$J$5:$J$65537)</f>
        <v>0</v>
      </c>
      <c r="E9" s="236">
        <f>SUMIF(往来交易抵销!$E$5:$E$65536,IF(OR(MID(TRIM($A9),2,1)="：",MID(TRIM($A9),2,1)="、"),REPLACEB(TRIM($A9),1,4,""),TRIM($A9)),往来交易抵销!$J$5:$J$65536)</f>
        <v>0</v>
      </c>
      <c r="F9" s="236">
        <f>SUMIF(往来交易抵销!$H$5:$H$65536,IF(OR(MID(TRIM($A9),2,1)="：",MID(TRIM($A9),2,1)="、"),REPLACEB(TRIM($A9),1,4,""),TRIM($A9)),往来交易抵销!$J$5:$J$65536)</f>
        <v>0</v>
      </c>
      <c r="G9" s="236">
        <f>SUMIF('合并报表调整 '!$E$5:$E$65536,IF(OR(MID(TRIM($A9),2,1)="：",MID(TRIM($A9),2,1)="、"),REPLACEB(TRIM($A9),1,4,""),TRIM($A9)),'合并报表调整 '!$J$5:$J$65536)</f>
        <v>0</v>
      </c>
      <c r="H9" s="236">
        <f>SUMIF('合并报表调整 '!$H$5:$H$65536,IF(OR(MID(TRIM($A9),2,1)="：",MID(TRIM($A9),2,1)="、"),REPLACEB(TRIM($A9),1,4,""),TRIM($A9)),'合并报表调整 '!$J$5:$J$65536)</f>
        <v>0</v>
      </c>
      <c r="I9" s="236">
        <f t="shared" si="1"/>
        <v>0</v>
      </c>
      <c r="J9" s="236"/>
      <c r="K9" s="237">
        <f t="shared" si="2"/>
        <v>0</v>
      </c>
      <c r="M9" s="101"/>
      <c r="N9" s="21"/>
    </row>
    <row r="10" spans="1:15" ht="14.45" customHeight="1">
      <c r="A10" s="97" t="str">
        <f>报表格式!B9</f>
        <v>交易性金融资产</v>
      </c>
      <c r="B10" s="236">
        <f>合并BS汇总!B10</f>
        <v>0</v>
      </c>
      <c r="C10" s="236">
        <f>SUMIF(权益抵销!$E$5:$E$65537,IF(OR(MID(TRIM($A10),2,1)="：",MID(TRIM($A10),2,1)="、"),REPLACEB(TRIM($A10),1,4,""),TRIM($A10)),权益抵销!$J$5:$J$65537)</f>
        <v>0</v>
      </c>
      <c r="D10" s="236">
        <f>SUMIF(权益抵销!$H$5:$H$65537,IF(OR(MID(TRIM($A10),2,1)="：",MID(TRIM($A10),2,1)="、"),REPLACEB(TRIM($A10),1,4,""),TRIM($A10)),权益抵销!$J$5:$J$65537)</f>
        <v>0</v>
      </c>
      <c r="E10" s="236">
        <f>SUMIF(往来交易抵销!$E$5:$E$65536,IF(OR(MID(TRIM($A10),2,1)="：",MID(TRIM($A10),2,1)="、"),REPLACEB(TRIM($A10),1,4,""),TRIM($A10)),往来交易抵销!$J$5:$J$65536)</f>
        <v>0</v>
      </c>
      <c r="F10" s="236">
        <f>SUMIF(往来交易抵销!$H$5:$H$65536,IF(OR(MID(TRIM($A10),2,1)="：",MID(TRIM($A10),2,1)="、"),REPLACEB(TRIM($A10),1,4,""),TRIM($A10)),往来交易抵销!$J$5:$J$65536)</f>
        <v>0</v>
      </c>
      <c r="G10" s="236">
        <f>SUMIF('合并报表调整 '!$E$5:$E$65536,IF(OR(MID(TRIM($A10),2,1)="：",MID(TRIM($A10),2,1)="、"),REPLACEB(TRIM($A10),1,4,""),TRIM($A10)),'合并报表调整 '!$J$5:$J$65536)</f>
        <v>0</v>
      </c>
      <c r="H10" s="236">
        <f>SUMIF('合并报表调整 '!$H$5:$H$65536,IF(OR(MID(TRIM($A10),2,1)="：",MID(TRIM($A10),2,1)="、"),REPLACEB(TRIM($A10),1,4,""),TRIM($A10)),'合并报表调整 '!$J$5:$J$65536)</f>
        <v>0</v>
      </c>
      <c r="I10" s="236">
        <f t="shared" ref="I10:I51" si="3">B10+E10+G10-F10-H10+C10-D10</f>
        <v>0</v>
      </c>
      <c r="J10" s="236"/>
      <c r="K10" s="237">
        <f t="shared" si="0"/>
        <v>0</v>
      </c>
      <c r="M10" s="101"/>
      <c r="N10" s="21"/>
    </row>
    <row r="11" spans="1:15" ht="14.45" customHeight="1">
      <c r="A11" s="97" t="str">
        <f>报表格式!B10</f>
        <v>以公允价值计量且其变动计入当期损益的金融资产</v>
      </c>
      <c r="B11" s="236">
        <f>合并BS汇总!B11</f>
        <v>0</v>
      </c>
      <c r="C11" s="236">
        <f>SUMIF(权益抵销!$E$5:$E$65537,IF(OR(MID(TRIM($A11),2,1)="：",MID(TRIM($A11),2,1)="、"),REPLACEB(TRIM($A11),1,4,""),TRIM($A11)),权益抵销!$J$5:$J$65537)</f>
        <v>0</v>
      </c>
      <c r="D11" s="236">
        <f>SUMIF(权益抵销!$H$5:$H$65537,IF(OR(MID(TRIM($A11),2,1)="：",MID(TRIM($A11),2,1)="、"),REPLACEB(TRIM($A11),1,4,""),TRIM($A11)),权益抵销!$J$5:$J$65537)</f>
        <v>0</v>
      </c>
      <c r="E11" s="236">
        <f>SUMIF(往来交易抵销!$E$5:$E$65536,IF(OR(MID(TRIM($A11),2,1)="：",MID(TRIM($A11),2,1)="、"),REPLACEB(TRIM($A11),1,4,""),TRIM($A11)),往来交易抵销!$J$5:$J$65536)</f>
        <v>0</v>
      </c>
      <c r="F11" s="236">
        <f>SUMIF(往来交易抵销!$H$5:$H$65536,IF(OR(MID(TRIM($A11),2,1)="：",MID(TRIM($A11),2,1)="、"),REPLACEB(TRIM($A11),1,4,""),TRIM($A11)),往来交易抵销!$J$5:$J$65536)</f>
        <v>0</v>
      </c>
      <c r="G11" s="236">
        <f>SUMIF('合并报表调整 '!$E$5:$E$65536,IF(OR(MID(TRIM($A11),2,1)="：",MID(TRIM($A11),2,1)="、"),REPLACEB(TRIM($A11),1,4,""),TRIM($A11)),'合并报表调整 '!$J$5:$J$65536)</f>
        <v>0</v>
      </c>
      <c r="H11" s="236">
        <f>SUMIF('合并报表调整 '!$H$5:$H$65536,IF(OR(MID(TRIM($A11),2,1)="：",MID(TRIM($A11),2,1)="、"),REPLACEB(TRIM($A11),1,4,""),TRIM($A11)),'合并报表调整 '!$J$5:$J$65536)</f>
        <v>0</v>
      </c>
      <c r="I11" s="236">
        <f t="shared" ref="I11" si="4">B11+E11+G11-F11-H11+C11-D11</f>
        <v>0</v>
      </c>
      <c r="J11" s="236"/>
      <c r="K11" s="237">
        <f t="shared" ref="K11" si="5">SUM(I11:J11)</f>
        <v>0</v>
      </c>
      <c r="M11" s="101"/>
      <c r="N11" s="21"/>
    </row>
    <row r="12" spans="1:15" ht="14.45" customHeight="1">
      <c r="A12" s="97" t="str">
        <f>报表格式!B11</f>
        <v>衍生金融资产</v>
      </c>
      <c r="B12" s="236">
        <f>合并BS汇总!B12</f>
        <v>0</v>
      </c>
      <c r="C12" s="236">
        <f>SUMIF(权益抵销!$E$5:$E$65537,IF(OR(MID(TRIM($A12),2,1)="：",MID(TRIM($A12),2,1)="、"),REPLACEB(TRIM($A12),1,4,""),TRIM($A12)),权益抵销!$J$5:$J$65537)</f>
        <v>0</v>
      </c>
      <c r="D12" s="236">
        <f>SUMIF(权益抵销!$H$5:$H$65537,IF(OR(MID(TRIM($A12),2,1)="：",MID(TRIM($A12),2,1)="、"),REPLACEB(TRIM($A12),1,4,""),TRIM($A12)),权益抵销!$J$5:$J$65537)</f>
        <v>0</v>
      </c>
      <c r="E12" s="236">
        <f>SUMIF(往来交易抵销!$E$5:$E$65536,IF(OR(MID(TRIM($A12),2,1)="：",MID(TRIM($A12),2,1)="、"),REPLACEB(TRIM($A12),1,4,""),TRIM($A12)),往来交易抵销!$J$5:$J$65536)</f>
        <v>0</v>
      </c>
      <c r="F12" s="236">
        <f>SUMIF(往来交易抵销!$H$5:$H$65536,IF(OR(MID(TRIM($A12),2,1)="：",MID(TRIM($A12),2,1)="、"),REPLACEB(TRIM($A12),1,4,""),TRIM($A12)),往来交易抵销!$J$5:$J$65536)</f>
        <v>0</v>
      </c>
      <c r="G12" s="236">
        <f>SUMIF('合并报表调整 '!$E$5:$E$65536,IF(OR(MID(TRIM($A12),2,1)="：",MID(TRIM($A12),2,1)="、"),REPLACEB(TRIM($A12),1,4,""),TRIM($A12)),'合并报表调整 '!$J$5:$J$65536)</f>
        <v>0</v>
      </c>
      <c r="H12" s="236">
        <f>SUMIF('合并报表调整 '!$H$5:$H$65536,IF(OR(MID(TRIM($A12),2,1)="：",MID(TRIM($A12),2,1)="、"),REPLACEB(TRIM($A12),1,4,""),TRIM($A12)),'合并报表调整 '!$J$5:$J$65536)</f>
        <v>0</v>
      </c>
      <c r="I12" s="236">
        <f>B12+E12+G12-F12-H12+C12-D12</f>
        <v>0</v>
      </c>
      <c r="J12" s="236"/>
      <c r="K12" s="237">
        <f>SUM(I12:J12)</f>
        <v>0</v>
      </c>
      <c r="M12" s="101"/>
      <c r="N12" s="21"/>
    </row>
    <row r="13" spans="1:15" ht="14.45" customHeight="1">
      <c r="A13" s="97" t="str">
        <f>报表格式!B12</f>
        <v>应收票据</v>
      </c>
      <c r="B13" s="236">
        <f>合并BS汇总!B13</f>
        <v>0</v>
      </c>
      <c r="C13" s="236">
        <f>SUMIF(权益抵销!$E$5:$E$65537,IF(OR(MID(TRIM($A13),2,1)="：",MID(TRIM($A13),2,1)="、"),REPLACEB(TRIM($A13),1,4,""),TRIM($A13)),权益抵销!$J$5:$J$65537)</f>
        <v>0</v>
      </c>
      <c r="D13" s="236">
        <f>SUMIF(权益抵销!$H$5:$H$65537,IF(OR(MID(TRIM($A13),2,1)="：",MID(TRIM($A13),2,1)="、"),REPLACEB(TRIM($A13),1,4,""),TRIM($A13)),权益抵销!$J$5:$J$65537)</f>
        <v>0</v>
      </c>
      <c r="E13" s="236">
        <f>SUMIF(往来交易抵销!$E$5:$E$65536,IF(OR(MID(TRIM($A13),2,1)="：",MID(TRIM($A13),2,1)="、"),REPLACEB(TRIM($A13),1,4,""),TRIM($A13)),往来交易抵销!$J$5:$J$65536)</f>
        <v>0</v>
      </c>
      <c r="F13" s="236">
        <f>SUMIF(往来交易抵销!$H$5:$H$65536,IF(OR(MID(TRIM($A13),2,1)="：",MID(TRIM($A13),2,1)="、"),REPLACEB(TRIM($A13),1,4,""),TRIM($A13)),往来交易抵销!$J$5:$J$65536)</f>
        <v>0</v>
      </c>
      <c r="G13" s="236">
        <f>SUMIF('合并报表调整 '!$E$5:$E$65536,IF(OR(MID(TRIM($A13),2,1)="：",MID(TRIM($A13),2,1)="、"),REPLACEB(TRIM($A13),1,4,""),TRIM($A13)),'合并报表调整 '!$J$5:$J$65536)</f>
        <v>0</v>
      </c>
      <c r="H13" s="236">
        <f>SUMIF('合并报表调整 '!$H$5:$H$65536,IF(OR(MID(TRIM($A13),2,1)="：",MID(TRIM($A13),2,1)="、"),REPLACEB(TRIM($A13),1,4,""),TRIM($A13)),'合并报表调整 '!$J$5:$J$65536)</f>
        <v>0</v>
      </c>
      <c r="I13" s="236">
        <f t="shared" si="3"/>
        <v>0</v>
      </c>
      <c r="J13" s="236"/>
      <c r="K13" s="237">
        <f t="shared" si="0"/>
        <v>0</v>
      </c>
    </row>
    <row r="14" spans="1:15" ht="14.45" customHeight="1">
      <c r="A14" s="97" t="str">
        <f>报表格式!B13</f>
        <v>应收账款</v>
      </c>
      <c r="B14" s="236">
        <f>合并BS汇总!B14</f>
        <v>0</v>
      </c>
      <c r="C14" s="236">
        <f>SUMIF(权益抵销!$E$5:$E$65537,IF(OR(MID(TRIM($A14),2,1)="：",MID(TRIM($A14),2,1)="、"),REPLACEB(TRIM($A14),1,4,""),TRIM($A14)),权益抵销!$J$5:$J$65537)</f>
        <v>0</v>
      </c>
      <c r="D14" s="236">
        <f>SUMIF(权益抵销!$H$5:$H$65537,IF(OR(MID(TRIM($A14),2,1)="：",MID(TRIM($A14),2,1)="、"),REPLACEB(TRIM($A14),1,4,""),TRIM($A14)),权益抵销!$J$5:$J$65537)</f>
        <v>0</v>
      </c>
      <c r="E14" s="236">
        <f>SUMIF(往来交易抵销!$E$5:$E$65536,IF(OR(MID(TRIM($A14),2,1)="：",MID(TRIM($A14),2,1)="、"),REPLACEB(TRIM($A14),1,4,""),TRIM($A14)),往来交易抵销!$J$5:$J$65536)</f>
        <v>0</v>
      </c>
      <c r="F14" s="236">
        <f>SUMIF(往来交易抵销!$H$5:$H$65536,IF(OR(MID(TRIM($A14),2,1)="：",MID(TRIM($A14),2,1)="、"),REPLACEB(TRIM($A14),1,4,""),TRIM($A14)),往来交易抵销!$J$5:$J$65536)</f>
        <v>0</v>
      </c>
      <c r="G14" s="236">
        <f>SUMIF('合并报表调整 '!$E$5:$E$65536,IF(OR(MID(TRIM($A14),2,1)="：",MID(TRIM($A14),2,1)="、"),REPLACEB(TRIM($A14),1,4,""),TRIM($A14)),'合并报表调整 '!$J$5:$J$65536)</f>
        <v>0</v>
      </c>
      <c r="H14" s="236">
        <f>SUMIF('合并报表调整 '!$H$5:$H$65536,IF(OR(MID(TRIM($A14),2,1)="：",MID(TRIM($A14),2,1)="、"),REPLACEB(TRIM($A14),1,4,""),TRIM($A14)),'合并报表调整 '!$J$5:$J$65536)</f>
        <v>0</v>
      </c>
      <c r="I14" s="236">
        <f t="shared" ref="I14:I15" si="6">B14+E14+G14-F14-H14+C14-D14</f>
        <v>0</v>
      </c>
      <c r="J14" s="236"/>
      <c r="K14" s="237">
        <f t="shared" ref="K14:K15" si="7">SUM(I14:J14)</f>
        <v>0</v>
      </c>
    </row>
    <row r="15" spans="1:15" ht="14.45" customHeight="1">
      <c r="A15" s="97" t="str">
        <f>报表格式!B14</f>
        <v>应收款项融资</v>
      </c>
      <c r="B15" s="236">
        <f>合并BS汇总!B15</f>
        <v>0</v>
      </c>
      <c r="C15" s="236">
        <f>SUMIF(权益抵销!$E$5:$E$65537,IF(OR(MID(TRIM($A15),2,1)="：",MID(TRIM($A15),2,1)="、"),REPLACEB(TRIM($A15),1,4,""),TRIM($A15)),权益抵销!$J$5:$J$65537)</f>
        <v>0</v>
      </c>
      <c r="D15" s="236">
        <f>SUMIF(权益抵销!$H$5:$H$65537,IF(OR(MID(TRIM($A15),2,1)="：",MID(TRIM($A15),2,1)="、"),REPLACEB(TRIM($A15),1,4,""),TRIM($A15)),权益抵销!$J$5:$J$65537)</f>
        <v>0</v>
      </c>
      <c r="E15" s="236">
        <f>SUMIF(往来交易抵销!$E$5:$E$65536,IF(OR(MID(TRIM($A15),2,1)="：",MID(TRIM($A15),2,1)="、"),REPLACEB(TRIM($A15),1,4,""),TRIM($A15)),往来交易抵销!$J$5:$J$65536)</f>
        <v>0</v>
      </c>
      <c r="F15" s="236">
        <f>SUMIF(往来交易抵销!$H$5:$H$65536,IF(OR(MID(TRIM($A15),2,1)="：",MID(TRIM($A15),2,1)="、"),REPLACEB(TRIM($A15),1,4,""),TRIM($A15)),往来交易抵销!$J$5:$J$65536)</f>
        <v>0</v>
      </c>
      <c r="G15" s="236">
        <f>SUMIF('合并报表调整 '!$E$5:$E$65536,IF(OR(MID(TRIM($A15),2,1)="：",MID(TRIM($A15),2,1)="、"),REPLACEB(TRIM($A15),1,4,""),TRIM($A15)),'合并报表调整 '!$J$5:$J$65536)</f>
        <v>0</v>
      </c>
      <c r="H15" s="236">
        <f>SUMIF('合并报表调整 '!$H$5:$H$65536,IF(OR(MID(TRIM($A15),2,1)="：",MID(TRIM($A15),2,1)="、"),REPLACEB(TRIM($A15),1,4,""),TRIM($A15)),'合并报表调整 '!$J$5:$J$65536)</f>
        <v>0</v>
      </c>
      <c r="I15" s="236">
        <f t="shared" si="6"/>
        <v>0</v>
      </c>
      <c r="J15" s="236"/>
      <c r="K15" s="237">
        <f t="shared" si="7"/>
        <v>0</v>
      </c>
    </row>
    <row r="16" spans="1:15" ht="14.45" customHeight="1">
      <c r="A16" s="97" t="str">
        <f>报表格式!B15</f>
        <v>预付款项</v>
      </c>
      <c r="B16" s="236">
        <f>合并BS汇总!B16</f>
        <v>0</v>
      </c>
      <c r="C16" s="236">
        <f>SUMIF(权益抵销!$E$5:$E$65537,IF(OR(MID(TRIM($A16),2,1)="：",MID(TRIM($A16),2,1)="、"),REPLACEB(TRIM($A16),1,4,""),TRIM($A16)),权益抵销!$J$5:$J$65537)</f>
        <v>0</v>
      </c>
      <c r="D16" s="236">
        <f>SUMIF(权益抵销!$H$5:$H$65537,IF(OR(MID(TRIM($A16),2,1)="：",MID(TRIM($A16),2,1)="、"),REPLACEB(TRIM($A16),1,4,""),TRIM($A16)),权益抵销!$J$5:$J$65537)</f>
        <v>0</v>
      </c>
      <c r="E16" s="236">
        <f>SUMIF(往来交易抵销!$E$5:$E$65536,IF(OR(MID(TRIM($A16),2,1)="：",MID(TRIM($A16),2,1)="、"),REPLACEB(TRIM($A16),1,4,""),TRIM($A16)),往来交易抵销!$J$5:$J$65536)</f>
        <v>0</v>
      </c>
      <c r="F16" s="236">
        <f>SUMIF(往来交易抵销!$H$5:$H$65536,IF(OR(MID(TRIM($A16),2,1)="：",MID(TRIM($A16),2,1)="、"),REPLACEB(TRIM($A16),1,4,""),TRIM($A16)),往来交易抵销!$J$5:$J$65536)</f>
        <v>0</v>
      </c>
      <c r="G16" s="236">
        <f>SUMIF('合并报表调整 '!$E$5:$E$65536,IF(OR(MID(TRIM($A16),2,1)="：",MID(TRIM($A16),2,1)="、"),REPLACEB(TRIM($A16),1,4,""),TRIM($A16)),'合并报表调整 '!$J$5:$J$65536)</f>
        <v>0</v>
      </c>
      <c r="H16" s="236">
        <f>SUMIF('合并报表调整 '!$H$5:$H$65536,IF(OR(MID(TRIM($A16),2,1)="：",MID(TRIM($A16),2,1)="、"),REPLACEB(TRIM($A16),1,4,""),TRIM($A16)),'合并报表调整 '!$J$5:$J$65536)</f>
        <v>0</v>
      </c>
      <c r="I16" s="236">
        <f t="shared" si="3"/>
        <v>0</v>
      </c>
      <c r="J16" s="236"/>
      <c r="K16" s="237">
        <f t="shared" si="0"/>
        <v>0</v>
      </c>
    </row>
    <row r="17" spans="1:11" ht="14.45" customHeight="1">
      <c r="A17" s="97" t="str">
        <f>报表格式!B16</f>
        <v>应收保费</v>
      </c>
      <c r="B17" s="236">
        <f>合并BS汇总!B17</f>
        <v>0</v>
      </c>
      <c r="C17" s="236">
        <f>SUMIF(权益抵销!$E$5:$E$65537,IF(OR(MID(TRIM($A17),2,1)="：",MID(TRIM($A17),2,1)="、"),REPLACEB(TRIM($A17),1,4,""),TRIM($A17)),权益抵销!$J$5:$J$65537)</f>
        <v>0</v>
      </c>
      <c r="D17" s="236">
        <f>SUMIF(权益抵销!$H$5:$H$65537,IF(OR(MID(TRIM($A17),2,1)="：",MID(TRIM($A17),2,1)="、"),REPLACEB(TRIM($A17),1,4,""),TRIM($A17)),权益抵销!$J$5:$J$65537)</f>
        <v>0</v>
      </c>
      <c r="E17" s="236">
        <f>SUMIF(往来交易抵销!$E$5:$E$65536,IF(OR(MID(TRIM($A17),2,1)="：",MID(TRIM($A17),2,1)="、"),REPLACEB(TRIM($A17),1,4,""),TRIM($A17)),往来交易抵销!$J$5:$J$65536)</f>
        <v>0</v>
      </c>
      <c r="F17" s="236">
        <f>SUMIF(往来交易抵销!$H$5:$H$65536,IF(OR(MID(TRIM($A17),2,1)="：",MID(TRIM($A17),2,1)="、"),REPLACEB(TRIM($A17),1,4,""),TRIM($A17)),往来交易抵销!$J$5:$J$65536)</f>
        <v>0</v>
      </c>
      <c r="G17" s="236">
        <f>SUMIF('合并报表调整 '!$E$5:$E$65536,IF(OR(MID(TRIM($A17),2,1)="：",MID(TRIM($A17),2,1)="、"),REPLACEB(TRIM($A17),1,4,""),TRIM($A17)),'合并报表调整 '!$J$5:$J$65536)</f>
        <v>0</v>
      </c>
      <c r="H17" s="236">
        <f>SUMIF('合并报表调整 '!$H$5:$H$65536,IF(OR(MID(TRIM($A17),2,1)="：",MID(TRIM($A17),2,1)="、"),REPLACEB(TRIM($A17),1,4,""),TRIM($A17)),'合并报表调整 '!$J$5:$J$65536)</f>
        <v>0</v>
      </c>
      <c r="I17" s="236">
        <f t="shared" ref="I17:I19" si="8">B17+E17+G17-F17-H17+C17-D17</f>
        <v>0</v>
      </c>
      <c r="J17" s="236"/>
      <c r="K17" s="237">
        <f t="shared" ref="K17:K19" si="9">SUM(I17:J17)</f>
        <v>0</v>
      </c>
    </row>
    <row r="18" spans="1:11" ht="14.45" customHeight="1">
      <c r="A18" s="97" t="str">
        <f>报表格式!B17</f>
        <v>应收分保账款</v>
      </c>
      <c r="B18" s="236">
        <f>合并BS汇总!B18</f>
        <v>0</v>
      </c>
      <c r="C18" s="236">
        <f>SUMIF(权益抵销!$E$5:$E$65537,IF(OR(MID(TRIM($A18),2,1)="：",MID(TRIM($A18),2,1)="、"),REPLACEB(TRIM($A18),1,4,""),TRIM($A18)),权益抵销!$J$5:$J$65537)</f>
        <v>0</v>
      </c>
      <c r="D18" s="236">
        <f>SUMIF(权益抵销!$H$5:$H$65537,IF(OR(MID(TRIM($A18),2,1)="：",MID(TRIM($A18),2,1)="、"),REPLACEB(TRIM($A18),1,4,""),TRIM($A18)),权益抵销!$J$5:$J$65537)</f>
        <v>0</v>
      </c>
      <c r="E18" s="236">
        <f>SUMIF(往来交易抵销!$E$5:$E$65536,IF(OR(MID(TRIM($A18),2,1)="：",MID(TRIM($A18),2,1)="、"),REPLACEB(TRIM($A18),1,4,""),TRIM($A18)),往来交易抵销!$J$5:$J$65536)</f>
        <v>0</v>
      </c>
      <c r="F18" s="236">
        <f>SUMIF(往来交易抵销!$H$5:$H$65536,IF(OR(MID(TRIM($A18),2,1)="：",MID(TRIM($A18),2,1)="、"),REPLACEB(TRIM($A18),1,4,""),TRIM($A18)),往来交易抵销!$J$5:$J$65536)</f>
        <v>0</v>
      </c>
      <c r="G18" s="236">
        <f>SUMIF('合并报表调整 '!$E$5:$E$65536,IF(OR(MID(TRIM($A18),2,1)="：",MID(TRIM($A18),2,1)="、"),REPLACEB(TRIM($A18),1,4,""),TRIM($A18)),'合并报表调整 '!$J$5:$J$65536)</f>
        <v>0</v>
      </c>
      <c r="H18" s="236">
        <f>SUMIF('合并报表调整 '!$H$5:$H$65536,IF(OR(MID(TRIM($A18),2,1)="：",MID(TRIM($A18),2,1)="、"),REPLACEB(TRIM($A18),1,4,""),TRIM($A18)),'合并报表调整 '!$J$5:$J$65536)</f>
        <v>0</v>
      </c>
      <c r="I18" s="236">
        <f t="shared" si="8"/>
        <v>0</v>
      </c>
      <c r="J18" s="236"/>
      <c r="K18" s="237">
        <f t="shared" si="9"/>
        <v>0</v>
      </c>
    </row>
    <row r="19" spans="1:11" ht="14.45" customHeight="1">
      <c r="A19" s="97" t="str">
        <f>报表格式!B18</f>
        <v>应收分保准备金</v>
      </c>
      <c r="B19" s="236">
        <f>合并BS汇总!B19</f>
        <v>0</v>
      </c>
      <c r="C19" s="236">
        <f>SUMIF(权益抵销!$E$5:$E$65537,IF(OR(MID(TRIM($A19),2,1)="：",MID(TRIM($A19),2,1)="、"),REPLACEB(TRIM($A19),1,4,""),TRIM($A19)),权益抵销!$J$5:$J$65537)</f>
        <v>0</v>
      </c>
      <c r="D19" s="236">
        <f>SUMIF(权益抵销!$H$5:$H$65537,IF(OR(MID(TRIM($A19),2,1)="：",MID(TRIM($A19),2,1)="、"),REPLACEB(TRIM($A19),1,4,""),TRIM($A19)),权益抵销!$J$5:$J$65537)</f>
        <v>0</v>
      </c>
      <c r="E19" s="236">
        <f>SUMIF(往来交易抵销!$E$5:$E$65536,IF(OR(MID(TRIM($A19),2,1)="：",MID(TRIM($A19),2,1)="、"),REPLACEB(TRIM($A19),1,4,""),TRIM($A19)),往来交易抵销!$J$5:$J$65536)</f>
        <v>0</v>
      </c>
      <c r="F19" s="236">
        <f>SUMIF(往来交易抵销!$H$5:$H$65536,IF(OR(MID(TRIM($A19),2,1)="：",MID(TRIM($A19),2,1)="、"),REPLACEB(TRIM($A19),1,4,""),TRIM($A19)),往来交易抵销!$J$5:$J$65536)</f>
        <v>0</v>
      </c>
      <c r="G19" s="236">
        <f>SUMIF('合并报表调整 '!$E$5:$E$65536,IF(OR(MID(TRIM($A19),2,1)="：",MID(TRIM($A19),2,1)="、"),REPLACEB(TRIM($A19),1,4,""),TRIM($A19)),'合并报表调整 '!$J$5:$J$65536)</f>
        <v>0</v>
      </c>
      <c r="H19" s="236">
        <f>SUMIF('合并报表调整 '!$H$5:$H$65536,IF(OR(MID(TRIM($A19),2,1)="：",MID(TRIM($A19),2,1)="、"),REPLACEB(TRIM($A19),1,4,""),TRIM($A19)),'合并报表调整 '!$J$5:$J$65536)</f>
        <v>0</v>
      </c>
      <c r="I19" s="236">
        <f t="shared" si="8"/>
        <v>0</v>
      </c>
      <c r="J19" s="236"/>
      <c r="K19" s="237">
        <f t="shared" si="9"/>
        <v>0</v>
      </c>
    </row>
    <row r="20" spans="1:11" ht="14.45" customHeight="1">
      <c r="A20" s="97" t="str">
        <f>报表格式!B19</f>
        <v>其他应收款</v>
      </c>
      <c r="B20" s="236">
        <f>合并BS汇总!B20</f>
        <v>0</v>
      </c>
      <c r="C20" s="236">
        <f>SUMIF(权益抵销!$E$5:$E$65537,IF(OR(MID(TRIM($A20),2,1)="：",MID(TRIM($A20),2,1)="、"),REPLACEB(TRIM($A20),1,4,""),TRIM($A20)),权益抵销!$J$5:$J$65537)</f>
        <v>0</v>
      </c>
      <c r="D20" s="236">
        <f>SUMIF(权益抵销!$H$5:$H$65537,IF(OR(MID(TRIM($A20),2,1)="：",MID(TRIM($A20),2,1)="、"),REPLACEB(TRIM($A20),1,4,""),TRIM($A20)),权益抵销!$J$5:$J$65537)</f>
        <v>0</v>
      </c>
      <c r="E20" s="236">
        <f>SUMIF(往来交易抵销!$E$5:$E$65536,IF(OR(MID(TRIM($A20),2,1)="：",MID(TRIM($A20),2,1)="、"),REPLACEB(TRIM($A20),1,4,""),TRIM($A20)),往来交易抵销!$J$5:$J$65536)</f>
        <v>0</v>
      </c>
      <c r="F20" s="236">
        <f>SUMIF(往来交易抵销!$H$5:$H$65536,IF(OR(MID(TRIM($A20),2,1)="：",MID(TRIM($A20),2,1)="、"),REPLACEB(TRIM($A20),1,4,""),TRIM($A20)),往来交易抵销!$J$5:$J$65536)</f>
        <v>0</v>
      </c>
      <c r="G20" s="236">
        <f>SUMIF('合并报表调整 '!$E$5:$E$65536,IF(OR(MID(TRIM($A20),2,1)="：",MID(TRIM($A20),2,1)="、"),REPLACEB(TRIM($A20),1,4,""),TRIM($A20)),'合并报表调整 '!$J$5:$J$65536)</f>
        <v>0</v>
      </c>
      <c r="H20" s="236">
        <f>SUMIF('合并报表调整 '!$H$5:$H$65536,IF(OR(MID(TRIM($A20),2,1)="：",MID(TRIM($A20),2,1)="、"),REPLACEB(TRIM($A20),1,4,""),TRIM($A20)),'合并报表调整 '!$J$5:$J$65536)</f>
        <v>0</v>
      </c>
      <c r="I20" s="236">
        <f t="shared" si="3"/>
        <v>0</v>
      </c>
      <c r="J20" s="236"/>
      <c r="K20" s="237">
        <f t="shared" si="0"/>
        <v>0</v>
      </c>
    </row>
    <row r="21" spans="1:11" ht="14.45" customHeight="1">
      <c r="A21" s="97" t="str">
        <f>报表格式!B20</f>
        <v xml:space="preserve">  其中：应收利息</v>
      </c>
      <c r="B21" s="236">
        <f>合并BS汇总!B21</f>
        <v>0</v>
      </c>
      <c r="C21" s="814">
        <f>SUMIF(权益抵销!$F$5:$F$65537,IF(OR(MID(TRIM($A21),3,1)="：",MID(TRIM($A21),2,1)="、"),REPLACEB(TRIM($A21),1,6,""),TRIM($A21)),权益抵销!$J$5:$J$65537)</f>
        <v>0</v>
      </c>
      <c r="D21" s="814">
        <f>SUMIF(权益抵销!$I$5:$I$65537,IF(OR(MID(TRIM($A21),3,1)="：",MID(TRIM($A21),2,1)="、"),REPLACEB(TRIM($A21),1,6,""),TRIM($A21)),权益抵销!$J$5:$J$65537)</f>
        <v>0</v>
      </c>
      <c r="E21" s="814">
        <f>SUMIF(往来交易抵销!$F$5:$F$65536,IF(OR(MID(TRIM($A21),3,1)="：",MID(TRIM($A21),2,1)="、"),REPLACEB(TRIM($A21),1,6,""),TRIM($A21)),往来交易抵销!$J$5:$J$65536)</f>
        <v>0</v>
      </c>
      <c r="F21" s="814">
        <f>SUMIF(往来交易抵销!$I$5:$I$65536,IF(OR(MID(TRIM($A21),3,1)="：",MID(TRIM($A21),2,1)="、"),REPLACEB(TRIM($A21),1,6,""),TRIM($A21)),往来交易抵销!$J$5:$J$65536)</f>
        <v>0</v>
      </c>
      <c r="G21" s="814">
        <f>SUMIF('合并报表调整 '!$F$5:$F$65536,IF(OR(MID(TRIM($A21),3,1)="：",MID(TRIM($A21),2,1)="、"),REPLACEB(TRIM($A21),1,6,""),TRIM($A21)),'合并报表调整 '!$J$5:$J$65536)</f>
        <v>0</v>
      </c>
      <c r="H21" s="814">
        <f>SUMIF('合并报表调整 '!$I$5:$I$65536,IF(OR(MID(TRIM($A21),3,1)="：",MID(TRIM($A21),2,1)="、"),REPLACEB(TRIM($A21),1,6,""),TRIM($A21)),'合并报表调整 '!$J$5:$J$65536)</f>
        <v>0</v>
      </c>
      <c r="I21" s="236">
        <f t="shared" ref="I21:I23" si="10">B21+E21+G21-F21-H21+C21-D21</f>
        <v>0</v>
      </c>
      <c r="J21" s="236"/>
      <c r="K21" s="237">
        <f t="shared" ref="K21:K22" si="11">SUM(I21:J21)</f>
        <v>0</v>
      </c>
    </row>
    <row r="22" spans="1:11" ht="14.45" customHeight="1">
      <c r="A22" s="97" t="str">
        <f>报表格式!B21</f>
        <v xml:space="preserve">        应收股利</v>
      </c>
      <c r="B22" s="236">
        <f>合并BS汇总!B22</f>
        <v>0</v>
      </c>
      <c r="C22" s="236">
        <f>SUMIF(权益抵销!$F$5:$F$65537,IF(OR(MID(TRIM($A22),2,1)="：",MID(TRIM($A22),2,1)="、"),REPLACEB(TRIM($A22),1,4,""),TRIM($A22)),权益抵销!$J$5:$J$65537)</f>
        <v>0</v>
      </c>
      <c r="D22" s="236">
        <f>SUMIF(权益抵销!$I$5:$I$65537,IF(OR(MID(TRIM($A22),2,1)="：",MID(TRIM($A22),2,1)="、"),REPLACEB(TRIM($A22),1,4,""),TRIM($A22)),权益抵销!$J$5:$J$65537)</f>
        <v>0</v>
      </c>
      <c r="E22" s="236">
        <f>SUMIF(往来交易抵销!$F$5:$F$65536,IF(OR(MID(TRIM($A22),2,1)="：",MID(TRIM($A22),2,1)="、"),REPLACEB(TRIM($A22),1,4,""),TRIM($A22)),往来交易抵销!$J$5:$J$65536)</f>
        <v>0</v>
      </c>
      <c r="F22" s="236">
        <f>SUMIF(往来交易抵销!$I$5:$I$65536,IF(OR(MID(TRIM($A22),2,1)="：",MID(TRIM($A22),2,1)="、"),REPLACEB(TRIM($A22),1,4,""),TRIM($A22)),往来交易抵销!$J$5:$J$65536)</f>
        <v>0</v>
      </c>
      <c r="G22" s="236">
        <f>SUMIF('合并报表调整 '!$F$5:$F$65536,IF(OR(MID(TRIM($A22),2,1)="：",MID(TRIM($A22),2,1)="、"),REPLACEB(TRIM($A22),1,4,""),TRIM($A22)),'合并报表调整 '!$J$5:$J$65536)</f>
        <v>0</v>
      </c>
      <c r="H22" s="236">
        <f>SUMIF('合并报表调整 '!$I$5:$I$65536,IF(OR(MID(TRIM($A22),2,1)="：",MID(TRIM($A22),2,1)="、"),REPLACEB(TRIM($A22),1,4,""),TRIM($A22)),'合并报表调整 '!$J$5:$J$65536)</f>
        <v>0</v>
      </c>
      <c r="I22" s="236">
        <f t="shared" si="10"/>
        <v>0</v>
      </c>
      <c r="J22" s="236"/>
      <c r="K22" s="237">
        <f t="shared" si="11"/>
        <v>0</v>
      </c>
    </row>
    <row r="23" spans="1:11" ht="14.45" customHeight="1">
      <c r="A23" s="97" t="str">
        <f>报表格式!B22</f>
        <v>买入返售金融资产</v>
      </c>
      <c r="B23" s="236">
        <f>合并BS汇总!B23</f>
        <v>0</v>
      </c>
      <c r="C23" s="236">
        <f>SUMIF(权益抵销!$E$5:$E$65537,IF(OR(MID(TRIM($A23),2,1)="：",MID(TRIM($A23),2,1)="、"),REPLACEB(TRIM($A23),1,4,""),TRIM($A23)),权益抵销!$J$5:$J$65537)</f>
        <v>0</v>
      </c>
      <c r="D23" s="236">
        <f>SUMIF(权益抵销!$H$5:$H$65537,IF(OR(MID(TRIM($A23),2,1)="：",MID(TRIM($A23),2,1)="、"),REPLACEB(TRIM($A23),1,4,""),TRIM($A23)),权益抵销!$J$5:$J$65537)</f>
        <v>0</v>
      </c>
      <c r="E23" s="236">
        <f>SUMIF(往来交易抵销!$E$5:$E$65536,IF(OR(MID(TRIM($A23),2,1)="：",MID(TRIM($A23),2,1)="、"),REPLACEB(TRIM($A23),1,4,""),TRIM($A23)),往来交易抵销!$J$5:$J$65536)</f>
        <v>0</v>
      </c>
      <c r="F23" s="236">
        <f>SUMIF(往来交易抵销!$H$5:$H$65536,IF(OR(MID(TRIM($A23),2,1)="：",MID(TRIM($A23),2,1)="、"),REPLACEB(TRIM($A23),1,4,""),TRIM($A23)),往来交易抵销!$J$5:$J$65536)</f>
        <v>0</v>
      </c>
      <c r="G23" s="236">
        <f>SUMIF('合并报表调整 '!$E$5:$E$65536,IF(OR(MID(TRIM($A23),2,1)="：",MID(TRIM($A23),2,1)="、"),REPLACEB(TRIM($A23),1,4,""),TRIM($A23)),'合并报表调整 '!$J$5:$J$65536)</f>
        <v>0</v>
      </c>
      <c r="H23" s="236">
        <f>SUMIF('合并报表调整 '!$H$5:$H$65536,IF(OR(MID(TRIM($A23),2,1)="：",MID(TRIM($A23),2,1)="、"),REPLACEB(TRIM($A23),1,4,""),TRIM($A23)),'合并报表调整 '!$J$5:$J$65536)</f>
        <v>0</v>
      </c>
      <c r="I23" s="236">
        <f t="shared" si="10"/>
        <v>0</v>
      </c>
      <c r="J23" s="236"/>
      <c r="K23" s="237">
        <f t="shared" ref="K23" si="12">SUM(I23:J23)</f>
        <v>0</v>
      </c>
    </row>
    <row r="24" spans="1:11" ht="14.45" customHeight="1">
      <c r="A24" s="97" t="str">
        <f>报表格式!B23</f>
        <v>存货</v>
      </c>
      <c r="B24" s="236">
        <f>合并BS汇总!B24</f>
        <v>0</v>
      </c>
      <c r="C24" s="236">
        <f>SUMIF(权益抵销!$E$5:$E$65537,IF(OR(MID(TRIM($A24),2,1)="：",MID(TRIM($A24),2,1)="、"),REPLACEB(TRIM($A24),1,4,""),TRIM($A24)),权益抵销!$J$5:$J$65537)</f>
        <v>0</v>
      </c>
      <c r="D24" s="236">
        <f>SUMIF(权益抵销!$H$5:$H$65537,IF(OR(MID(TRIM($A24),2,1)="：",MID(TRIM($A24),2,1)="、"),REPLACEB(TRIM($A24),1,4,""),TRIM($A24)),权益抵销!$J$5:$J$65537)</f>
        <v>0</v>
      </c>
      <c r="E24" s="236">
        <f>SUMIF(往来交易抵销!$E$5:$E$65536,IF(OR(MID(TRIM($A24),2,1)="：",MID(TRIM($A24),2,1)="、"),REPLACEB(TRIM($A24),1,4,""),TRIM($A24)),往来交易抵销!$J$5:$J$65536)</f>
        <v>0</v>
      </c>
      <c r="F24" s="236">
        <f>SUMIF(往来交易抵销!$H$5:$H$65536,IF(OR(MID(TRIM($A24),2,1)="：",MID(TRIM($A24),2,1)="、"),REPLACEB(TRIM($A24),1,4,""),TRIM($A24)),往来交易抵销!$J$5:$J$65536)</f>
        <v>0</v>
      </c>
      <c r="G24" s="236">
        <f>SUMIF('合并报表调整 '!$E$5:$E$65536,IF(OR(MID(TRIM($A24),2,1)="：",MID(TRIM($A24),2,1)="、"),REPLACEB(TRIM($A24),1,4,""),TRIM($A24)),'合并报表调整 '!$J$5:$J$65536)</f>
        <v>0</v>
      </c>
      <c r="H24" s="236">
        <f>SUMIF('合并报表调整 '!$H$5:$H$65536,IF(OR(MID(TRIM($A24),2,1)="：",MID(TRIM($A24),2,1)="、"),REPLACEB(TRIM($A24),1,4,""),TRIM($A24)),'合并报表调整 '!$J$5:$J$65536)</f>
        <v>0</v>
      </c>
      <c r="I24" s="236">
        <f t="shared" si="3"/>
        <v>0</v>
      </c>
      <c r="J24" s="236"/>
      <c r="K24" s="237">
        <f t="shared" si="0"/>
        <v>0</v>
      </c>
    </row>
    <row r="25" spans="1:11" ht="14.45" customHeight="1">
      <c r="A25" s="97" t="str">
        <f>报表格式!B24</f>
        <v>合同资产</v>
      </c>
      <c r="B25" s="236">
        <f>合并BS汇总!B25</f>
        <v>0</v>
      </c>
      <c r="C25" s="236">
        <f>SUMIF(权益抵销!$E$5:$E$65537,IF(OR(MID(TRIM($A25),2,1)="：",MID(TRIM($A25),2,1)="、"),REPLACEB(TRIM($A25),1,4,""),TRIM($A25)),权益抵销!$J$5:$J$65537)</f>
        <v>0</v>
      </c>
      <c r="D25" s="236">
        <f>SUMIF(权益抵销!$H$5:$H$65537,IF(OR(MID(TRIM($A25),2,1)="：",MID(TRIM($A25),2,1)="、"),REPLACEB(TRIM($A25),1,4,""),TRIM($A25)),权益抵销!$J$5:$J$65537)</f>
        <v>0</v>
      </c>
      <c r="E25" s="236">
        <f>SUMIF(往来交易抵销!$E$5:$E$65536,IF(OR(MID(TRIM($A25),2,1)="：",MID(TRIM($A25),2,1)="、"),REPLACEB(TRIM($A25),1,4,""),TRIM($A25)),往来交易抵销!$J$5:$J$65536)</f>
        <v>0</v>
      </c>
      <c r="F25" s="236">
        <f>SUMIF(往来交易抵销!$H$5:$H$65536,IF(OR(MID(TRIM($A25),2,1)="：",MID(TRIM($A25),2,1)="、"),REPLACEB(TRIM($A25),1,4,""),TRIM($A25)),往来交易抵销!$J$5:$J$65536)</f>
        <v>0</v>
      </c>
      <c r="G25" s="236">
        <f>SUMIF('合并报表调整 '!$E$5:$E$65536,IF(OR(MID(TRIM($A25),2,1)="：",MID(TRIM($A25),2,1)="、"),REPLACEB(TRIM($A25),1,4,""),TRIM($A25)),'合并报表调整 '!$J$5:$J$65536)</f>
        <v>0</v>
      </c>
      <c r="H25" s="236">
        <f>SUMIF('合并报表调整 '!$H$5:$H$65536,IF(OR(MID(TRIM($A25),2,1)="：",MID(TRIM($A25),2,1)="、"),REPLACEB(TRIM($A25),1,4,""),TRIM($A25)),'合并报表调整 '!$J$5:$J$65536)</f>
        <v>0</v>
      </c>
      <c r="I25" s="236">
        <f t="shared" si="3"/>
        <v>0</v>
      </c>
      <c r="J25" s="236"/>
      <c r="K25" s="237">
        <f t="shared" si="0"/>
        <v>0</v>
      </c>
    </row>
    <row r="26" spans="1:11" ht="14.45" customHeight="1">
      <c r="A26" s="97" t="str">
        <f>报表格式!B25</f>
        <v>持有待售资产</v>
      </c>
      <c r="B26" s="236">
        <f>合并BS汇总!B26</f>
        <v>0</v>
      </c>
      <c r="C26" s="236">
        <f>SUMIF(权益抵销!$E$5:$E$65537,IF(OR(MID(TRIM($A26),2,1)="：",MID(TRIM($A26),2,1)="、"),REPLACEB(TRIM($A26),1,4,""),TRIM($A26)),权益抵销!$J$5:$J$65537)</f>
        <v>0</v>
      </c>
      <c r="D26" s="236">
        <f>SUMIF(权益抵销!$H$5:$H$65537,IF(OR(MID(TRIM($A26),2,1)="：",MID(TRIM($A26),2,1)="、"),REPLACEB(TRIM($A26),1,4,""),TRIM($A26)),权益抵销!$J$5:$J$65537)</f>
        <v>0</v>
      </c>
      <c r="E26" s="236">
        <f>SUMIF(往来交易抵销!$E$5:$E$65536,IF(OR(MID(TRIM($A26),2,1)="：",MID(TRIM($A26),2,1)="、"),REPLACEB(TRIM($A26),1,4,""),TRIM($A26)),往来交易抵销!$J$5:$J$65536)</f>
        <v>0</v>
      </c>
      <c r="F26" s="236">
        <f>SUMIF(往来交易抵销!$H$5:$H$65536,IF(OR(MID(TRIM($A26),2,1)="：",MID(TRIM($A26),2,1)="、"),REPLACEB(TRIM($A26),1,4,""),TRIM($A26)),往来交易抵销!$J$5:$J$65536)</f>
        <v>0</v>
      </c>
      <c r="G26" s="236">
        <f>SUMIF('合并报表调整 '!$E$5:$E$65536,IF(OR(MID(TRIM($A26),2,1)="：",MID(TRIM($A26),2,1)="、"),REPLACEB(TRIM($A26),1,4,""),TRIM($A26)),'合并报表调整 '!$J$5:$J$65536)</f>
        <v>0</v>
      </c>
      <c r="H26" s="236">
        <f>SUMIF('合并报表调整 '!$H$5:$H$65536,IF(OR(MID(TRIM($A26),2,1)="：",MID(TRIM($A26),2,1)="、"),REPLACEB(TRIM($A26),1,4,""),TRIM($A26)),'合并报表调整 '!$J$5:$J$65536)</f>
        <v>0</v>
      </c>
      <c r="I26" s="236">
        <f t="shared" si="3"/>
        <v>0</v>
      </c>
      <c r="J26" s="236"/>
      <c r="K26" s="237">
        <f t="shared" si="0"/>
        <v>0</v>
      </c>
    </row>
    <row r="27" spans="1:11" ht="14.45" customHeight="1">
      <c r="A27" s="97" t="str">
        <f>报表格式!B26</f>
        <v>一年内到期的非流动资产</v>
      </c>
      <c r="B27" s="236">
        <f>合并BS汇总!B27</f>
        <v>0</v>
      </c>
      <c r="C27" s="236">
        <f>SUMIF(权益抵销!$E$5:$E$65537,IF(OR(MID(TRIM($A27),2,1)="：",MID(TRIM($A27),2,1)="、"),REPLACEB(TRIM($A27),1,4,""),TRIM($A27)),权益抵销!$J$5:$J$65537)</f>
        <v>0</v>
      </c>
      <c r="D27" s="236">
        <f>SUMIF(权益抵销!$H$5:$H$65537,IF(OR(MID(TRIM($A27),2,1)="：",MID(TRIM($A27),2,1)="、"),REPLACEB(TRIM($A27),1,4,""),TRIM($A27)),权益抵销!$J$5:$J$65537)</f>
        <v>0</v>
      </c>
      <c r="E27" s="236">
        <f>SUMIF(往来交易抵销!$E$5:$E$65536,IF(OR(MID(TRIM($A27),2,1)="：",MID(TRIM($A27),2,1)="、"),REPLACEB(TRIM($A27),1,4,""),TRIM($A27)),往来交易抵销!$J$5:$J$65536)</f>
        <v>0</v>
      </c>
      <c r="F27" s="236">
        <f>SUMIF(往来交易抵销!$H$5:$H$65536,IF(OR(MID(TRIM($A27),2,1)="：",MID(TRIM($A27),2,1)="、"),REPLACEB(TRIM($A27),1,4,""),TRIM($A27)),往来交易抵销!$J$5:$J$65536)</f>
        <v>0</v>
      </c>
      <c r="G27" s="236">
        <f>SUMIF('合并报表调整 '!$E$5:$E$65536,IF(OR(MID(TRIM($A27),2,1)="：",MID(TRIM($A27),2,1)="、"),REPLACEB(TRIM($A27),1,4,""),TRIM($A27)),'合并报表调整 '!$J$5:$J$65536)</f>
        <v>0</v>
      </c>
      <c r="H27" s="236">
        <f>SUMIF('合并报表调整 '!$H$5:$H$65536,IF(OR(MID(TRIM($A27),2,1)="：",MID(TRIM($A27),2,1)="、"),REPLACEB(TRIM($A27),1,4,""),TRIM($A27)),'合并报表调整 '!$J$5:$J$65536)</f>
        <v>0</v>
      </c>
      <c r="I27" s="236">
        <f>B27+E27+G27-F27-H27+C27-D27</f>
        <v>0</v>
      </c>
      <c r="J27" s="236"/>
      <c r="K27" s="237">
        <f>SUM(I27:J27)</f>
        <v>0</v>
      </c>
    </row>
    <row r="28" spans="1:11" ht="14.45" customHeight="1">
      <c r="A28" s="97" t="str">
        <f>报表格式!B27</f>
        <v>其他流动资产</v>
      </c>
      <c r="B28" s="236">
        <f>合并BS汇总!B28</f>
        <v>0</v>
      </c>
      <c r="C28" s="236">
        <f>SUMIF(权益抵销!$E$5:$E$65537,IF(OR(MID(TRIM($A28),2,1)="：",MID(TRIM($A28),2,1)="、"),REPLACEB(TRIM($A28),1,4,""),TRIM($A28)),权益抵销!$J$5:$J$65537)</f>
        <v>0</v>
      </c>
      <c r="D28" s="236">
        <f>SUMIF(权益抵销!$H$5:$H$65537,IF(OR(MID(TRIM($A28),2,1)="：",MID(TRIM($A28),2,1)="、"),REPLACEB(TRIM($A28),1,4,""),TRIM($A28)),权益抵销!$J$5:$J$65537)</f>
        <v>0</v>
      </c>
      <c r="E28" s="236">
        <f>SUMIF(往来交易抵销!$E$5:$E$65536,IF(OR(MID(TRIM($A28),2,1)="：",MID(TRIM($A28),2,1)="、"),REPLACEB(TRIM($A28),1,4,""),TRIM($A28)),往来交易抵销!$J$5:$J$65536)</f>
        <v>0</v>
      </c>
      <c r="F28" s="236">
        <f>SUMIF(往来交易抵销!$H$5:$H$65536,IF(OR(MID(TRIM($A28),2,1)="：",MID(TRIM($A28),2,1)="、"),REPLACEB(TRIM($A28),1,4,""),TRIM($A28)),往来交易抵销!$J$5:$J$65536)</f>
        <v>0</v>
      </c>
      <c r="G28" s="236">
        <f>SUMIF('合并报表调整 '!$E$5:$E$65536,IF(OR(MID(TRIM($A28),2,1)="：",MID(TRIM($A28),2,1)="、"),REPLACEB(TRIM($A28),1,4,""),TRIM($A28)),'合并报表调整 '!$J$5:$J$65536)</f>
        <v>0</v>
      </c>
      <c r="H28" s="236">
        <f>SUMIF('合并报表调整 '!$H$5:$H$65536,IF(OR(MID(TRIM($A28),2,1)="：",MID(TRIM($A28),2,1)="、"),REPLACEB(TRIM($A28),1,4,""),TRIM($A28)),'合并报表调整 '!$J$5:$J$65536)</f>
        <v>0</v>
      </c>
      <c r="I28" s="236">
        <f>B28+E28+G28-F28-H28+C28-D28</f>
        <v>0</v>
      </c>
      <c r="J28" s="236"/>
      <c r="K28" s="237">
        <f>SUM(I28:J28)</f>
        <v>0</v>
      </c>
    </row>
    <row r="29" spans="1:11" ht="14.45" customHeight="1">
      <c r="A29" s="97">
        <f>报表格式!B28</f>
        <v>0</v>
      </c>
      <c r="B29" s="236">
        <f>合并BS汇总!B29</f>
        <v>0</v>
      </c>
      <c r="C29" s="236">
        <f>SUMIF(权益抵销!$E$5:$E$65537,IF(OR(MID(TRIM($A29),2,1)="：",MID(TRIM($A29),2,1)="、"),REPLACEB(TRIM($A29),1,4,""),TRIM($A29)),权益抵销!$J$5:$J$65537)</f>
        <v>0</v>
      </c>
      <c r="D29" s="236">
        <f>SUMIF(权益抵销!$H$5:$H$65537,IF(OR(MID(TRIM($A29),2,1)="：",MID(TRIM($A29),2,1)="、"),REPLACEB(TRIM($A29),1,4,""),TRIM($A29)),权益抵销!$J$5:$J$65537)</f>
        <v>0</v>
      </c>
      <c r="E29" s="236">
        <f>SUMIF(往来交易抵销!$E$5:$E$65536,IF(OR(MID(TRIM($A29),2,1)="：",MID(TRIM($A29),2,1)="、"),REPLACEB(TRIM($A29),1,4,""),TRIM($A29)),往来交易抵销!$J$5:$J$65536)</f>
        <v>0</v>
      </c>
      <c r="F29" s="236">
        <f>SUMIF(往来交易抵销!$H$5:$H$65536,IF(OR(MID(TRIM($A29),2,1)="：",MID(TRIM($A29),2,1)="、"),REPLACEB(TRIM($A29),1,4,""),TRIM($A29)),往来交易抵销!$J$5:$J$65536)</f>
        <v>0</v>
      </c>
      <c r="G29" s="236">
        <f>SUMIF('合并报表调整 '!$E$5:$E$65536,IF(OR(MID(TRIM($A29),2,1)="：",MID(TRIM($A29),2,1)="、"),REPLACEB(TRIM($A29),1,4,""),TRIM($A29)),'合并报表调整 '!$J$5:$J$65536)</f>
        <v>0</v>
      </c>
      <c r="H29" s="236">
        <f>SUMIF('合并报表调整 '!$H$5:$H$65536,IF(OR(MID(TRIM($A29),2,1)="：",MID(TRIM($A29),2,1)="、"),REPLACEB(TRIM($A29),1,4,""),TRIM($A29)),'合并报表调整 '!$J$5:$J$65536)</f>
        <v>0</v>
      </c>
      <c r="I29" s="236">
        <f>B29+E29+G29-F29-H29+C29-D29</f>
        <v>0</v>
      </c>
      <c r="J29" s="236"/>
      <c r="K29" s="237">
        <f>SUM(I29:J29)</f>
        <v>0</v>
      </c>
    </row>
    <row r="30" spans="1:11" ht="14.45" customHeight="1">
      <c r="A30" s="97">
        <f>报表格式!B29</f>
        <v>0</v>
      </c>
      <c r="B30" s="236">
        <f>合并BS汇总!B30</f>
        <v>0</v>
      </c>
      <c r="C30" s="236">
        <f>SUMIF(权益抵销!$E$5:$E$65537,IF(OR(MID(TRIM($A30),2,1)="：",MID(TRIM($A30),2,1)="、"),REPLACEB(TRIM($A30),1,4,""),TRIM($A30)),权益抵销!$J$5:$J$65537)</f>
        <v>0</v>
      </c>
      <c r="D30" s="236">
        <f>SUMIF(权益抵销!$H$5:$H$65537,IF(OR(MID(TRIM($A30),2,1)="：",MID(TRIM($A30),2,1)="、"),REPLACEB(TRIM($A30),1,4,""),TRIM($A30)),权益抵销!$J$5:$J$65537)</f>
        <v>0</v>
      </c>
      <c r="E30" s="236">
        <f>SUMIF(往来交易抵销!$E$5:$E$65536,IF(OR(MID(TRIM($A30),2,1)="：",MID(TRIM($A30),2,1)="、"),REPLACEB(TRIM($A30),1,4,""),TRIM($A30)),往来交易抵销!$J$5:$J$65536)</f>
        <v>0</v>
      </c>
      <c r="F30" s="236">
        <f>SUMIF(往来交易抵销!$H$5:$H$65536,IF(OR(MID(TRIM($A30),2,1)="：",MID(TRIM($A30),2,1)="、"),REPLACEB(TRIM($A30),1,4,""),TRIM($A30)),往来交易抵销!$J$5:$J$65536)</f>
        <v>0</v>
      </c>
      <c r="G30" s="236">
        <f>SUMIF('合并报表调整 '!$E$5:$E$65536,IF(OR(MID(TRIM($A30),2,1)="：",MID(TRIM($A30),2,1)="、"),REPLACEB(TRIM($A30),1,4,""),TRIM($A30)),'合并报表调整 '!$J$5:$J$65536)</f>
        <v>0</v>
      </c>
      <c r="H30" s="236">
        <f>SUMIF('合并报表调整 '!$H$5:$H$65536,IF(OR(MID(TRIM($A30),2,1)="：",MID(TRIM($A30),2,1)="、"),REPLACEB(TRIM($A30),1,4,""),TRIM($A30)),'合并报表调整 '!$J$5:$J$65536)</f>
        <v>0</v>
      </c>
      <c r="I30" s="236">
        <f>B30+E30+G30-F30-H30+C30-D30</f>
        <v>0</v>
      </c>
      <c r="J30" s="236"/>
      <c r="K30" s="237">
        <f>SUM(I30:J30)</f>
        <v>0</v>
      </c>
    </row>
    <row r="31" spans="1:11" s="647" customFormat="1" ht="14.45" customHeight="1">
      <c r="A31" s="98" t="str">
        <f>报表格式!B30</f>
        <v>流动资产合计</v>
      </c>
      <c r="B31" s="242">
        <f t="shared" ref="B31:I31" si="13">SUM(B7:B30)-B21-B22</f>
        <v>0</v>
      </c>
      <c r="C31" s="242">
        <f t="shared" si="13"/>
        <v>0</v>
      </c>
      <c r="D31" s="242">
        <f t="shared" si="13"/>
        <v>0</v>
      </c>
      <c r="E31" s="242">
        <f t="shared" si="13"/>
        <v>0</v>
      </c>
      <c r="F31" s="242">
        <f t="shared" si="13"/>
        <v>0</v>
      </c>
      <c r="G31" s="242">
        <f t="shared" si="13"/>
        <v>0</v>
      </c>
      <c r="H31" s="242">
        <f t="shared" si="13"/>
        <v>0</v>
      </c>
      <c r="I31" s="242">
        <f t="shared" si="13"/>
        <v>0</v>
      </c>
      <c r="J31" s="242">
        <f>SUM(J7:J30)-J25-J26</f>
        <v>0</v>
      </c>
      <c r="K31" s="243">
        <f t="shared" si="0"/>
        <v>0</v>
      </c>
    </row>
    <row r="32" spans="1:11" ht="14.45" customHeight="1">
      <c r="A32" s="99" t="str">
        <f>报表格式!B31</f>
        <v>非流动资产:</v>
      </c>
      <c r="B32" s="236"/>
      <c r="C32" s="236"/>
      <c r="D32" s="236"/>
      <c r="E32" s="236"/>
      <c r="F32" s="236"/>
      <c r="G32" s="236"/>
      <c r="H32" s="236"/>
      <c r="I32" s="236"/>
      <c r="J32" s="236"/>
      <c r="K32" s="237">
        <f t="shared" si="0"/>
        <v>0</v>
      </c>
    </row>
    <row r="33" spans="1:11" ht="14.45" customHeight="1">
      <c r="A33" s="97" t="str">
        <f>报表格式!B32</f>
        <v>发放贷款及垫款</v>
      </c>
      <c r="B33" s="236">
        <f>合并BS汇总!B33</f>
        <v>0</v>
      </c>
      <c r="C33" s="236">
        <f>SUMIF(权益抵销!$E$5:$E$65537,IF(OR(MID(TRIM($A33),2,1)="：",MID(TRIM($A33),2,1)="、"),REPLACEB(TRIM($A33),1,4,""),TRIM($A33)),权益抵销!$J$5:$J$65537)</f>
        <v>0</v>
      </c>
      <c r="D33" s="236">
        <f>SUMIF(权益抵销!$H$5:$H$65537,IF(OR(MID(TRIM($A33),2,1)="：",MID(TRIM($A33),2,1)="、"),REPLACEB(TRIM($A33),1,4,""),TRIM($A33)),权益抵销!$J$5:$J$65537)</f>
        <v>0</v>
      </c>
      <c r="E33" s="236">
        <f>SUMIF(往来交易抵销!$E$5:$E$65536,IF(OR(MID(TRIM($A33),2,1)="：",MID(TRIM($A33),2,1)="、"),REPLACEB(TRIM($A33),1,4,""),TRIM($A33)),往来交易抵销!$J$5:$J$65536)</f>
        <v>0</v>
      </c>
      <c r="F33" s="236">
        <f>SUMIF(往来交易抵销!$H$5:$H$65536,IF(OR(MID(TRIM($A33),2,1)="：",MID(TRIM($A33),2,1)="、"),REPLACEB(TRIM($A33),1,4,""),TRIM($A33)),往来交易抵销!$J$5:$J$65536)</f>
        <v>0</v>
      </c>
      <c r="G33" s="236">
        <f>SUMIF('合并报表调整 '!$E$5:$E$65536,IF(OR(MID(TRIM($A33),2,1)="：",MID(TRIM($A33),2,1)="、"),REPLACEB(TRIM($A33),1,4,""),TRIM($A33)),'合并报表调整 '!$J$5:$J$65536)</f>
        <v>0</v>
      </c>
      <c r="H33" s="236">
        <f>SUMIF('合并报表调整 '!$H$5:$H$65536,IF(OR(MID(TRIM($A33),2,1)="：",MID(TRIM($A33),2,1)="、"),REPLACEB(TRIM($A33),1,4,""),TRIM($A33)),'合并报表调整 '!$J$5:$J$65536)</f>
        <v>0</v>
      </c>
      <c r="I33" s="236">
        <f t="shared" ref="I33" si="14">B33+E33+G33-F33-H33+C33-D33</f>
        <v>0</v>
      </c>
      <c r="J33" s="236"/>
      <c r="K33" s="237">
        <f t="shared" ref="K33" si="15">SUM(I33:J33)</f>
        <v>0</v>
      </c>
    </row>
    <row r="34" spans="1:11" ht="14.45" customHeight="1">
      <c r="A34" s="97" t="str">
        <f>报表格式!B33</f>
        <v>债权投资</v>
      </c>
      <c r="B34" s="236">
        <f>合并BS汇总!B34</f>
        <v>0</v>
      </c>
      <c r="C34" s="236">
        <f>SUMIF(权益抵销!$E$5:$E$65537,IF(OR(MID(TRIM($A34),2,1)="：",MID(TRIM($A34),2,1)="、"),REPLACEB(TRIM($A34),1,4,""),TRIM($A34)),权益抵销!$J$5:$J$65537)</f>
        <v>0</v>
      </c>
      <c r="D34" s="236">
        <f>SUMIF(权益抵销!$H$5:$H$65537,IF(OR(MID(TRIM($A34),2,1)="：",MID(TRIM($A34),2,1)="、"),REPLACEB(TRIM($A34),1,4,""),TRIM($A34)),权益抵销!$J$5:$J$65537)</f>
        <v>0</v>
      </c>
      <c r="E34" s="236">
        <f>SUMIF(往来交易抵销!$E$5:$E$65536,IF(OR(MID(TRIM($A34),2,1)="：",MID(TRIM($A34),2,1)="、"),REPLACEB(TRIM($A34),1,4,""),TRIM($A34)),往来交易抵销!$J$5:$J$65536)</f>
        <v>0</v>
      </c>
      <c r="F34" s="236">
        <f>SUMIF(往来交易抵销!$H$5:$H$65536,IF(OR(MID(TRIM($A34),2,1)="：",MID(TRIM($A34),2,1)="、"),REPLACEB(TRIM($A34),1,4,""),TRIM($A34)),往来交易抵销!$J$5:$J$65536)</f>
        <v>0</v>
      </c>
      <c r="G34" s="236">
        <f>SUMIF('合并报表调整 '!$E$5:$E$65536,IF(OR(MID(TRIM($A34),2,1)="：",MID(TRIM($A34),2,1)="、"),REPLACEB(TRIM($A34),1,4,""),TRIM($A34)),'合并报表调整 '!$J$5:$J$65536)</f>
        <v>0</v>
      </c>
      <c r="H34" s="236">
        <f>SUMIF('合并报表调整 '!$H$5:$H$65536,IF(OR(MID(TRIM($A34),2,1)="：",MID(TRIM($A34),2,1)="、"),REPLACEB(TRIM($A34),1,4,""),TRIM($A34)),'合并报表调整 '!$J$5:$J$65536)</f>
        <v>0</v>
      </c>
      <c r="I34" s="236">
        <f t="shared" si="3"/>
        <v>0</v>
      </c>
      <c r="J34" s="236"/>
      <c r="K34" s="237">
        <f t="shared" si="0"/>
        <v>0</v>
      </c>
    </row>
    <row r="35" spans="1:11" ht="14.45" customHeight="1">
      <c r="A35" s="97" t="str">
        <f>报表格式!B34</f>
        <v>可供出售金融资产</v>
      </c>
      <c r="B35" s="236">
        <f>合并BS汇总!B35</f>
        <v>0</v>
      </c>
      <c r="C35" s="236">
        <f>SUMIF(权益抵销!$E$5:$E$65537,IF(OR(MID(TRIM($A35),2,1)="：",MID(TRIM($A35),2,1)="、"),REPLACEB(TRIM($A35),1,4,""),TRIM($A35)),权益抵销!$J$5:$J$65537)</f>
        <v>0</v>
      </c>
      <c r="D35" s="236">
        <f>SUMIF(权益抵销!$H$5:$H$65537,IF(OR(MID(TRIM($A35),2,1)="：",MID(TRIM($A35),2,1)="、"),REPLACEB(TRIM($A35),1,4,""),TRIM($A35)),权益抵销!$J$5:$J$65537)</f>
        <v>0</v>
      </c>
      <c r="E35" s="236">
        <f>SUMIF(往来交易抵销!$E$5:$E$65536,IF(OR(MID(TRIM($A35),2,1)="：",MID(TRIM($A35),2,1)="、"),REPLACEB(TRIM($A35),1,4,""),TRIM($A35)),往来交易抵销!$J$5:$J$65536)</f>
        <v>0</v>
      </c>
      <c r="F35" s="236">
        <f>SUMIF(往来交易抵销!$H$5:$H$65536,IF(OR(MID(TRIM($A35),2,1)="：",MID(TRIM($A35),2,1)="、"),REPLACEB(TRIM($A35),1,4,""),TRIM($A35)),往来交易抵销!$J$5:$J$65536)</f>
        <v>0</v>
      </c>
      <c r="G35" s="236">
        <f>SUMIF('合并报表调整 '!$E$5:$E$65536,IF(OR(MID(TRIM($A35),2,1)="：",MID(TRIM($A35),2,1)="、"),REPLACEB(TRIM($A35),1,4,""),TRIM($A35)),'合并报表调整 '!$J$5:$J$65536)</f>
        <v>0</v>
      </c>
      <c r="H35" s="236">
        <f>SUMIF('合并报表调整 '!$H$5:$H$65536,IF(OR(MID(TRIM($A35),2,1)="：",MID(TRIM($A35),2,1)="、"),REPLACEB(TRIM($A35),1,4,""),TRIM($A35)),'合并报表调整 '!$J$5:$J$65536)</f>
        <v>0</v>
      </c>
      <c r="I35" s="236">
        <f t="shared" ref="I35:I37" si="16">B35+E35+G35-F35-H35+C35-D35</f>
        <v>0</v>
      </c>
      <c r="J35" s="236"/>
      <c r="K35" s="237">
        <f t="shared" ref="K35:K37" si="17">SUM(I35:J35)</f>
        <v>0</v>
      </c>
    </row>
    <row r="36" spans="1:11" ht="14.45" customHeight="1">
      <c r="A36" s="97" t="str">
        <f>报表格式!B35</f>
        <v>其他债权投资</v>
      </c>
      <c r="B36" s="236">
        <f>合并BS汇总!B36</f>
        <v>0</v>
      </c>
      <c r="C36" s="236">
        <f>SUMIF(权益抵销!$E$5:$E$65537,IF(OR(MID(TRIM($A36),2,1)="：",MID(TRIM($A36),2,1)="、"),REPLACEB(TRIM($A36),1,4,""),TRIM($A36)),权益抵销!$J$5:$J$65537)</f>
        <v>0</v>
      </c>
      <c r="D36" s="236">
        <f>SUMIF(权益抵销!$H$5:$H$65537,IF(OR(MID(TRIM($A36),2,1)="：",MID(TRIM($A36),2,1)="、"),REPLACEB(TRIM($A36),1,4,""),TRIM($A36)),权益抵销!$J$5:$J$65537)</f>
        <v>0</v>
      </c>
      <c r="E36" s="236">
        <f>SUMIF(往来交易抵销!$E$5:$E$65536,IF(OR(MID(TRIM($A36),2,1)="：",MID(TRIM($A36),2,1)="、"),REPLACEB(TRIM($A36),1,4,""),TRIM($A36)),往来交易抵销!$J$5:$J$65536)</f>
        <v>0</v>
      </c>
      <c r="F36" s="236">
        <f>SUMIF(往来交易抵销!$H$5:$H$65536,IF(OR(MID(TRIM($A36),2,1)="：",MID(TRIM($A36),2,1)="、"),REPLACEB(TRIM($A36),1,4,""),TRIM($A36)),往来交易抵销!$J$5:$J$65536)</f>
        <v>0</v>
      </c>
      <c r="G36" s="236">
        <f>SUMIF('合并报表调整 '!$E$5:$E$65536,IF(OR(MID(TRIM($A36),2,1)="：",MID(TRIM($A36),2,1)="、"),REPLACEB(TRIM($A36),1,4,""),TRIM($A36)),'合并报表调整 '!$J$5:$J$65536)</f>
        <v>0</v>
      </c>
      <c r="H36" s="236">
        <f>SUMIF('合并报表调整 '!$H$5:$H$65536,IF(OR(MID(TRIM($A36),2,1)="：",MID(TRIM($A36),2,1)="、"),REPLACEB(TRIM($A36),1,4,""),TRIM($A36)),'合并报表调整 '!$J$5:$J$65536)</f>
        <v>0</v>
      </c>
      <c r="I36" s="236">
        <f t="shared" si="16"/>
        <v>0</v>
      </c>
      <c r="J36" s="236"/>
      <c r="K36" s="237">
        <f t="shared" si="17"/>
        <v>0</v>
      </c>
    </row>
    <row r="37" spans="1:11" ht="14.45" customHeight="1">
      <c r="A37" s="97" t="str">
        <f>报表格式!B36</f>
        <v>持有至到期投资</v>
      </c>
      <c r="B37" s="236">
        <f>合并BS汇总!B37</f>
        <v>0</v>
      </c>
      <c r="C37" s="236">
        <f>SUMIF(权益抵销!$E$5:$E$65537,IF(OR(MID(TRIM($A37),2,1)="：",MID(TRIM($A37),2,1)="、"),REPLACEB(TRIM($A37),1,4,""),TRIM($A37)),权益抵销!$J$5:$J$65537)</f>
        <v>0</v>
      </c>
      <c r="D37" s="236">
        <f>SUMIF(权益抵销!$H$5:$H$65537,IF(OR(MID(TRIM($A37),2,1)="：",MID(TRIM($A37),2,1)="、"),REPLACEB(TRIM($A37),1,4,""),TRIM($A37)),权益抵销!$J$5:$J$65537)</f>
        <v>0</v>
      </c>
      <c r="E37" s="236">
        <f>SUMIF(往来交易抵销!$E$5:$E$65536,IF(OR(MID(TRIM($A37),2,1)="：",MID(TRIM($A37),2,1)="、"),REPLACEB(TRIM($A37),1,4,""),TRIM($A37)),往来交易抵销!$J$5:$J$65536)</f>
        <v>0</v>
      </c>
      <c r="F37" s="236">
        <f>SUMIF(往来交易抵销!$H$5:$H$65536,IF(OR(MID(TRIM($A37),2,1)="：",MID(TRIM($A37),2,1)="、"),REPLACEB(TRIM($A37),1,4,""),TRIM($A37)),往来交易抵销!$J$5:$J$65536)</f>
        <v>0</v>
      </c>
      <c r="G37" s="236">
        <f>SUMIF('合并报表调整 '!$E$5:$E$65536,IF(OR(MID(TRIM($A37),2,1)="：",MID(TRIM($A37),2,1)="、"),REPLACEB(TRIM($A37),1,4,""),TRIM($A37)),'合并报表调整 '!$J$5:$J$65536)</f>
        <v>0</v>
      </c>
      <c r="H37" s="236">
        <f>SUMIF('合并报表调整 '!$H$5:$H$65536,IF(OR(MID(TRIM($A37),2,1)="：",MID(TRIM($A37),2,1)="、"),REPLACEB(TRIM($A37),1,4,""),TRIM($A37)),'合并报表调整 '!$J$5:$J$65536)</f>
        <v>0</v>
      </c>
      <c r="I37" s="236">
        <f t="shared" si="16"/>
        <v>0</v>
      </c>
      <c r="J37" s="236"/>
      <c r="K37" s="237">
        <f t="shared" si="17"/>
        <v>0</v>
      </c>
    </row>
    <row r="38" spans="1:11" ht="14.45" customHeight="1">
      <c r="A38" s="97" t="str">
        <f>报表格式!B37</f>
        <v>长期应收款</v>
      </c>
      <c r="B38" s="236">
        <f>合并BS汇总!B38</f>
        <v>0</v>
      </c>
      <c r="C38" s="236">
        <f>SUMIF(权益抵销!$E$5:$E$65537,IF(OR(MID(TRIM($A38),2,1)="：",MID(TRIM($A38),2,1)="、"),REPLACEB(TRIM($A38),1,4,""),TRIM($A38)),权益抵销!$J$5:$J$65537)</f>
        <v>0</v>
      </c>
      <c r="D38" s="236">
        <f>SUMIF(权益抵销!$H$5:$H$65537,IF(OR(MID(TRIM($A38),2,1)="：",MID(TRIM($A38),2,1)="、"),REPLACEB(TRIM($A38),1,4,""),TRIM($A38)),权益抵销!$J$5:$J$65537)</f>
        <v>0</v>
      </c>
      <c r="E38" s="236">
        <f>SUMIF(往来交易抵销!$E$5:$E$65536,IF(OR(MID(TRIM($A38),2,1)="：",MID(TRIM($A38),2,1)="、"),REPLACEB(TRIM($A38),1,4,""),TRIM($A38)),往来交易抵销!$J$5:$J$65536)</f>
        <v>0</v>
      </c>
      <c r="F38" s="236">
        <f>SUMIF(往来交易抵销!$H$5:$H$65536,IF(OR(MID(TRIM($A38),2,1)="：",MID(TRIM($A38),2,1)="、"),REPLACEB(TRIM($A38),1,4,""),TRIM($A38)),往来交易抵销!$J$5:$J$65536)</f>
        <v>0</v>
      </c>
      <c r="G38" s="236">
        <f>SUMIF('合并报表调整 '!$E$5:$E$65536,IF(OR(MID(TRIM($A38),2,1)="：",MID(TRIM($A38),2,1)="、"),REPLACEB(TRIM($A38),1,4,""),TRIM($A38)),'合并报表调整 '!$J$5:$J$65536)</f>
        <v>0</v>
      </c>
      <c r="H38" s="236">
        <f>SUMIF('合并报表调整 '!$H$5:$H$65536,IF(OR(MID(TRIM($A38),2,1)="：",MID(TRIM($A38),2,1)="、"),REPLACEB(TRIM($A38),1,4,""),TRIM($A38)),'合并报表调整 '!$J$5:$J$65536)</f>
        <v>0</v>
      </c>
      <c r="I38" s="236">
        <f t="shared" si="3"/>
        <v>0</v>
      </c>
      <c r="J38" s="236"/>
      <c r="K38" s="237">
        <f t="shared" si="0"/>
        <v>0</v>
      </c>
    </row>
    <row r="39" spans="1:11" ht="14.45" customHeight="1">
      <c r="A39" s="97" t="str">
        <f>报表格式!B38</f>
        <v>设定受益计划净资产</v>
      </c>
      <c r="B39" s="236">
        <f>合并BS汇总!B39</f>
        <v>0</v>
      </c>
      <c r="C39" s="236">
        <f>SUMIF(权益抵销!$E$5:$E$65537,IF(OR(MID(TRIM($A39),2,1)="：",MID(TRIM($A39),2,1)="、"),REPLACEB(TRIM($A39),1,4,""),TRIM($A39)),权益抵销!$J$5:$J$65537)</f>
        <v>0</v>
      </c>
      <c r="D39" s="236">
        <f>SUMIF(权益抵销!$H$5:$H$65537,IF(OR(MID(TRIM($A39),2,1)="：",MID(TRIM($A39),2,1)="、"),REPLACEB(TRIM($A39),1,4,""),TRIM($A39)),权益抵销!$J$5:$J$65537)</f>
        <v>0</v>
      </c>
      <c r="E39" s="236">
        <f>SUMIF(往来交易抵销!$E$5:$E$65536,IF(OR(MID(TRIM($A39),2,1)="：",MID(TRIM($A39),2,1)="、"),REPLACEB(TRIM($A39),1,4,""),TRIM($A39)),往来交易抵销!$J$5:$J$65536)</f>
        <v>0</v>
      </c>
      <c r="F39" s="236">
        <f>SUMIF(往来交易抵销!$H$5:$H$65536,IF(OR(MID(TRIM($A39),2,1)="：",MID(TRIM($A39),2,1)="、"),REPLACEB(TRIM($A39),1,4,""),TRIM($A39)),往来交易抵销!$J$5:$J$65536)</f>
        <v>0</v>
      </c>
      <c r="G39" s="236">
        <f>SUMIF('合并报表调整 '!$E$5:$E$65536,IF(OR(MID(TRIM($A39),2,1)="：",MID(TRIM($A39),2,1)="、"),REPLACEB(TRIM($A39),1,4,""),TRIM($A39)),'合并报表调整 '!$J$5:$J$65536)</f>
        <v>0</v>
      </c>
      <c r="H39" s="236">
        <f>SUMIF('合并报表调整 '!$H$5:$H$65536,IF(OR(MID(TRIM($A39),2,1)="：",MID(TRIM($A39),2,1)="、"),REPLACEB(TRIM($A39),1,4,""),TRIM($A39)),'合并报表调整 '!$J$5:$J$65536)</f>
        <v>0</v>
      </c>
      <c r="I39" s="236">
        <f>B39+E39+G39-F39-H39+C39-D39</f>
        <v>0</v>
      </c>
      <c r="J39" s="236"/>
      <c r="K39" s="237">
        <f>SUM(I39:J39)</f>
        <v>0</v>
      </c>
    </row>
    <row r="40" spans="1:11" ht="14.45" customHeight="1">
      <c r="A40" s="97" t="str">
        <f>报表格式!B39</f>
        <v>长期股权投资</v>
      </c>
      <c r="B40" s="236">
        <f>合并BS汇总!B40</f>
        <v>0</v>
      </c>
      <c r="C40" s="236">
        <f>SUMIF(权益抵销!$E$5:$E$65537,IF(OR(MID(TRIM($A40),2,1)="：",MID(TRIM($A40),2,1)="、"),REPLACEB(TRIM($A40),1,4,""),TRIM($A40)),权益抵销!$J$5:$J$65537)</f>
        <v>0</v>
      </c>
      <c r="D40" s="236">
        <f>SUMIF(权益抵销!$H$5:$H$65537,IF(OR(MID(TRIM($A40),2,1)="：",MID(TRIM($A40),2,1)="、"),REPLACEB(TRIM($A40),1,4,""),TRIM($A40)),权益抵销!$J$5:$J$65537)</f>
        <v>0</v>
      </c>
      <c r="E40" s="236">
        <f>SUMIF(往来交易抵销!$E$5:$E$65536,IF(OR(MID(TRIM($A40),2,1)="：",MID(TRIM($A40),2,1)="、"),REPLACEB(TRIM($A40),1,4,""),TRIM($A40)),往来交易抵销!$J$5:$J$65536)</f>
        <v>0</v>
      </c>
      <c r="F40" s="236">
        <f>SUMIF(往来交易抵销!$H$5:$H$65536,IF(OR(MID(TRIM($A40),2,1)="：",MID(TRIM($A40),2,1)="、"),REPLACEB(TRIM($A40),1,4,""),TRIM($A40)),往来交易抵销!$J$5:$J$65536)</f>
        <v>0</v>
      </c>
      <c r="G40" s="236">
        <f>SUMIF('合并报表调整 '!$E$5:$E$65536,IF(OR(MID(TRIM($A40),2,1)="：",MID(TRIM($A40),2,1)="、"),REPLACEB(TRIM($A40),1,4,""),TRIM($A40)),'合并报表调整 '!$J$5:$J$65536)</f>
        <v>0</v>
      </c>
      <c r="H40" s="236">
        <f>SUMIF('合并报表调整 '!$H$5:$H$65536,IF(OR(MID(TRIM($A40),2,1)="：",MID(TRIM($A40),2,1)="、"),REPLACEB(TRIM($A40),1,4,""),TRIM($A40)),'合并报表调整 '!$J$5:$J$65536)</f>
        <v>0</v>
      </c>
      <c r="I40" s="236">
        <f t="shared" si="3"/>
        <v>0</v>
      </c>
      <c r="J40" s="236"/>
      <c r="K40" s="237">
        <f t="shared" si="0"/>
        <v>0</v>
      </c>
    </row>
    <row r="41" spans="1:11" ht="14.45" customHeight="1">
      <c r="A41" s="97" t="str">
        <f>报表格式!B40</f>
        <v>其他权益工具投资</v>
      </c>
      <c r="B41" s="236">
        <f>合并BS汇总!B41</f>
        <v>0</v>
      </c>
      <c r="C41" s="236">
        <f>SUMIF(权益抵销!$E$5:$E$65537,IF(OR(MID(TRIM($A41),2,1)="：",MID(TRIM($A41),2,1)="、"),REPLACEB(TRIM($A41),1,4,""),TRIM($A41)),权益抵销!$J$5:$J$65537)</f>
        <v>0</v>
      </c>
      <c r="D41" s="236">
        <f>SUMIF(权益抵销!$H$5:$H$65537,IF(OR(MID(TRIM($A41),2,1)="：",MID(TRIM($A41),2,1)="、"),REPLACEB(TRIM($A41),1,4,""),TRIM($A41)),权益抵销!$J$5:$J$65537)</f>
        <v>0</v>
      </c>
      <c r="E41" s="236">
        <f>SUMIF(往来交易抵销!$E$5:$E$65536,IF(OR(MID(TRIM($A41),2,1)="：",MID(TRIM($A41),2,1)="、"),REPLACEB(TRIM($A41),1,4,""),TRIM($A41)),往来交易抵销!$J$5:$J$65536)</f>
        <v>0</v>
      </c>
      <c r="F41" s="236">
        <f>SUMIF(往来交易抵销!$H$5:$H$65536,IF(OR(MID(TRIM($A41),2,1)="：",MID(TRIM($A41),2,1)="、"),REPLACEB(TRIM($A41),1,4,""),TRIM($A41)),往来交易抵销!$J$5:$J$65536)</f>
        <v>0</v>
      </c>
      <c r="G41" s="236">
        <f>SUMIF('合并报表调整 '!$E$5:$E$65536,IF(OR(MID(TRIM($A41),2,1)="：",MID(TRIM($A41),2,1)="、"),REPLACEB(TRIM($A41),1,4,""),TRIM($A41)),'合并报表调整 '!$J$5:$J$65536)</f>
        <v>0</v>
      </c>
      <c r="H41" s="236">
        <f>SUMIF('合并报表调整 '!$H$5:$H$65536,IF(OR(MID(TRIM($A41),2,1)="：",MID(TRIM($A41),2,1)="、"),REPLACEB(TRIM($A41),1,4,""),TRIM($A41)),'合并报表调整 '!$J$5:$J$65536)</f>
        <v>0</v>
      </c>
      <c r="I41" s="236">
        <f t="shared" si="3"/>
        <v>0</v>
      </c>
      <c r="J41" s="306"/>
      <c r="K41" s="237">
        <f t="shared" si="0"/>
        <v>0</v>
      </c>
    </row>
    <row r="42" spans="1:11" ht="14.45" customHeight="1">
      <c r="A42" s="97" t="str">
        <f>报表格式!B41</f>
        <v>其他非流动金融资产</v>
      </c>
      <c r="B42" s="236">
        <f>合并BS汇总!B42</f>
        <v>0</v>
      </c>
      <c r="C42" s="236">
        <f>SUMIF(权益抵销!$E$5:$E$65537,IF(OR(MID(TRIM($A42),2,1)="：",MID(TRIM($A42),2,1)="、"),REPLACEB(TRIM($A42),1,4,""),TRIM($A42)),权益抵销!$J$5:$J$65537)</f>
        <v>0</v>
      </c>
      <c r="D42" s="236">
        <f>SUMIF(权益抵销!$H$5:$H$65537,IF(OR(MID(TRIM($A42),2,1)="：",MID(TRIM($A42),2,1)="、"),REPLACEB(TRIM($A42),1,4,""),TRIM($A42)),权益抵销!$J$5:$J$65537)</f>
        <v>0</v>
      </c>
      <c r="E42" s="236">
        <f>SUMIF(往来交易抵销!$E$5:$E$65536,IF(OR(MID(TRIM($A42),2,1)="：",MID(TRIM($A42),2,1)="、"),REPLACEB(TRIM($A42),1,4,""),TRIM($A42)),往来交易抵销!$J$5:$J$65536)</f>
        <v>0</v>
      </c>
      <c r="F42" s="236">
        <f>SUMIF(往来交易抵销!$H$5:$H$65536,IF(OR(MID(TRIM($A42),2,1)="：",MID(TRIM($A42),2,1)="、"),REPLACEB(TRIM($A42),1,4,""),TRIM($A42)),往来交易抵销!$J$5:$J$65536)</f>
        <v>0</v>
      </c>
      <c r="G42" s="236">
        <f>SUMIF('合并报表调整 '!$E$5:$E$65536,IF(OR(MID(TRIM($A42),2,1)="：",MID(TRIM($A42),2,1)="、"),REPLACEB(TRIM($A42),1,4,""),TRIM($A42)),'合并报表调整 '!$J$5:$J$65536)</f>
        <v>0</v>
      </c>
      <c r="H42" s="236">
        <f>SUMIF('合并报表调整 '!$H$5:$H$65536,IF(OR(MID(TRIM($A42),2,1)="：",MID(TRIM($A42),2,1)="、"),REPLACEB(TRIM($A42),1,4,""),TRIM($A42)),'合并报表调整 '!$J$5:$J$65536)</f>
        <v>0</v>
      </c>
      <c r="I42" s="236">
        <f t="shared" si="3"/>
        <v>0</v>
      </c>
      <c r="J42" s="236"/>
      <c r="K42" s="237">
        <f t="shared" si="0"/>
        <v>0</v>
      </c>
    </row>
    <row r="43" spans="1:11" ht="14.45" customHeight="1">
      <c r="A43" s="97" t="str">
        <f>报表格式!B42</f>
        <v>投资性房地产</v>
      </c>
      <c r="B43" s="236">
        <f>合并BS汇总!B43</f>
        <v>0</v>
      </c>
      <c r="C43" s="236">
        <f>SUMIF(权益抵销!$E$5:$E$65537,IF(OR(MID(TRIM($A43),2,1)="：",MID(TRIM($A43),2,1)="、"),REPLACEB(TRIM($A43),1,4,""),TRIM($A43)),权益抵销!$J$5:$J$65537)</f>
        <v>0</v>
      </c>
      <c r="D43" s="236">
        <f>SUMIF(权益抵销!$H$5:$H$65537,IF(OR(MID(TRIM($A43),2,1)="：",MID(TRIM($A43),2,1)="、"),REPLACEB(TRIM($A43),1,4,""),TRIM($A43)),权益抵销!$J$5:$J$65537)</f>
        <v>0</v>
      </c>
      <c r="E43" s="236">
        <f>SUMIF(往来交易抵销!$E$5:$E$65536,IF(OR(MID(TRIM($A43),2,1)="：",MID(TRIM($A43),2,1)="、"),REPLACEB(TRIM($A43),1,4,""),TRIM($A43)),往来交易抵销!$J$5:$J$65536)</f>
        <v>0</v>
      </c>
      <c r="F43" s="236">
        <f>SUMIF(往来交易抵销!$H$5:$H$65536,IF(OR(MID(TRIM($A43),2,1)="：",MID(TRIM($A43),2,1)="、"),REPLACEB(TRIM($A43),1,4,""),TRIM($A43)),往来交易抵销!$J$5:$J$65536)</f>
        <v>0</v>
      </c>
      <c r="G43" s="236">
        <f>SUMIF('合并报表调整 '!$E$5:$E$65536,IF(OR(MID(TRIM($A43),2,1)="：",MID(TRIM($A43),2,1)="、"),REPLACEB(TRIM($A43),1,4,""),TRIM($A43)),'合并报表调整 '!$J$5:$J$65536)</f>
        <v>0</v>
      </c>
      <c r="H43" s="236">
        <f>SUMIF('合并报表调整 '!$H$5:$H$65536,IF(OR(MID(TRIM($A43),2,1)="：",MID(TRIM($A43),2,1)="、"),REPLACEB(TRIM($A43),1,4,""),TRIM($A43)),'合并报表调整 '!$J$5:$J$65536)</f>
        <v>0</v>
      </c>
      <c r="I43" s="236">
        <f t="shared" si="3"/>
        <v>0</v>
      </c>
      <c r="J43" s="236"/>
      <c r="K43" s="237">
        <f t="shared" si="0"/>
        <v>0</v>
      </c>
    </row>
    <row r="44" spans="1:11" ht="14.45" customHeight="1">
      <c r="A44" s="97" t="str">
        <f>报表格式!B43</f>
        <v>固定资产</v>
      </c>
      <c r="B44" s="236">
        <f>合并BS汇总!B44</f>
        <v>0</v>
      </c>
      <c r="C44" s="236">
        <f>SUMIF(权益抵销!$E$5:$E$65537,IF(OR(MID(TRIM($A44),2,1)="：",MID(TRIM($A44),2,1)="、"),REPLACEB(TRIM($A44),1,4,""),TRIM($A44)),权益抵销!$J$5:$J$65537)</f>
        <v>0</v>
      </c>
      <c r="D44" s="236">
        <f>SUMIF(权益抵销!$H$5:$H$65537,IF(OR(MID(TRIM($A44),2,1)="：",MID(TRIM($A44),2,1)="、"),REPLACEB(TRIM($A44),1,4,""),TRIM($A44)),权益抵销!$J$5:$J$65537)</f>
        <v>0</v>
      </c>
      <c r="E44" s="236">
        <f>SUMIF(往来交易抵销!$E$5:$E$65536,IF(OR(MID(TRIM($A44),2,1)="：",MID(TRIM($A44),2,1)="、"),REPLACEB(TRIM($A44),1,4,""),TRIM($A44)),往来交易抵销!$J$5:$J$65536)</f>
        <v>0</v>
      </c>
      <c r="F44" s="236">
        <f>SUMIF(往来交易抵销!$H$5:$H$65536,IF(OR(MID(TRIM($A44),2,1)="：",MID(TRIM($A44),2,1)="、"),REPLACEB(TRIM($A44),1,4,""),TRIM($A44)),往来交易抵销!$J$5:$J$65536)</f>
        <v>0</v>
      </c>
      <c r="G44" s="236">
        <f>SUMIF('合并报表调整 '!$E$5:$E$65536,IF(OR(MID(TRIM($A44),2,1)="：",MID(TRIM($A44),2,1)="、"),REPLACEB(TRIM($A44),1,4,""),TRIM($A44)),'合并报表调整 '!$J$5:$J$65536)</f>
        <v>0</v>
      </c>
      <c r="H44" s="236">
        <f>SUMIF('合并报表调整 '!$H$5:$H$65536,IF(OR(MID(TRIM($A44),2,1)="：",MID(TRIM($A44),2,1)="、"),REPLACEB(TRIM($A44),1,4,""),TRIM($A44)),'合并报表调整 '!$J$5:$J$65536)</f>
        <v>0</v>
      </c>
      <c r="I44" s="236">
        <f t="shared" si="3"/>
        <v>0</v>
      </c>
      <c r="J44" s="236"/>
      <c r="K44" s="237">
        <f t="shared" si="0"/>
        <v>0</v>
      </c>
    </row>
    <row r="45" spans="1:11" ht="14.45" customHeight="1">
      <c r="A45" s="97" t="str">
        <f>报表格式!B44</f>
        <v>在建工程</v>
      </c>
      <c r="B45" s="236">
        <f>合并BS汇总!B45</f>
        <v>0</v>
      </c>
      <c r="C45" s="236">
        <f>SUMIF(权益抵销!$E$5:$E$65537,IF(OR(MID(TRIM($A45),2,1)="：",MID(TRIM($A45),2,1)="、"),REPLACEB(TRIM($A45),1,4,""),TRIM($A45)),权益抵销!$J$5:$J$65537)</f>
        <v>0</v>
      </c>
      <c r="D45" s="236">
        <f>SUMIF(权益抵销!$H$5:$H$65537,IF(OR(MID(TRIM($A45),2,1)="：",MID(TRIM($A45),2,1)="、"),REPLACEB(TRIM($A45),1,4,""),TRIM($A45)),权益抵销!$J$5:$J$65537)</f>
        <v>0</v>
      </c>
      <c r="E45" s="236">
        <f>SUMIF(往来交易抵销!$E$5:$E$65536,IF(OR(MID(TRIM($A45),2,1)="：",MID(TRIM($A45),2,1)="、"),REPLACEB(TRIM($A45),1,4,""),TRIM($A45)),往来交易抵销!$J$5:$J$65536)</f>
        <v>0</v>
      </c>
      <c r="F45" s="236">
        <f>SUMIF(往来交易抵销!$H$5:$H$65536,IF(OR(MID(TRIM($A45),2,1)="：",MID(TRIM($A45),2,1)="、"),REPLACEB(TRIM($A45),1,4,""),TRIM($A45)),往来交易抵销!$J$5:$J$65536)</f>
        <v>0</v>
      </c>
      <c r="G45" s="236">
        <f>SUMIF('合并报表调整 '!$E$5:$E$65536,IF(OR(MID(TRIM($A45),2,1)="：",MID(TRIM($A45),2,1)="、"),REPLACEB(TRIM($A45),1,4,""),TRIM($A45)),'合并报表调整 '!$J$5:$J$65536)</f>
        <v>0</v>
      </c>
      <c r="H45" s="236">
        <f>SUMIF('合并报表调整 '!$H$5:$H$65536,IF(OR(MID(TRIM($A45),2,1)="：",MID(TRIM($A45),2,1)="、"),REPLACEB(TRIM($A45),1,4,""),TRIM($A45)),'合并报表调整 '!$J$5:$J$65536)</f>
        <v>0</v>
      </c>
      <c r="I45" s="236">
        <f t="shared" si="3"/>
        <v>0</v>
      </c>
      <c r="J45" s="236"/>
      <c r="K45" s="237">
        <f t="shared" si="0"/>
        <v>0</v>
      </c>
    </row>
    <row r="46" spans="1:11" ht="14.45" customHeight="1">
      <c r="A46" s="97" t="str">
        <f>报表格式!B45</f>
        <v xml:space="preserve">生产性生物资产 </v>
      </c>
      <c r="B46" s="236">
        <f>合并BS汇总!B46</f>
        <v>0</v>
      </c>
      <c r="C46" s="236">
        <f>SUMIF(权益抵销!$E$5:$E$65537,IF(OR(MID(TRIM($A46),2,1)="：",MID(TRIM($A46),2,1)="、"),REPLACEB(TRIM($A46),1,4,""),TRIM($A46)),权益抵销!$J$5:$J$65537)</f>
        <v>0</v>
      </c>
      <c r="D46" s="236">
        <f>SUMIF(权益抵销!$H$5:$H$65537,IF(OR(MID(TRIM($A46),2,1)="：",MID(TRIM($A46),2,1)="、"),REPLACEB(TRIM($A46),1,4,""),TRIM($A46)),权益抵销!$J$5:$J$65537)</f>
        <v>0</v>
      </c>
      <c r="E46" s="236">
        <f>SUMIF(往来交易抵销!$E$5:$E$65536,IF(OR(MID(TRIM($A46),2,1)="：",MID(TRIM($A46),2,1)="、"),REPLACEB(TRIM($A46),1,4,""),TRIM($A46)),往来交易抵销!$J$5:$J$65536)</f>
        <v>0</v>
      </c>
      <c r="F46" s="236">
        <f>SUMIF(往来交易抵销!$H$5:$H$65536,IF(OR(MID(TRIM($A46),2,1)="：",MID(TRIM($A46),2,1)="、"),REPLACEB(TRIM($A46),1,4,""),TRIM($A46)),往来交易抵销!$J$5:$J$65536)</f>
        <v>0</v>
      </c>
      <c r="G46" s="236">
        <f>SUMIF('合并报表调整 '!$E$5:$E$65536,IF(OR(MID(TRIM($A46),2,1)="：",MID(TRIM($A46),2,1)="、"),REPLACEB(TRIM($A46),1,4,""),TRIM($A46)),'合并报表调整 '!$J$5:$J$65536)</f>
        <v>0</v>
      </c>
      <c r="H46" s="236">
        <f>SUMIF('合并报表调整 '!$H$5:$H$65536,IF(OR(MID(TRIM($A46),2,1)="：",MID(TRIM($A46),2,1)="、"),REPLACEB(TRIM($A46),1,4,""),TRIM($A46)),'合并报表调整 '!$J$5:$J$65536)</f>
        <v>0</v>
      </c>
      <c r="I46" s="236">
        <f t="shared" si="3"/>
        <v>0</v>
      </c>
      <c r="J46" s="306"/>
      <c r="K46" s="237">
        <f t="shared" si="0"/>
        <v>0</v>
      </c>
    </row>
    <row r="47" spans="1:11" ht="14.45" customHeight="1">
      <c r="A47" s="97" t="str">
        <f>报表格式!B46</f>
        <v>油气资产</v>
      </c>
      <c r="B47" s="236">
        <f>合并BS汇总!B47</f>
        <v>0</v>
      </c>
      <c r="C47" s="236">
        <f>SUMIF(权益抵销!$E$5:$E$65537,IF(OR(MID(TRIM($A47),2,1)="：",MID(TRIM($A47),2,1)="、"),REPLACEB(TRIM($A47),1,4,""),TRIM($A47)),权益抵销!$J$5:$J$65537)</f>
        <v>0</v>
      </c>
      <c r="D47" s="236">
        <f>SUMIF(权益抵销!$H$5:$H$65537,IF(OR(MID(TRIM($A47),2,1)="：",MID(TRIM($A47),2,1)="、"),REPLACEB(TRIM($A47),1,4,""),TRIM($A47)),权益抵销!$J$5:$J$65537)</f>
        <v>0</v>
      </c>
      <c r="E47" s="236">
        <f>SUMIF(往来交易抵销!$E$5:$E$65536,IF(OR(MID(TRIM($A47),2,1)="：",MID(TRIM($A47),2,1)="、"),REPLACEB(TRIM($A47),1,4,""),TRIM($A47)),往来交易抵销!$J$5:$J$65536)</f>
        <v>0</v>
      </c>
      <c r="F47" s="236">
        <f>SUMIF(往来交易抵销!$H$5:$H$65536,IF(OR(MID(TRIM($A47),2,1)="：",MID(TRIM($A47),2,1)="、"),REPLACEB(TRIM($A47),1,4,""),TRIM($A47)),往来交易抵销!$J$5:$J$65536)</f>
        <v>0</v>
      </c>
      <c r="G47" s="236">
        <f>SUMIF('合并报表调整 '!$E$5:$E$65536,IF(OR(MID(TRIM($A47),2,1)="：",MID(TRIM($A47),2,1)="、"),REPLACEB(TRIM($A47),1,4,""),TRIM($A47)),'合并报表调整 '!$J$5:$J$65536)</f>
        <v>0</v>
      </c>
      <c r="H47" s="236">
        <f>SUMIF('合并报表调整 '!$H$5:$H$65536,IF(OR(MID(TRIM($A47),2,1)="：",MID(TRIM($A47),2,1)="、"),REPLACEB(TRIM($A47),1,4,""),TRIM($A47)),'合并报表调整 '!$J$5:$J$65536)</f>
        <v>0</v>
      </c>
      <c r="I47" s="236">
        <f t="shared" si="3"/>
        <v>0</v>
      </c>
      <c r="J47" s="236"/>
      <c r="K47" s="237">
        <f t="shared" si="0"/>
        <v>0</v>
      </c>
    </row>
    <row r="48" spans="1:11" ht="14.45" customHeight="1">
      <c r="A48" s="97" t="str">
        <f>报表格式!B47</f>
        <v>使用权资产</v>
      </c>
      <c r="B48" s="236">
        <f>合并BS汇总!B48</f>
        <v>0</v>
      </c>
      <c r="C48" s="236">
        <f>SUMIF(权益抵销!$E$5:$E$65537,IF(OR(MID(TRIM($A48),2,1)="：",MID(TRIM($A48),2,1)="、"),REPLACEB(TRIM($A48),1,4,""),TRIM($A48)),权益抵销!$J$5:$J$65537)</f>
        <v>0</v>
      </c>
      <c r="D48" s="236">
        <f>SUMIF(权益抵销!$H$5:$H$65537,IF(OR(MID(TRIM($A48),2,1)="：",MID(TRIM($A48),2,1)="、"),REPLACEB(TRIM($A48),1,4,""),TRIM($A48)),权益抵销!$J$5:$J$65537)</f>
        <v>0</v>
      </c>
      <c r="E48" s="236">
        <f>SUMIF(往来交易抵销!$E$5:$E$65536,IF(OR(MID(TRIM($A48),2,1)="：",MID(TRIM($A48),2,1)="、"),REPLACEB(TRIM($A48),1,4,""),TRIM($A48)),往来交易抵销!$J$5:$J$65536)</f>
        <v>0</v>
      </c>
      <c r="F48" s="236">
        <f>SUMIF(往来交易抵销!$H$5:$H$65536,IF(OR(MID(TRIM($A48),2,1)="：",MID(TRIM($A48),2,1)="、"),REPLACEB(TRIM($A48),1,4,""),TRIM($A48)),往来交易抵销!$J$5:$J$65536)</f>
        <v>0</v>
      </c>
      <c r="G48" s="236">
        <f>SUMIF('合并报表调整 '!$E$5:$E$65536,IF(OR(MID(TRIM($A48),2,1)="：",MID(TRIM($A48),2,1)="、"),REPLACEB(TRIM($A48),1,4,""),TRIM($A48)),'合并报表调整 '!$J$5:$J$65536)</f>
        <v>0</v>
      </c>
      <c r="H48" s="236">
        <f>SUMIF('合并报表调整 '!$H$5:$H$65536,IF(OR(MID(TRIM($A48),2,1)="：",MID(TRIM($A48),2,1)="、"),REPLACEB(TRIM($A48),1,4,""),TRIM($A48)),'合并报表调整 '!$J$5:$J$65536)</f>
        <v>0</v>
      </c>
      <c r="I48" s="236">
        <f t="shared" si="3"/>
        <v>0</v>
      </c>
      <c r="J48" s="236"/>
      <c r="K48" s="237">
        <f t="shared" si="0"/>
        <v>0</v>
      </c>
    </row>
    <row r="49" spans="1:12" ht="14.45" customHeight="1">
      <c r="A49" s="97" t="str">
        <f>报表格式!B48</f>
        <v>无形资产</v>
      </c>
      <c r="B49" s="236">
        <f>合并BS汇总!B49</f>
        <v>0</v>
      </c>
      <c r="C49" s="236">
        <f>SUMIF(权益抵销!$E$5:$E$65537,IF(OR(MID(TRIM($A49),2,1)="：",MID(TRIM($A49),2,1)="、"),REPLACEB(TRIM($A49),1,4,""),TRIM($A49)),权益抵销!$J$5:$J$65537)</f>
        <v>0</v>
      </c>
      <c r="D49" s="236">
        <f>SUMIF(权益抵销!$H$5:$H$65537,IF(OR(MID(TRIM($A49),2,1)="：",MID(TRIM($A49),2,1)="、"),REPLACEB(TRIM($A49),1,4,""),TRIM($A49)),权益抵销!$J$5:$J$65537)</f>
        <v>0</v>
      </c>
      <c r="E49" s="236">
        <f>SUMIF(往来交易抵销!$E$5:$E$65536,IF(OR(MID(TRIM($A49),2,1)="：",MID(TRIM($A49),2,1)="、"),REPLACEB(TRIM($A49),1,4,""),TRIM($A49)),往来交易抵销!$J$5:$J$65536)</f>
        <v>0</v>
      </c>
      <c r="F49" s="236">
        <f>SUMIF(往来交易抵销!$H$5:$H$65536,IF(OR(MID(TRIM($A49),2,1)="：",MID(TRIM($A49),2,1)="、"),REPLACEB(TRIM($A49),1,4,""),TRIM($A49)),往来交易抵销!$J$5:$J$65536)</f>
        <v>0</v>
      </c>
      <c r="G49" s="236">
        <f>SUMIF('合并报表调整 '!$E$5:$E$65536,IF(OR(MID(TRIM($A49),2,1)="：",MID(TRIM($A49),2,1)="、"),REPLACEB(TRIM($A49),1,4,""),TRIM($A49)),'合并报表调整 '!$J$5:$J$65536)</f>
        <v>0</v>
      </c>
      <c r="H49" s="236">
        <f>SUMIF('合并报表调整 '!$H$5:$H$65536,IF(OR(MID(TRIM($A49),2,1)="：",MID(TRIM($A49),2,1)="、"),REPLACEB(TRIM($A49),1,4,""),TRIM($A49)),'合并报表调整 '!$J$5:$J$65536)</f>
        <v>0</v>
      </c>
      <c r="I49" s="236">
        <f t="shared" si="3"/>
        <v>0</v>
      </c>
      <c r="J49" s="236"/>
      <c r="K49" s="237">
        <f t="shared" si="0"/>
        <v>0</v>
      </c>
    </row>
    <row r="50" spans="1:12" ht="14.45" customHeight="1">
      <c r="A50" s="97" t="str">
        <f>报表格式!B49</f>
        <v>开发支出</v>
      </c>
      <c r="B50" s="236">
        <f>合并BS汇总!B50</f>
        <v>0</v>
      </c>
      <c r="C50" s="236">
        <f>SUMIF(权益抵销!$E$5:$E$65537,IF(OR(MID(TRIM($A50),2,1)="：",MID(TRIM($A50),2,1)="、"),REPLACEB(TRIM($A50),1,4,""),TRIM($A50)),权益抵销!$J$5:$J$65537)</f>
        <v>0</v>
      </c>
      <c r="D50" s="236">
        <f>SUMIF(权益抵销!$H$5:$H$65537,IF(OR(MID(TRIM($A50),2,1)="：",MID(TRIM($A50),2,1)="、"),REPLACEB(TRIM($A50),1,4,""),TRIM($A50)),权益抵销!$J$5:$J$65537)</f>
        <v>0</v>
      </c>
      <c r="E50" s="236">
        <f>SUMIF(往来交易抵销!$E$5:$E$65536,IF(OR(MID(TRIM($A50),2,1)="：",MID(TRIM($A50),2,1)="、"),REPLACEB(TRIM($A50),1,4,""),TRIM($A50)),往来交易抵销!$J$5:$J$65536)</f>
        <v>0</v>
      </c>
      <c r="F50" s="236">
        <f>SUMIF(往来交易抵销!$H$5:$H$65536,IF(OR(MID(TRIM($A50),2,1)="：",MID(TRIM($A50),2,1)="、"),REPLACEB(TRIM($A50),1,4,""),TRIM($A50)),往来交易抵销!$J$5:$J$65536)</f>
        <v>0</v>
      </c>
      <c r="G50" s="236">
        <f>SUMIF('合并报表调整 '!$E$5:$E$65536,IF(OR(MID(TRIM($A50),2,1)="：",MID(TRIM($A50),2,1)="、"),REPLACEB(TRIM($A50),1,4,""),TRIM($A50)),'合并报表调整 '!$J$5:$J$65536)</f>
        <v>0</v>
      </c>
      <c r="H50" s="236">
        <f>SUMIF('合并报表调整 '!$H$5:$H$65536,IF(OR(MID(TRIM($A50),2,1)="：",MID(TRIM($A50),2,1)="、"),REPLACEB(TRIM($A50),1,4,""),TRIM($A50)),'合并报表调整 '!$J$5:$J$65536)</f>
        <v>0</v>
      </c>
      <c r="I50" s="236">
        <f t="shared" si="3"/>
        <v>0</v>
      </c>
      <c r="J50" s="236"/>
      <c r="K50" s="237">
        <f t="shared" si="0"/>
        <v>0</v>
      </c>
    </row>
    <row r="51" spans="1:12" ht="14.45" customHeight="1">
      <c r="A51" s="97" t="str">
        <f>报表格式!B50</f>
        <v>商誉</v>
      </c>
      <c r="B51" s="236">
        <f>合并BS汇总!B51</f>
        <v>0</v>
      </c>
      <c r="C51" s="236">
        <f>SUMIF(权益抵销!$E$5:$E$65537,IF(OR(MID(TRIM($A51),2,1)="：",MID(TRIM($A51),2,1)="、"),REPLACEB(TRIM($A51),1,4,""),TRIM($A51)),权益抵销!$J$5:$J$65537)</f>
        <v>0</v>
      </c>
      <c r="D51" s="236">
        <f>SUMIF(权益抵销!$H$5:$H$65537,IF(OR(MID(TRIM($A51),2,1)="：",MID(TRIM($A51),2,1)="、"),REPLACEB(TRIM($A51),1,4,""),TRIM($A51)),权益抵销!$J$5:$J$65537)</f>
        <v>0</v>
      </c>
      <c r="E51" s="236">
        <f>SUMIF(往来交易抵销!$E$5:$E$65536,IF(OR(MID(TRIM($A51),2,1)="：",MID(TRIM($A51),2,1)="、"),REPLACEB(TRIM($A51),1,4,""),TRIM($A51)),往来交易抵销!$J$5:$J$65536)</f>
        <v>0</v>
      </c>
      <c r="F51" s="236">
        <f>SUMIF(往来交易抵销!$H$5:$H$65536,IF(OR(MID(TRIM($A51),2,1)="：",MID(TRIM($A51),2,1)="、"),REPLACEB(TRIM($A51),1,4,""),TRIM($A51)),往来交易抵销!$J$5:$J$65536)</f>
        <v>0</v>
      </c>
      <c r="G51" s="236">
        <f>SUMIF('合并报表调整 '!$E$5:$E$65536,IF(OR(MID(TRIM($A51),2,1)="：",MID(TRIM($A51),2,1)="、"),REPLACEB(TRIM($A51),1,4,""),TRIM($A51)),'合并报表调整 '!$J$5:$J$65536)</f>
        <v>0</v>
      </c>
      <c r="H51" s="236">
        <f>SUMIF('合并报表调整 '!$H$5:$H$65536,IF(OR(MID(TRIM($A51),2,1)="：",MID(TRIM($A51),2,1)="、"),REPLACEB(TRIM($A51),1,4,""),TRIM($A51)),'合并报表调整 '!$J$5:$J$65536)</f>
        <v>0</v>
      </c>
      <c r="I51" s="236">
        <f t="shared" si="3"/>
        <v>0</v>
      </c>
      <c r="J51" s="236"/>
      <c r="K51" s="237">
        <f t="shared" si="0"/>
        <v>0</v>
      </c>
    </row>
    <row r="52" spans="1:12" ht="14.45" customHeight="1">
      <c r="A52" s="97" t="str">
        <f>报表格式!B51</f>
        <v>长期待摊费用</v>
      </c>
      <c r="B52" s="236">
        <f>合并BS汇总!B52</f>
        <v>0</v>
      </c>
      <c r="C52" s="236">
        <f>SUMIF(权益抵销!$E$5:$E$65537,IF(OR(MID(TRIM($A52),2,1)="：",MID(TRIM($A52),2,1)="、"),REPLACEB(TRIM($A52),1,4,""),TRIM($A52)),权益抵销!$J$5:$J$65537)</f>
        <v>0</v>
      </c>
      <c r="D52" s="236">
        <f>SUMIF(权益抵销!$H$5:$H$65537,IF(OR(MID(TRIM($A52),2,1)="：",MID(TRIM($A52),2,1)="、"),REPLACEB(TRIM($A52),1,4,""),TRIM($A52)),权益抵销!$J$5:$J$65537)</f>
        <v>0</v>
      </c>
      <c r="E52" s="236">
        <f>SUMIF(往来交易抵销!$E$5:$E$65536,IF(OR(MID(TRIM($A52),2,1)="：",MID(TRIM($A52),2,1)="、"),REPLACEB(TRIM($A52),1,4,""),TRIM($A52)),往来交易抵销!$J$5:$J$65536)</f>
        <v>0</v>
      </c>
      <c r="F52" s="236">
        <f>SUMIF(往来交易抵销!$H$5:$H$65536,IF(OR(MID(TRIM($A52),2,1)="：",MID(TRIM($A52),2,1)="、"),REPLACEB(TRIM($A52),1,4,""),TRIM($A52)),往来交易抵销!$J$5:$J$65536)</f>
        <v>0</v>
      </c>
      <c r="G52" s="236">
        <f>SUMIF('合并报表调整 '!$E$5:$E$65536,IF(OR(MID(TRIM($A52),2,1)="：",MID(TRIM($A52),2,1)="、"),REPLACEB(TRIM($A52),1,4,""),TRIM($A52)),'合并报表调整 '!$J$5:$J$65536)</f>
        <v>0</v>
      </c>
      <c r="H52" s="236">
        <f>SUMIF('合并报表调整 '!$H$5:$H$65536,IF(OR(MID(TRIM($A52),2,1)="：",MID(TRIM($A52),2,1)="、"),REPLACEB(TRIM($A52),1,4,""),TRIM($A52)),'合并报表调整 '!$J$5:$J$65536)</f>
        <v>0</v>
      </c>
      <c r="I52" s="236">
        <f t="shared" ref="I52:I57" si="18">B52+E52+G52-F52-H52+C52-D52</f>
        <v>0</v>
      </c>
      <c r="J52" s="236"/>
      <c r="K52" s="237">
        <f t="shared" ref="K52:K57" si="19">SUM(I52:J52)</f>
        <v>0</v>
      </c>
    </row>
    <row r="53" spans="1:12" ht="14.45" customHeight="1">
      <c r="A53" s="97" t="str">
        <f>报表格式!B52</f>
        <v>递延所得税资产</v>
      </c>
      <c r="B53" s="236">
        <f>合并BS汇总!B53</f>
        <v>0</v>
      </c>
      <c r="C53" s="236">
        <f>SUMIF(权益抵销!$E$5:$E$65537,IF(OR(MID(TRIM($A53),2,1)="：",MID(TRIM($A53),2,1)="、"),REPLACEB(TRIM($A53),1,4,""),TRIM($A53)),权益抵销!$J$5:$J$65537)</f>
        <v>0</v>
      </c>
      <c r="D53" s="236">
        <f>SUMIF(权益抵销!$H$5:$H$65537,IF(OR(MID(TRIM($A53),2,1)="：",MID(TRIM($A53),2,1)="、"),REPLACEB(TRIM($A53),1,4,""),TRIM($A53)),权益抵销!$J$5:$J$65537)</f>
        <v>0</v>
      </c>
      <c r="E53" s="236">
        <f>SUMIF(往来交易抵销!$E$5:$E$65536,IF(OR(MID(TRIM($A53),2,1)="：",MID(TRIM($A53),2,1)="、"),REPLACEB(TRIM($A53),1,4,""),TRIM($A53)),往来交易抵销!$J$5:$J$65536)</f>
        <v>0</v>
      </c>
      <c r="F53" s="236">
        <f>SUMIF(往来交易抵销!$H$5:$H$65536,IF(OR(MID(TRIM($A53),2,1)="：",MID(TRIM($A53),2,1)="、"),REPLACEB(TRIM($A53),1,4,""),TRIM($A53)),往来交易抵销!$J$5:$J$65536)</f>
        <v>0</v>
      </c>
      <c r="G53" s="236">
        <f>SUMIF('合并报表调整 '!$E$5:$E$65536,IF(OR(MID(TRIM($A53),2,1)="：",MID(TRIM($A53),2,1)="、"),REPLACEB(TRIM($A53),1,4,""),TRIM($A53)),'合并报表调整 '!$J$5:$J$65536)</f>
        <v>0</v>
      </c>
      <c r="H53" s="236">
        <f>SUMIF('合并报表调整 '!$H$5:$H$65536,IF(OR(MID(TRIM($A53),2,1)="：",MID(TRIM($A53),2,1)="、"),REPLACEB(TRIM($A53),1,4,""),TRIM($A53)),'合并报表调整 '!$J$5:$J$65536)</f>
        <v>0</v>
      </c>
      <c r="I53" s="236">
        <f t="shared" si="18"/>
        <v>0</v>
      </c>
      <c r="J53" s="236"/>
      <c r="K53" s="237">
        <f t="shared" si="19"/>
        <v>0</v>
      </c>
    </row>
    <row r="54" spans="1:12" ht="14.45" customHeight="1">
      <c r="A54" s="97" t="str">
        <f>报表格式!B53</f>
        <v>其他非流动资产</v>
      </c>
      <c r="B54" s="236">
        <f>合并BS汇总!B54</f>
        <v>0</v>
      </c>
      <c r="C54" s="236">
        <f>SUMIF(权益抵销!$E$5:$E$65537,IF(OR(MID(TRIM($A54),2,1)="：",MID(TRIM($A54),2,1)="、"),REPLACEB(TRIM($A54),1,4,""),TRIM($A54)),权益抵销!$J$5:$J$65537)</f>
        <v>0</v>
      </c>
      <c r="D54" s="236">
        <f>SUMIF(权益抵销!$H$5:$H$65537,IF(OR(MID(TRIM($A54),2,1)="：",MID(TRIM($A54),2,1)="、"),REPLACEB(TRIM($A54),1,4,""),TRIM($A54)),权益抵销!$J$5:$J$65537)</f>
        <v>0</v>
      </c>
      <c r="E54" s="236">
        <f>SUMIF(往来交易抵销!$E$5:$E$65536,IF(OR(MID(TRIM($A54),2,1)="：",MID(TRIM($A54),2,1)="、"),REPLACEB(TRIM($A54),1,4,""),TRIM($A54)),往来交易抵销!$J$5:$J$65536)</f>
        <v>0</v>
      </c>
      <c r="F54" s="236">
        <f>SUMIF(往来交易抵销!$H$5:$H$65536,IF(OR(MID(TRIM($A54),2,1)="：",MID(TRIM($A54),2,1)="、"),REPLACEB(TRIM($A54),1,4,""),TRIM($A54)),往来交易抵销!$J$5:$J$65536)</f>
        <v>0</v>
      </c>
      <c r="G54" s="236">
        <f>SUMIF('合并报表调整 '!$E$5:$E$65536,IF(OR(MID(TRIM($A54),2,1)="：",MID(TRIM($A54),2,1)="、"),REPLACEB(TRIM($A54),1,4,""),TRIM($A54)),'合并报表调整 '!$J$5:$J$65536)</f>
        <v>0</v>
      </c>
      <c r="H54" s="236">
        <f>SUMIF('合并报表调整 '!$H$5:$H$65536,IF(OR(MID(TRIM($A54),2,1)="：",MID(TRIM($A54),2,1)="、"),REPLACEB(TRIM($A54),1,4,""),TRIM($A54)),'合并报表调整 '!$J$5:$J$65536)</f>
        <v>0</v>
      </c>
      <c r="I54" s="236">
        <f t="shared" si="18"/>
        <v>0</v>
      </c>
      <c r="J54" s="236"/>
      <c r="K54" s="237">
        <f t="shared" si="19"/>
        <v>0</v>
      </c>
    </row>
    <row r="55" spans="1:12" ht="14.45" customHeight="1">
      <c r="A55" s="97">
        <f>报表格式!B54</f>
        <v>0</v>
      </c>
      <c r="B55" s="236">
        <f>合并BS汇总!B55</f>
        <v>0</v>
      </c>
      <c r="C55" s="236">
        <f>SUMIF(权益抵销!$E$5:$E$65537,IF(OR(MID(TRIM($A55),2,1)="：",MID(TRIM($A55),2,1)="、"),REPLACEB(TRIM($A55),1,4,""),TRIM($A55)),权益抵销!$J$5:$J$65537)</f>
        <v>0</v>
      </c>
      <c r="D55" s="236">
        <f>SUMIF(权益抵销!$H$5:$H$65537,IF(OR(MID(TRIM($A55),2,1)="：",MID(TRIM($A55),2,1)="、"),REPLACEB(TRIM($A55),1,4,""),TRIM($A55)),权益抵销!$J$5:$J$65537)</f>
        <v>0</v>
      </c>
      <c r="E55" s="236">
        <f>SUMIF(往来交易抵销!$E$5:$E$65536,IF(OR(MID(TRIM($A55),2,1)="：",MID(TRIM($A55),2,1)="、"),REPLACEB(TRIM($A55),1,4,""),TRIM($A55)),往来交易抵销!$J$5:$J$65536)</f>
        <v>0</v>
      </c>
      <c r="F55" s="236">
        <f>SUMIF(往来交易抵销!$H$5:$H$65536,IF(OR(MID(TRIM($A55),2,1)="：",MID(TRIM($A55),2,1)="、"),REPLACEB(TRIM($A55),1,4,""),TRIM($A55)),往来交易抵销!$J$5:$J$65536)</f>
        <v>0</v>
      </c>
      <c r="G55" s="236">
        <f>SUMIF('合并报表调整 '!$E$5:$E$65536,IF(OR(MID(TRIM($A55),2,1)="：",MID(TRIM($A55),2,1)="、"),REPLACEB(TRIM($A55),1,4,""),TRIM($A55)),'合并报表调整 '!$J$5:$J$65536)</f>
        <v>0</v>
      </c>
      <c r="H55" s="236">
        <f>SUMIF('合并报表调整 '!$H$5:$H$65536,IF(OR(MID(TRIM($A55),2,1)="：",MID(TRIM($A55),2,1)="、"),REPLACEB(TRIM($A55),1,4,""),TRIM($A55)),'合并报表调整 '!$J$5:$J$65536)</f>
        <v>0</v>
      </c>
      <c r="I55" s="236">
        <f t="shared" si="18"/>
        <v>0</v>
      </c>
      <c r="J55" s="236"/>
      <c r="K55" s="237">
        <f t="shared" si="19"/>
        <v>0</v>
      </c>
    </row>
    <row r="56" spans="1:12" ht="14.45" customHeight="1">
      <c r="A56" s="97">
        <f>报表格式!B55</f>
        <v>0</v>
      </c>
      <c r="B56" s="236">
        <f>合并BS汇总!B56</f>
        <v>0</v>
      </c>
      <c r="C56" s="236">
        <f>SUMIF(权益抵销!$E$5:$E$65537,IF(OR(MID(TRIM($A56),2,1)="：",MID(TRIM($A56),2,1)="、"),REPLACEB(TRIM($A56),1,4,""),TRIM($A56)),权益抵销!$J$5:$J$65537)</f>
        <v>0</v>
      </c>
      <c r="D56" s="236">
        <f>SUMIF(权益抵销!$H$5:$H$65537,IF(OR(MID(TRIM($A56),2,1)="：",MID(TRIM($A56),2,1)="、"),REPLACEB(TRIM($A56),1,4,""),TRIM($A56)),权益抵销!$J$5:$J$65537)</f>
        <v>0</v>
      </c>
      <c r="E56" s="236">
        <f>SUMIF(往来交易抵销!$E$5:$E$65536,IF(OR(MID(TRIM($A56),2,1)="：",MID(TRIM($A56),2,1)="、"),REPLACEB(TRIM($A56),1,4,""),TRIM($A56)),往来交易抵销!$J$5:$J$65536)</f>
        <v>0</v>
      </c>
      <c r="F56" s="236">
        <f>SUMIF(往来交易抵销!$H$5:$H$65536,IF(OR(MID(TRIM($A56),2,1)="：",MID(TRIM($A56),2,1)="、"),REPLACEB(TRIM($A56),1,4,""),TRIM($A56)),往来交易抵销!$J$5:$J$65536)</f>
        <v>0</v>
      </c>
      <c r="G56" s="236">
        <f>SUMIF('合并报表调整 '!$E$5:$E$65536,IF(OR(MID(TRIM($A56),2,1)="：",MID(TRIM($A56),2,1)="、"),REPLACEB(TRIM($A56),1,4,""),TRIM($A56)),'合并报表调整 '!$J$5:$J$65536)</f>
        <v>0</v>
      </c>
      <c r="H56" s="236">
        <f>SUMIF('合并报表调整 '!$H$5:$H$65536,IF(OR(MID(TRIM($A56),2,1)="：",MID(TRIM($A56),2,1)="、"),REPLACEB(TRIM($A56),1,4,""),TRIM($A56)),'合并报表调整 '!$J$5:$J$65536)</f>
        <v>0</v>
      </c>
      <c r="I56" s="236">
        <f t="shared" si="18"/>
        <v>0</v>
      </c>
      <c r="J56" s="236"/>
      <c r="K56" s="237">
        <f t="shared" si="19"/>
        <v>0</v>
      </c>
    </row>
    <row r="57" spans="1:12" ht="14.45" customHeight="1">
      <c r="A57" s="97">
        <f>报表格式!B56</f>
        <v>0</v>
      </c>
      <c r="B57" s="236">
        <f>合并BS汇总!B57</f>
        <v>0</v>
      </c>
      <c r="C57" s="236">
        <f>SUMIF(权益抵销!$E$5:$E$65537,IF(OR(MID(TRIM($A57),2,1)="：",MID(TRIM($A57),2,1)="、"),REPLACEB(TRIM($A57),1,4,""),TRIM($A57)),权益抵销!$J$5:$J$65537)</f>
        <v>0</v>
      </c>
      <c r="D57" s="236">
        <f>SUMIF(权益抵销!$H$5:$H$65537,IF(OR(MID(TRIM($A57),2,1)="：",MID(TRIM($A57),2,1)="、"),REPLACEB(TRIM($A57),1,4,""),TRIM($A57)),权益抵销!$J$5:$J$65537)</f>
        <v>0</v>
      </c>
      <c r="E57" s="236">
        <f>SUMIF(往来交易抵销!$E$5:$E$65536,IF(OR(MID(TRIM($A57),2,1)="：",MID(TRIM($A57),2,1)="、"),REPLACEB(TRIM($A57),1,4,""),TRIM($A57)),往来交易抵销!$J$5:$J$65536)</f>
        <v>0</v>
      </c>
      <c r="F57" s="236">
        <f>SUMIF(往来交易抵销!$H$5:$H$65536,IF(OR(MID(TRIM($A57),2,1)="：",MID(TRIM($A57),2,1)="、"),REPLACEB(TRIM($A57),1,4,""),TRIM($A57)),往来交易抵销!$J$5:$J$65536)</f>
        <v>0</v>
      </c>
      <c r="G57" s="236">
        <f>SUMIF('合并报表调整 '!$E$5:$E$65536,IF(OR(MID(TRIM($A57),2,1)="：",MID(TRIM($A57),2,1)="、"),REPLACEB(TRIM($A57),1,4,""),TRIM($A57)),'合并报表调整 '!$J$5:$J$65536)</f>
        <v>0</v>
      </c>
      <c r="H57" s="236">
        <f>SUMIF('合并报表调整 '!$H$5:$H$65536,IF(OR(MID(TRIM($A57),2,1)="：",MID(TRIM($A57),2,1)="、"),REPLACEB(TRIM($A57),1,4,""),TRIM($A57)),'合并报表调整 '!$J$5:$J$65536)</f>
        <v>0</v>
      </c>
      <c r="I57" s="236">
        <f t="shared" si="18"/>
        <v>0</v>
      </c>
      <c r="J57" s="236"/>
      <c r="K57" s="237">
        <f t="shared" si="19"/>
        <v>0</v>
      </c>
    </row>
    <row r="58" spans="1:12" s="647" customFormat="1" ht="14.45" customHeight="1">
      <c r="A58" s="104" t="str">
        <f>报表格式!B57</f>
        <v>非流动资产合计</v>
      </c>
      <c r="B58" s="242">
        <f>SUM(B33:B57)</f>
        <v>0</v>
      </c>
      <c r="C58" s="242">
        <f t="shared" ref="C58:I58" si="20">SUM(C33:C57)</f>
        <v>0</v>
      </c>
      <c r="D58" s="242">
        <f t="shared" si="20"/>
        <v>0</v>
      </c>
      <c r="E58" s="242">
        <f t="shared" si="20"/>
        <v>0</v>
      </c>
      <c r="F58" s="242">
        <f t="shared" si="20"/>
        <v>0</v>
      </c>
      <c r="G58" s="242">
        <f t="shared" si="20"/>
        <v>0</v>
      </c>
      <c r="H58" s="242">
        <f t="shared" si="20"/>
        <v>0</v>
      </c>
      <c r="I58" s="242">
        <f t="shared" si="20"/>
        <v>0</v>
      </c>
      <c r="J58" s="242">
        <f t="shared" ref="J58" si="21">SUM(J34:J57)</f>
        <v>0</v>
      </c>
      <c r="K58" s="243">
        <f t="shared" si="0"/>
        <v>0</v>
      </c>
    </row>
    <row r="59" spans="1:12" ht="14.45" customHeight="1">
      <c r="A59" s="100" t="str">
        <f>报表格式!B58</f>
        <v>资 产 总 计</v>
      </c>
      <c r="B59" s="240">
        <f t="shared" ref="B59:J59" si="22">SUM(B31,B58)</f>
        <v>0</v>
      </c>
      <c r="C59" s="240">
        <f t="shared" si="22"/>
        <v>0</v>
      </c>
      <c r="D59" s="240">
        <f t="shared" si="22"/>
        <v>0</v>
      </c>
      <c r="E59" s="240">
        <f t="shared" si="22"/>
        <v>0</v>
      </c>
      <c r="F59" s="240">
        <f t="shared" si="22"/>
        <v>0</v>
      </c>
      <c r="G59" s="240">
        <f t="shared" si="22"/>
        <v>0</v>
      </c>
      <c r="H59" s="240">
        <f t="shared" si="22"/>
        <v>0</v>
      </c>
      <c r="I59" s="240">
        <f t="shared" si="22"/>
        <v>0</v>
      </c>
      <c r="J59" s="240">
        <f t="shared" si="22"/>
        <v>0</v>
      </c>
      <c r="K59" s="241">
        <f>SUM(I59:J59)</f>
        <v>0</v>
      </c>
      <c r="L59" s="647"/>
    </row>
    <row r="60" spans="1:12" s="941" customFormat="1">
      <c r="A60" s="940"/>
      <c r="B60" s="863">
        <f>B59-合并TB负债!B62</f>
        <v>0</v>
      </c>
      <c r="C60" s="848">
        <f t="shared" ref="C60:H60" si="23">SUM(C7:C30,C34:C57)-C21-C22</f>
        <v>0</v>
      </c>
      <c r="D60" s="848">
        <f t="shared" si="23"/>
        <v>0</v>
      </c>
      <c r="E60" s="848">
        <f t="shared" si="23"/>
        <v>0</v>
      </c>
      <c r="F60" s="848">
        <f t="shared" si="23"/>
        <v>0</v>
      </c>
      <c r="G60" s="848">
        <f t="shared" si="23"/>
        <v>0</v>
      </c>
      <c r="H60" s="848">
        <f t="shared" si="23"/>
        <v>0</v>
      </c>
      <c r="I60" s="863">
        <f>I59-合并TB负债!I62</f>
        <v>0</v>
      </c>
      <c r="J60" s="863">
        <f>J59-合并TB负债!J62</f>
        <v>0</v>
      </c>
      <c r="K60" s="863">
        <f>K59-合并TB负债!K62</f>
        <v>0</v>
      </c>
    </row>
    <row r="61" spans="1:12">
      <c r="A61" s="328"/>
      <c r="B61" s="328"/>
      <c r="C61" s="328"/>
      <c r="D61" s="328"/>
      <c r="E61" s="328"/>
      <c r="F61" s="328"/>
      <c r="G61" s="328"/>
      <c r="H61" s="328"/>
      <c r="I61" s="328"/>
      <c r="J61" s="328"/>
      <c r="K61" s="328"/>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5"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7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O64"/>
  <sheetViews>
    <sheetView showZeros="0" workbookViewId="0">
      <pane xSplit="2" ySplit="5" topLeftCell="C6" activePane="bottomRight" state="frozen"/>
      <selection activeCell="H6" sqref="H6"/>
      <selection pane="topRight" activeCell="H6" sqref="H6"/>
      <selection pane="bottomLeft" activeCell="H6" sqref="H6"/>
      <selection pane="bottomRight" activeCell="L60" sqref="L60"/>
    </sheetView>
  </sheetViews>
  <sheetFormatPr defaultColWidth="7" defaultRowHeight="13.5" outlineLevelCol="1"/>
  <cols>
    <col min="1" max="1" width="25.625" style="33" customWidth="1"/>
    <col min="2" max="2" width="12.75" style="33" customWidth="1"/>
    <col min="3" max="4" width="10.875" style="33" customWidth="1"/>
    <col min="5" max="8" width="11.625" style="33" customWidth="1"/>
    <col min="9" max="9" width="11.25" style="33" customWidth="1" outlineLevel="1"/>
    <col min="10" max="10" width="8.625" style="33" customWidth="1" outlineLevel="1"/>
    <col min="11" max="11" width="12.375" style="33" customWidth="1"/>
    <col min="12" max="12" width="7" style="33" customWidth="1"/>
    <col min="13" max="13" width="12.25" style="33" bestFit="1" customWidth="1"/>
    <col min="14" max="14" width="13.125" style="33" customWidth="1"/>
    <col min="15" max="16384" width="7" style="33"/>
  </cols>
  <sheetData>
    <row r="1" spans="1:15" s="32" customFormat="1" ht="19.5" customHeight="1">
      <c r="A1" s="102" t="s">
        <v>572</v>
      </c>
      <c r="B1" s="103"/>
      <c r="C1" s="103"/>
      <c r="D1" s="103"/>
      <c r="E1" s="103"/>
      <c r="F1" s="103"/>
      <c r="G1" s="103"/>
      <c r="H1" s="103"/>
      <c r="I1" s="103"/>
      <c r="J1" s="103"/>
      <c r="K1" s="103"/>
      <c r="L1" s="31"/>
      <c r="M1" s="33"/>
      <c r="N1" s="33"/>
      <c r="O1" s="33"/>
    </row>
    <row r="2" spans="1:15" s="32" customFormat="1" ht="17.25" customHeight="1">
      <c r="A2" s="91" t="str">
        <f>CONCATENATE("客户名称：",说明!E23)</f>
        <v>客户名称：</v>
      </c>
      <c r="D2" s="89" t="str">
        <f>CONCATENATE("编制：",说明!E36)</f>
        <v>编制：</v>
      </c>
      <c r="F2" s="90"/>
      <c r="G2" s="91" t="str">
        <f>CONCATENATE("复核：",说明!E37)</f>
        <v>复核：</v>
      </c>
      <c r="I2" s="91"/>
      <c r="J2" s="92"/>
      <c r="K2" s="93" t="str">
        <f>合并TB资产!K2</f>
        <v xml:space="preserve">索引：            </v>
      </c>
      <c r="M2" s="33"/>
      <c r="N2" s="33"/>
      <c r="O2" s="33"/>
    </row>
    <row r="3" spans="1:15" s="32" customFormat="1" ht="17.25" customHeight="1">
      <c r="A3" s="91" t="str">
        <f>CONCATENATE("会计时点：",TEXT(说明!E32,"yyyy.mm.dd"))</f>
        <v>会计时点：2019.12.31</v>
      </c>
      <c r="D3" s="93" t="str">
        <f ca="1">CONCATENATE("日期：",TEXT(NOW(),"yyyy.mm.dd"))</f>
        <v>日期：2019.12.31</v>
      </c>
      <c r="F3" s="91"/>
      <c r="G3" s="91" t="str">
        <f>合并TB资产!F3</f>
        <v>日期：</v>
      </c>
      <c r="I3" s="91"/>
      <c r="J3" s="91"/>
      <c r="K3" s="93" t="str">
        <f>合并TB资产!K3</f>
        <v xml:space="preserve">分页：           </v>
      </c>
      <c r="M3" s="33"/>
      <c r="N3" s="33"/>
      <c r="O3" s="33"/>
    </row>
    <row r="4" spans="1:15" s="32" customFormat="1" ht="13.5" customHeight="1">
      <c r="A4" s="1183" t="str">
        <f>IF((ROUND(I62,2))=(ROUND(合并TB资产!I59,2)),IF(说明!E$28="股份有限公司","  负债和股东权益",IF(说明!E$28="非股份有限公司","负债和所有权益","")),"报表未调平!")</f>
        <v xml:space="preserve">  负债和股东权益</v>
      </c>
      <c r="B4" s="1174" t="s">
        <v>145</v>
      </c>
      <c r="C4" s="1176" t="s">
        <v>574</v>
      </c>
      <c r="D4" s="1176"/>
      <c r="E4" s="1176" t="s">
        <v>575</v>
      </c>
      <c r="F4" s="1176"/>
      <c r="G4" s="1176" t="s">
        <v>576</v>
      </c>
      <c r="H4" s="1176"/>
      <c r="I4" s="248" t="s">
        <v>299</v>
      </c>
      <c r="J4" s="248" t="s">
        <v>300</v>
      </c>
      <c r="K4" s="1170" t="s">
        <v>570</v>
      </c>
      <c r="M4" s="33"/>
      <c r="N4" s="33"/>
      <c r="O4" s="33"/>
    </row>
    <row r="5" spans="1:15" s="32" customFormat="1">
      <c r="A5" s="1184"/>
      <c r="B5" s="1175"/>
      <c r="C5" s="249" t="s">
        <v>455</v>
      </c>
      <c r="D5" s="249" t="s">
        <v>361</v>
      </c>
      <c r="E5" s="249" t="s">
        <v>455</v>
      </c>
      <c r="F5" s="249" t="s">
        <v>361</v>
      </c>
      <c r="G5" s="249" t="s">
        <v>455</v>
      </c>
      <c r="H5" s="249" t="s">
        <v>361</v>
      </c>
      <c r="I5" s="249"/>
      <c r="J5" s="249"/>
      <c r="K5" s="1171"/>
      <c r="M5" s="33"/>
      <c r="N5" s="33"/>
      <c r="O5" s="33"/>
    </row>
    <row r="6" spans="1:15" ht="14.45" customHeight="1">
      <c r="A6" s="94" t="str">
        <f>报表格式!G5</f>
        <v>流动负债：</v>
      </c>
      <c r="B6" s="95"/>
      <c r="C6" s="95"/>
      <c r="D6" s="95"/>
      <c r="E6" s="95"/>
      <c r="F6" s="95"/>
      <c r="G6" s="95"/>
      <c r="H6" s="95"/>
      <c r="I6" s="95"/>
      <c r="J6" s="95"/>
      <c r="K6" s="96"/>
    </row>
    <row r="7" spans="1:15" ht="14.45" customHeight="1">
      <c r="A7" s="97" t="str">
        <f>报表格式!G6</f>
        <v>短期借款</v>
      </c>
      <c r="B7" s="236">
        <f>合并BS汇总!B62</f>
        <v>0</v>
      </c>
      <c r="C7" s="236">
        <f>SUMIF(权益抵销!$E$5:$E$65537,IF(OR(MID(TRIM($A7),2,1)="：",MID(TRIM($A7),2,1)="、"),REPLACEB(TRIM($A7),1,4,""),TRIM($A7)),权益抵销!$J$5:$J$65537)</f>
        <v>0</v>
      </c>
      <c r="D7" s="236">
        <f>SUMIF(权益抵销!$H$5:$H$65537,IF(OR(MID(TRIM($A7),2,1)="：",MID(TRIM($A7),2,1)="、"),REPLACEB(TRIM($A7),1,4,""),TRIM($A7)),权益抵销!$J$5:$J$65537)</f>
        <v>0</v>
      </c>
      <c r="E7" s="236">
        <f>SUMIF(往来交易抵销!$E$5:$E$65536,IF(OR(MID(TRIM($A7),2,1)="：",MID(TRIM($A7),2,1)="、"),REPLACEB(TRIM($A7),1,4,""),TRIM($A7)),往来交易抵销!$J$5:$J$65536)</f>
        <v>0</v>
      </c>
      <c r="F7" s="236">
        <f>SUMIF(往来交易抵销!$H$5:$H$65536,IF(OR(MID(TRIM($A7),2,1)="：",MID(TRIM($A7),2,1)="、"),REPLACEB(TRIM($A7),1,4,""),TRIM($A7)),往来交易抵销!$J$5:$J$65536)</f>
        <v>0</v>
      </c>
      <c r="G7" s="236">
        <f>SUMIF('合并报表调整 '!$E$5:$E$65536,IF(OR(MID(TRIM($A7),2,1)="：",MID(TRIM($A7),2,1)="、"),REPLACEB(TRIM($A7),1,4,""),TRIM($A7)),'合并报表调整 '!$J$5:$J$65536)</f>
        <v>0</v>
      </c>
      <c r="H7" s="236">
        <f>SUMIF('合并报表调整 '!$H$5:$H$65536,IF(OR(MID(TRIM($A7),2,1)="：",MID(TRIM($A7),2,1)="、"),REPLACEB(TRIM($A7),1,4,""),TRIM($A7)),'合并报表调整 '!$J$5:$J$65536)</f>
        <v>0</v>
      </c>
      <c r="I7" s="236">
        <f>B7-E7-G7+F7+H7-C7+D7</f>
        <v>0</v>
      </c>
      <c r="J7" s="236"/>
      <c r="K7" s="237">
        <f t="shared" ref="K7:K60" si="0">SUM(I7:J7)</f>
        <v>0</v>
      </c>
    </row>
    <row r="8" spans="1:15" ht="14.45" customHeight="1">
      <c r="A8" s="97" t="str">
        <f>报表格式!G7</f>
        <v>向中央银行借款</v>
      </c>
      <c r="B8" s="236">
        <f>合并BS汇总!B63</f>
        <v>0</v>
      </c>
      <c r="C8" s="236">
        <f>SUMIF(权益抵销!$E$5:$E$65537,IF(OR(MID(TRIM($A8),2,1)="：",MID(TRIM($A8),2,1)="、"),REPLACEB(TRIM($A8),1,4,""),TRIM($A8)),权益抵销!$J$5:$J$65537)</f>
        <v>0</v>
      </c>
      <c r="D8" s="236">
        <f>SUMIF(权益抵销!$H$5:$H$65537,IF(OR(MID(TRIM($A8),2,1)="：",MID(TRIM($A8),2,1)="、"),REPLACEB(TRIM($A8),1,4,""),TRIM($A8)),权益抵销!$J$5:$J$65537)</f>
        <v>0</v>
      </c>
      <c r="E8" s="236">
        <f>SUMIF(往来交易抵销!$E$5:$E$65536,IF(OR(MID(TRIM($A8),2,1)="：",MID(TRIM($A8),2,1)="、"),REPLACEB(TRIM($A8),1,4,""),TRIM($A8)),往来交易抵销!$J$5:$J$65536)</f>
        <v>0</v>
      </c>
      <c r="F8" s="236">
        <f>SUMIF(往来交易抵销!$H$5:$H$65536,IF(OR(MID(TRIM($A8),2,1)="：",MID(TRIM($A8),2,1)="、"),REPLACEB(TRIM($A8),1,4,""),TRIM($A8)),往来交易抵销!$J$5:$J$65536)</f>
        <v>0</v>
      </c>
      <c r="G8" s="236">
        <f>SUMIF('合并报表调整 '!$E$5:$E$65536,IF(OR(MID(TRIM($A8),2,1)="：",MID(TRIM($A8),2,1)="、"),REPLACEB(TRIM($A8),1,4,""),TRIM($A8)),'合并报表调整 '!$J$5:$J$65536)</f>
        <v>0</v>
      </c>
      <c r="H8" s="236">
        <f>SUMIF('合并报表调整 '!$H$5:$H$65536,IF(OR(MID(TRIM($A8),2,1)="：",MID(TRIM($A8),2,1)="、"),REPLACEB(TRIM($A8),1,4,""),TRIM($A8)),'合并报表调整 '!$J$5:$J$65536)</f>
        <v>0</v>
      </c>
      <c r="I8" s="236">
        <f t="shared" ref="I8:I10" si="1">B8-E8-G8+F8+H8-C8+D8</f>
        <v>0</v>
      </c>
      <c r="J8" s="236"/>
      <c r="K8" s="237">
        <f t="shared" ref="K8:K10" si="2">SUM(I8:J8)</f>
        <v>0</v>
      </c>
    </row>
    <row r="9" spans="1:15" ht="14.45" customHeight="1">
      <c r="A9" s="97" t="str">
        <f>报表格式!G8</f>
        <v>吸收存款及同业存放</v>
      </c>
      <c r="B9" s="236">
        <f>合并BS汇总!B64</f>
        <v>0</v>
      </c>
      <c r="C9" s="236">
        <f>SUMIF(权益抵销!$E$5:$E$65537,IF(OR(MID(TRIM($A9),2,1)="：",MID(TRIM($A9),2,1)="、"),REPLACEB(TRIM($A9),1,4,""),TRIM($A9)),权益抵销!$J$5:$J$65537)</f>
        <v>0</v>
      </c>
      <c r="D9" s="236">
        <f>SUMIF(权益抵销!$H$5:$H$65537,IF(OR(MID(TRIM($A9),2,1)="：",MID(TRIM($A9),2,1)="、"),REPLACEB(TRIM($A9),1,4,""),TRIM($A9)),权益抵销!$J$5:$J$65537)</f>
        <v>0</v>
      </c>
      <c r="E9" s="236">
        <f>SUMIF(往来交易抵销!$E$5:$E$65536,IF(OR(MID(TRIM($A9),2,1)="：",MID(TRIM($A9),2,1)="、"),REPLACEB(TRIM($A9),1,4,""),TRIM($A9)),往来交易抵销!$J$5:$J$65536)</f>
        <v>0</v>
      </c>
      <c r="F9" s="236">
        <f>SUMIF(往来交易抵销!$H$5:$H$65536,IF(OR(MID(TRIM($A9),2,1)="：",MID(TRIM($A9),2,1)="、"),REPLACEB(TRIM($A9),1,4,""),TRIM($A9)),往来交易抵销!$J$5:$J$65536)</f>
        <v>0</v>
      </c>
      <c r="G9" s="236">
        <f>SUMIF('合并报表调整 '!$E$5:$E$65536,IF(OR(MID(TRIM($A9),2,1)="：",MID(TRIM($A9),2,1)="、"),REPLACEB(TRIM($A9),1,4,""),TRIM($A9)),'合并报表调整 '!$J$5:$J$65536)</f>
        <v>0</v>
      </c>
      <c r="H9" s="236">
        <f>SUMIF('合并报表调整 '!$H$5:$H$65536,IF(OR(MID(TRIM($A9),2,1)="：",MID(TRIM($A9),2,1)="、"),REPLACEB(TRIM($A9),1,4,""),TRIM($A9)),'合并报表调整 '!$J$5:$J$65536)</f>
        <v>0</v>
      </c>
      <c r="I9" s="236">
        <f t="shared" si="1"/>
        <v>0</v>
      </c>
      <c r="J9" s="236"/>
      <c r="K9" s="237">
        <f t="shared" si="2"/>
        <v>0</v>
      </c>
    </row>
    <row r="10" spans="1:15" ht="14.45" customHeight="1">
      <c r="A10" s="97" t="str">
        <f>报表格式!G9</f>
        <v>拆入资金</v>
      </c>
      <c r="B10" s="236">
        <f>合并BS汇总!B65</f>
        <v>0</v>
      </c>
      <c r="C10" s="236">
        <f>SUMIF(权益抵销!$E$5:$E$65537,IF(OR(MID(TRIM($A10),2,1)="：",MID(TRIM($A10),2,1)="、"),REPLACEB(TRIM($A10),1,4,""),TRIM($A10)),权益抵销!$J$5:$J$65537)</f>
        <v>0</v>
      </c>
      <c r="D10" s="236">
        <f>SUMIF(权益抵销!$H$5:$H$65537,IF(OR(MID(TRIM($A10),2,1)="：",MID(TRIM($A10),2,1)="、"),REPLACEB(TRIM($A10),1,4,""),TRIM($A10)),权益抵销!$J$5:$J$65537)</f>
        <v>0</v>
      </c>
      <c r="E10" s="236">
        <f>SUMIF(往来交易抵销!$E$5:$E$65536,IF(OR(MID(TRIM($A10),2,1)="：",MID(TRIM($A10),2,1)="、"),REPLACEB(TRIM($A10),1,4,""),TRIM($A10)),往来交易抵销!$J$5:$J$65536)</f>
        <v>0</v>
      </c>
      <c r="F10" s="236">
        <f>SUMIF(往来交易抵销!$H$5:$H$65536,IF(OR(MID(TRIM($A10),2,1)="：",MID(TRIM($A10),2,1)="、"),REPLACEB(TRIM($A10),1,4,""),TRIM($A10)),往来交易抵销!$J$5:$J$65536)</f>
        <v>0</v>
      </c>
      <c r="G10" s="236">
        <f>SUMIF('合并报表调整 '!$E$5:$E$65536,IF(OR(MID(TRIM($A10),2,1)="：",MID(TRIM($A10),2,1)="、"),REPLACEB(TRIM($A10),1,4,""),TRIM($A10)),'合并报表调整 '!$J$5:$J$65536)</f>
        <v>0</v>
      </c>
      <c r="H10" s="236">
        <f>SUMIF('合并报表调整 '!$H$5:$H$65536,IF(OR(MID(TRIM($A10),2,1)="：",MID(TRIM($A10),2,1)="、"),REPLACEB(TRIM($A10),1,4,""),TRIM($A10)),'合并报表调整 '!$J$5:$J$65536)</f>
        <v>0</v>
      </c>
      <c r="I10" s="236">
        <f t="shared" si="1"/>
        <v>0</v>
      </c>
      <c r="J10" s="236"/>
      <c r="K10" s="237">
        <f t="shared" si="2"/>
        <v>0</v>
      </c>
    </row>
    <row r="11" spans="1:15" ht="14.45" customHeight="1">
      <c r="A11" s="97" t="str">
        <f>报表格式!G10</f>
        <v>交易性金融负债</v>
      </c>
      <c r="B11" s="236">
        <f>合并BS汇总!B66</f>
        <v>0</v>
      </c>
      <c r="C11" s="236">
        <f>SUMIF(权益抵销!$E$5:$E$65537,IF(OR(MID(TRIM($A11),2,1)="：",MID(TRIM($A11),2,1)="、"),REPLACEB(TRIM($A11),1,4,""),TRIM($A11)),权益抵销!$J$5:$J$65537)</f>
        <v>0</v>
      </c>
      <c r="D11" s="236">
        <f>SUMIF(权益抵销!$H$5:$H$65537,IF(OR(MID(TRIM($A11),2,1)="：",MID(TRIM($A11),2,1)="、"),REPLACEB(TRIM($A11),1,4,""),TRIM($A11)),权益抵销!$J$5:$J$65537)</f>
        <v>0</v>
      </c>
      <c r="E11" s="236">
        <f>SUMIF(往来交易抵销!$E$5:$E$65536,IF(OR(MID(TRIM($A11),2,1)="：",MID(TRIM($A11),2,1)="、"),REPLACEB(TRIM($A11),1,4,""),TRIM($A11)),往来交易抵销!$J$5:$J$65536)</f>
        <v>0</v>
      </c>
      <c r="F11" s="236">
        <f>SUMIF(往来交易抵销!$H$5:$H$65536,IF(OR(MID(TRIM($A11),2,1)="：",MID(TRIM($A11),2,1)="、"),REPLACEB(TRIM($A11),1,4,""),TRIM($A11)),往来交易抵销!$J$5:$J$65536)</f>
        <v>0</v>
      </c>
      <c r="G11" s="236">
        <f>SUMIF('合并报表调整 '!$E$5:$E$65536,IF(OR(MID(TRIM($A11),2,1)="：",MID(TRIM($A11),2,1)="、"),REPLACEB(TRIM($A11),1,4,""),TRIM($A11)),'合并报表调整 '!$J$5:$J$65536)</f>
        <v>0</v>
      </c>
      <c r="H11" s="236">
        <f>SUMIF('合并报表调整 '!$H$5:$H$65536,IF(OR(MID(TRIM($A11),2,1)="：",MID(TRIM($A11),2,1)="、"),REPLACEB(TRIM($A11),1,4,""),TRIM($A11)),'合并报表调整 '!$J$5:$J$65536)</f>
        <v>0</v>
      </c>
      <c r="I11" s="236">
        <f t="shared" ref="I11:I60" si="3">B11-E11-G11+F11+H11-C11+D11</f>
        <v>0</v>
      </c>
      <c r="J11" s="236"/>
      <c r="K11" s="237">
        <f t="shared" si="0"/>
        <v>0</v>
      </c>
    </row>
    <row r="12" spans="1:15" ht="14.45" customHeight="1">
      <c r="A12" s="97" t="str">
        <f>报表格式!G11</f>
        <v>以公允价值计量且其变动计入当期损益的金融负债</v>
      </c>
      <c r="B12" s="236">
        <f>合并BS汇总!B67</f>
        <v>0</v>
      </c>
      <c r="C12" s="236">
        <f>SUMIF(权益抵销!$E$5:$E$65537,IF(OR(MID(TRIM($A12),2,1)="：",MID(TRIM($A12),2,1)="、"),REPLACEB(TRIM($A12),1,4,""),TRIM($A12)),权益抵销!$J$5:$J$65537)</f>
        <v>0</v>
      </c>
      <c r="D12" s="236">
        <f>SUMIF(权益抵销!$H$5:$H$65537,IF(OR(MID(TRIM($A12),2,1)="：",MID(TRIM($A12),2,1)="、"),REPLACEB(TRIM($A12),1,4,""),TRIM($A12)),权益抵销!$J$5:$J$65537)</f>
        <v>0</v>
      </c>
      <c r="E12" s="236">
        <f>SUMIF(往来交易抵销!$E$5:$E$65536,IF(OR(MID(TRIM($A12),2,1)="：",MID(TRIM($A12),2,1)="、"),REPLACEB(TRIM($A12),1,4,""),TRIM($A12)),往来交易抵销!$J$5:$J$65536)</f>
        <v>0</v>
      </c>
      <c r="F12" s="236">
        <f>SUMIF(往来交易抵销!$H$5:$H$65536,IF(OR(MID(TRIM($A12),2,1)="：",MID(TRIM($A12),2,1)="、"),REPLACEB(TRIM($A12),1,4,""),TRIM($A12)),往来交易抵销!$J$5:$J$65536)</f>
        <v>0</v>
      </c>
      <c r="G12" s="236">
        <f>SUMIF('合并报表调整 '!$E$5:$E$65536,IF(OR(MID(TRIM($A12),2,1)="：",MID(TRIM($A12),2,1)="、"),REPLACEB(TRIM($A12),1,4,""),TRIM($A12)),'合并报表调整 '!$J$5:$J$65536)</f>
        <v>0</v>
      </c>
      <c r="H12" s="236">
        <f>SUMIF('合并报表调整 '!$H$5:$H$65536,IF(OR(MID(TRIM($A12),2,1)="：",MID(TRIM($A12),2,1)="、"),REPLACEB(TRIM($A12),1,4,""),TRIM($A12)),'合并报表调整 '!$J$5:$J$65536)</f>
        <v>0</v>
      </c>
      <c r="I12" s="236">
        <f t="shared" ref="I12" si="4">B12-E12-G12+F12+H12-C12+D12</f>
        <v>0</v>
      </c>
      <c r="J12" s="236"/>
      <c r="K12" s="237">
        <f t="shared" ref="K12" si="5">SUM(I12:J12)</f>
        <v>0</v>
      </c>
    </row>
    <row r="13" spans="1:15" ht="14.45" customHeight="1">
      <c r="A13" s="97" t="str">
        <f>报表格式!G12</f>
        <v>衍生金融负债</v>
      </c>
      <c r="B13" s="236">
        <f>合并BS汇总!B68</f>
        <v>0</v>
      </c>
      <c r="C13" s="236">
        <f>SUMIF(权益抵销!$E$5:$E$65537,IF(OR(MID(TRIM($A13),2,1)="：",MID(TRIM($A13),2,1)="、"),REPLACEB(TRIM($A13),1,4,""),TRIM($A13)),权益抵销!$J$5:$J$65537)</f>
        <v>0</v>
      </c>
      <c r="D13" s="236">
        <f>SUMIF(权益抵销!$H$5:$H$65537,IF(OR(MID(TRIM($A13),2,1)="：",MID(TRIM($A13),2,1)="、"),REPLACEB(TRIM($A13),1,4,""),TRIM($A13)),权益抵销!$J$5:$J$65537)</f>
        <v>0</v>
      </c>
      <c r="E13" s="236">
        <f>SUMIF(往来交易抵销!$E$5:$E$65536,IF(OR(MID(TRIM($A13),2,1)="：",MID(TRIM($A13),2,1)="、"),REPLACEB(TRIM($A13),1,4,""),TRIM($A13)),往来交易抵销!$J$5:$J$65536)</f>
        <v>0</v>
      </c>
      <c r="F13" s="236">
        <f>SUMIF(往来交易抵销!$H$5:$H$65536,IF(OR(MID(TRIM($A13),2,1)="：",MID(TRIM($A13),2,1)="、"),REPLACEB(TRIM($A13),1,4,""),TRIM($A13)),往来交易抵销!$J$5:$J$65536)</f>
        <v>0</v>
      </c>
      <c r="G13" s="236">
        <f>SUMIF('合并报表调整 '!$E$5:$E$65536,IF(OR(MID(TRIM($A13),2,1)="：",MID(TRIM($A13),2,1)="、"),REPLACEB(TRIM($A13),1,4,""),TRIM($A13)),'合并报表调整 '!$J$5:$J$65536)</f>
        <v>0</v>
      </c>
      <c r="H13" s="236">
        <f>SUMIF('合并报表调整 '!$H$5:$H$65536,IF(OR(MID(TRIM($A13),2,1)="：",MID(TRIM($A13),2,1)="、"),REPLACEB(TRIM($A13),1,4,""),TRIM($A13)),'合并报表调整 '!$J$5:$J$65536)</f>
        <v>0</v>
      </c>
      <c r="I13" s="236">
        <f>B13-E13-G13+F13+H13-C13+D13</f>
        <v>0</v>
      </c>
      <c r="J13" s="236"/>
      <c r="K13" s="237">
        <f>SUM(I13:J13)</f>
        <v>0</v>
      </c>
    </row>
    <row r="14" spans="1:15" ht="14.45" customHeight="1">
      <c r="A14" s="97" t="str">
        <f>报表格式!G13</f>
        <v>应付票据</v>
      </c>
      <c r="B14" s="236">
        <f>合并BS汇总!B69</f>
        <v>0</v>
      </c>
      <c r="C14" s="236">
        <f>SUMIF(权益抵销!$E$5:$E$65537,IF(OR(MID(TRIM($A14),2,1)="：",MID(TRIM($A14),2,1)="、"),REPLACEB(TRIM($A14),1,4,""),TRIM($A14)),权益抵销!$J$5:$J$65537)</f>
        <v>0</v>
      </c>
      <c r="D14" s="236">
        <f>SUMIF(权益抵销!$H$5:$H$65537,IF(OR(MID(TRIM($A14),2,1)="：",MID(TRIM($A14),2,1)="、"),REPLACEB(TRIM($A14),1,4,""),TRIM($A14)),权益抵销!$J$5:$J$65537)</f>
        <v>0</v>
      </c>
      <c r="E14" s="236">
        <f>SUMIF(往来交易抵销!$E$5:$E$65536,IF(OR(MID(TRIM($A14),2,1)="：",MID(TRIM($A14),2,1)="、"),REPLACEB(TRIM($A14),1,4,""),TRIM($A14)),往来交易抵销!$J$5:$J$65536)</f>
        <v>0</v>
      </c>
      <c r="F14" s="236">
        <f>SUMIF(往来交易抵销!$H$5:$H$65536,IF(OR(MID(TRIM($A14),2,1)="：",MID(TRIM($A14),2,1)="、"),REPLACEB(TRIM($A14),1,4,""),TRIM($A14)),往来交易抵销!$J$5:$J$65536)</f>
        <v>0</v>
      </c>
      <c r="G14" s="236">
        <f>SUMIF('合并报表调整 '!$E$5:$E$65536,IF(OR(MID(TRIM($A14),2,1)="：",MID(TRIM($A14),2,1)="、"),REPLACEB(TRIM($A14),1,4,""),TRIM($A14)),'合并报表调整 '!$J$5:$J$65536)</f>
        <v>0</v>
      </c>
      <c r="H14" s="236">
        <f>SUMIF('合并报表调整 '!$H$5:$H$65536,IF(OR(MID(TRIM($A14),2,1)="：",MID(TRIM($A14),2,1)="、"),REPLACEB(TRIM($A14),1,4,""),TRIM($A14)),'合并报表调整 '!$J$5:$J$65536)</f>
        <v>0</v>
      </c>
      <c r="I14" s="236">
        <f t="shared" si="3"/>
        <v>0</v>
      </c>
      <c r="J14" s="236"/>
      <c r="K14" s="237">
        <f t="shared" si="0"/>
        <v>0</v>
      </c>
    </row>
    <row r="15" spans="1:15" ht="14.45" customHeight="1">
      <c r="A15" s="97" t="str">
        <f>报表格式!G14</f>
        <v>应付账款</v>
      </c>
      <c r="B15" s="236">
        <f>合并BS汇总!B70</f>
        <v>0</v>
      </c>
      <c r="C15" s="236">
        <f>SUMIF(权益抵销!$E$5:$E$65537,IF(OR(MID(TRIM($A15),2,1)="：",MID(TRIM($A15),2,1)="、"),REPLACEB(TRIM($A15),1,4,""),TRIM($A15)),权益抵销!$J$5:$J$65537)</f>
        <v>0</v>
      </c>
      <c r="D15" s="236">
        <f>SUMIF(权益抵销!$H$5:$H$65537,IF(OR(MID(TRIM($A15),2,1)="：",MID(TRIM($A15),2,1)="、"),REPLACEB(TRIM($A15),1,4,""),TRIM($A15)),权益抵销!$J$5:$J$65537)</f>
        <v>0</v>
      </c>
      <c r="E15" s="236">
        <f>SUMIF(往来交易抵销!$E$5:$E$65536,IF(OR(MID(TRIM($A15),2,1)="：",MID(TRIM($A15),2,1)="、"),REPLACEB(TRIM($A15),1,4,""),TRIM($A15)),往来交易抵销!$J$5:$J$65536)</f>
        <v>0</v>
      </c>
      <c r="F15" s="236">
        <f>SUMIF(往来交易抵销!$H$5:$H$65536,IF(OR(MID(TRIM($A15),2,1)="：",MID(TRIM($A15),2,1)="、"),REPLACEB(TRIM($A15),1,4,""),TRIM($A15)),往来交易抵销!$J$5:$J$65536)</f>
        <v>0</v>
      </c>
      <c r="G15" s="236">
        <f>SUMIF('合并报表调整 '!$E$5:$E$65536,IF(OR(MID(TRIM($A15),2,1)="：",MID(TRIM($A15),2,1)="、"),REPLACEB(TRIM($A15),1,4,""),TRIM($A15)),'合并报表调整 '!$J$5:$J$65536)</f>
        <v>0</v>
      </c>
      <c r="H15" s="236">
        <f>SUMIF('合并报表调整 '!$H$5:$H$65536,IF(OR(MID(TRIM($A15),2,1)="：",MID(TRIM($A15),2,1)="、"),REPLACEB(TRIM($A15),1,4,""),TRIM($A15)),'合并报表调整 '!$J$5:$J$65536)</f>
        <v>0</v>
      </c>
      <c r="I15" s="236">
        <f t="shared" ref="I15" si="6">B15-E15-G15+F15+H15-C15+D15</f>
        <v>0</v>
      </c>
      <c r="J15" s="236"/>
      <c r="K15" s="237">
        <f t="shared" ref="K15" si="7">SUM(I15:J15)</f>
        <v>0</v>
      </c>
    </row>
    <row r="16" spans="1:15" ht="14.45" customHeight="1">
      <c r="A16" s="97" t="str">
        <f>报表格式!G15</f>
        <v>预收款项</v>
      </c>
      <c r="B16" s="236">
        <f>合并BS汇总!B71</f>
        <v>0</v>
      </c>
      <c r="C16" s="236">
        <f>SUMIF(权益抵销!$E$5:$E$65537,IF(OR(MID(TRIM($A16),2,1)="：",MID(TRIM($A16),2,1)="、"),REPLACEB(TRIM($A16),1,4,""),TRIM($A16)),权益抵销!$J$5:$J$65537)</f>
        <v>0</v>
      </c>
      <c r="D16" s="236">
        <f>SUMIF(权益抵销!$H$5:$H$65537,IF(OR(MID(TRIM($A16),2,1)="：",MID(TRIM($A16),2,1)="、"),REPLACEB(TRIM($A16),1,4,""),TRIM($A16)),权益抵销!$J$5:$J$65537)</f>
        <v>0</v>
      </c>
      <c r="E16" s="236">
        <f>SUMIF(往来交易抵销!$E$5:$E$65536,IF(OR(MID(TRIM($A16),2,1)="：",MID(TRIM($A16),2,1)="、"),REPLACEB(TRIM($A16),1,4,""),TRIM($A16)),往来交易抵销!$J$5:$J$65536)</f>
        <v>0</v>
      </c>
      <c r="F16" s="236">
        <f>SUMIF(往来交易抵销!$H$5:$H$65536,IF(OR(MID(TRIM($A16),2,1)="：",MID(TRIM($A16),2,1)="、"),REPLACEB(TRIM($A16),1,4,""),TRIM($A16)),往来交易抵销!$J$5:$J$65536)</f>
        <v>0</v>
      </c>
      <c r="G16" s="236">
        <f>SUMIF('合并报表调整 '!$E$5:$E$65536,IF(OR(MID(TRIM($A16),2,1)="：",MID(TRIM($A16),2,1)="、"),REPLACEB(TRIM($A16),1,4,""),TRIM($A16)),'合并报表调整 '!$J$5:$J$65536)</f>
        <v>0</v>
      </c>
      <c r="H16" s="236">
        <f>SUMIF('合并报表调整 '!$H$5:$H$65536,IF(OR(MID(TRIM($A16),2,1)="：",MID(TRIM($A16),2,1)="、"),REPLACEB(TRIM($A16),1,4,""),TRIM($A16)),'合并报表调整 '!$J$5:$J$65536)</f>
        <v>0</v>
      </c>
      <c r="I16" s="236">
        <f t="shared" si="3"/>
        <v>0</v>
      </c>
      <c r="J16" s="236"/>
      <c r="K16" s="237">
        <f t="shared" si="0"/>
        <v>0</v>
      </c>
    </row>
    <row r="17" spans="1:11" ht="14.45" customHeight="1">
      <c r="A17" s="97" t="str">
        <f>报表格式!G16</f>
        <v>卖出回购金融资产款</v>
      </c>
      <c r="B17" s="236">
        <f>合并BS汇总!B72</f>
        <v>0</v>
      </c>
      <c r="C17" s="236">
        <f>SUMIF(权益抵销!$E$5:$E$65537,IF(OR(MID(TRIM($A17),2,1)="：",MID(TRIM($A17),2,1)="、"),REPLACEB(TRIM($A17),1,4,""),TRIM($A17)),权益抵销!$J$5:$J$65537)</f>
        <v>0</v>
      </c>
      <c r="D17" s="236">
        <f>SUMIF(权益抵销!$H$5:$H$65537,IF(OR(MID(TRIM($A17),2,1)="：",MID(TRIM($A17),2,1)="、"),REPLACEB(TRIM($A17),1,4,""),TRIM($A17)),权益抵销!$J$5:$J$65537)</f>
        <v>0</v>
      </c>
      <c r="E17" s="236">
        <f>SUMIF(往来交易抵销!$E$5:$E$65536,IF(OR(MID(TRIM($A17),2,1)="：",MID(TRIM($A17),2,1)="、"),REPLACEB(TRIM($A17),1,4,""),TRIM($A17)),往来交易抵销!$J$5:$J$65536)</f>
        <v>0</v>
      </c>
      <c r="F17" s="236">
        <f>SUMIF(往来交易抵销!$H$5:$H$65536,IF(OR(MID(TRIM($A17),2,1)="：",MID(TRIM($A17),2,1)="、"),REPLACEB(TRIM($A17),1,4,""),TRIM($A17)),往来交易抵销!$J$5:$J$65536)</f>
        <v>0</v>
      </c>
      <c r="G17" s="236">
        <f>SUMIF('合并报表调整 '!$E$5:$E$65536,IF(OR(MID(TRIM($A17),2,1)="：",MID(TRIM($A17),2,1)="、"),REPLACEB(TRIM($A17),1,4,""),TRIM($A17)),'合并报表调整 '!$J$5:$J$65536)</f>
        <v>0</v>
      </c>
      <c r="H17" s="236">
        <f>SUMIF('合并报表调整 '!$H$5:$H$65536,IF(OR(MID(TRIM($A17),2,1)="：",MID(TRIM($A17),2,1)="、"),REPLACEB(TRIM($A17),1,4,""),TRIM($A17)),'合并报表调整 '!$J$5:$J$65536)</f>
        <v>0</v>
      </c>
      <c r="I17" s="236">
        <f t="shared" ref="I17:I18" si="8">B17-E17-G17+F17+H17-C17+D17</f>
        <v>0</v>
      </c>
      <c r="J17" s="236"/>
      <c r="K17" s="237">
        <f t="shared" ref="K17:K18" si="9">SUM(I17:J17)</f>
        <v>0</v>
      </c>
    </row>
    <row r="18" spans="1:11" ht="14.45" customHeight="1">
      <c r="A18" s="97" t="str">
        <f>报表格式!G17</f>
        <v>应付手续费及佣金</v>
      </c>
      <c r="B18" s="236">
        <f>合并BS汇总!B73</f>
        <v>0</v>
      </c>
      <c r="C18" s="236">
        <f>SUMIF(权益抵销!$E$5:$E$65537,IF(OR(MID(TRIM($A18),2,1)="：",MID(TRIM($A18),2,1)="、"),REPLACEB(TRIM($A18),1,4,""),TRIM($A18)),权益抵销!$J$5:$J$65537)</f>
        <v>0</v>
      </c>
      <c r="D18" s="236">
        <f>SUMIF(权益抵销!$H$5:$H$65537,IF(OR(MID(TRIM($A18),2,1)="：",MID(TRIM($A18),2,1)="、"),REPLACEB(TRIM($A18),1,4,""),TRIM($A18)),权益抵销!$J$5:$J$65537)</f>
        <v>0</v>
      </c>
      <c r="E18" s="236">
        <f>SUMIF(往来交易抵销!$E$5:$E$65536,IF(OR(MID(TRIM($A18),2,1)="：",MID(TRIM($A18),2,1)="、"),REPLACEB(TRIM($A18),1,4,""),TRIM($A18)),往来交易抵销!$J$5:$J$65536)</f>
        <v>0</v>
      </c>
      <c r="F18" s="236">
        <f>SUMIF(往来交易抵销!$H$5:$H$65536,IF(OR(MID(TRIM($A18),2,1)="：",MID(TRIM($A18),2,1)="、"),REPLACEB(TRIM($A18),1,4,""),TRIM($A18)),往来交易抵销!$J$5:$J$65536)</f>
        <v>0</v>
      </c>
      <c r="G18" s="236">
        <f>SUMIF('合并报表调整 '!$E$5:$E$65536,IF(OR(MID(TRIM($A18),2,1)="：",MID(TRIM($A18),2,1)="、"),REPLACEB(TRIM($A18),1,4,""),TRIM($A18)),'合并报表调整 '!$J$5:$J$65536)</f>
        <v>0</v>
      </c>
      <c r="H18" s="236">
        <f>SUMIF('合并报表调整 '!$H$5:$H$65536,IF(OR(MID(TRIM($A18),2,1)="：",MID(TRIM($A18),2,1)="、"),REPLACEB(TRIM($A18),1,4,""),TRIM($A18)),'合并报表调整 '!$J$5:$J$65536)</f>
        <v>0</v>
      </c>
      <c r="I18" s="236">
        <f t="shared" si="8"/>
        <v>0</v>
      </c>
      <c r="J18" s="236"/>
      <c r="K18" s="237">
        <f t="shared" si="9"/>
        <v>0</v>
      </c>
    </row>
    <row r="19" spans="1:11" ht="14.45" customHeight="1">
      <c r="A19" s="97" t="str">
        <f>报表格式!G18</f>
        <v>合同负债</v>
      </c>
      <c r="B19" s="236">
        <f>合并BS汇总!B74</f>
        <v>0</v>
      </c>
      <c r="C19" s="236">
        <f>SUMIF(权益抵销!$E$5:$E$65537,IF(OR(MID(TRIM($A19),2,1)="：",MID(TRIM($A19),2,1)="、"),REPLACEB(TRIM($A19),1,4,""),TRIM($A19)),权益抵销!$J$5:$J$65537)</f>
        <v>0</v>
      </c>
      <c r="D19" s="236">
        <f>SUMIF(权益抵销!$H$5:$H$65537,IF(OR(MID(TRIM($A19),2,1)="：",MID(TRIM($A19),2,1)="、"),REPLACEB(TRIM($A19),1,4,""),TRIM($A19)),权益抵销!$J$5:$J$65537)</f>
        <v>0</v>
      </c>
      <c r="E19" s="236">
        <f>SUMIF(往来交易抵销!$E$5:$E$65536,IF(OR(MID(TRIM($A19),2,1)="：",MID(TRIM($A19),2,1)="、"),REPLACEB(TRIM($A19),1,4,""),TRIM($A19)),往来交易抵销!$J$5:$J$65536)</f>
        <v>0</v>
      </c>
      <c r="F19" s="236">
        <f>SUMIF(往来交易抵销!$H$5:$H$65536,IF(OR(MID(TRIM($A19),2,1)="：",MID(TRIM($A19),2,1)="、"),REPLACEB(TRIM($A19),1,4,""),TRIM($A19)),往来交易抵销!$J$5:$J$65536)</f>
        <v>0</v>
      </c>
      <c r="G19" s="236">
        <f>SUMIF('合并报表调整 '!$E$5:$E$65536,IF(OR(MID(TRIM($A19),2,1)="：",MID(TRIM($A19),2,1)="、"),REPLACEB(TRIM($A19),1,4,""),TRIM($A19)),'合并报表调整 '!$J$5:$J$65536)</f>
        <v>0</v>
      </c>
      <c r="H19" s="236">
        <f>SUMIF('合并报表调整 '!$H$5:$H$65536,IF(OR(MID(TRIM($A19),2,1)="：",MID(TRIM($A19),2,1)="、"),REPLACEB(TRIM($A19),1,4,""),TRIM($A19)),'合并报表调整 '!$J$5:$J$65536)</f>
        <v>0</v>
      </c>
      <c r="I19" s="236">
        <f>B19-E19-G19+F19+H19-C19+D19</f>
        <v>0</v>
      </c>
      <c r="J19" s="236"/>
      <c r="K19" s="237">
        <f>SUM(I19:J19)</f>
        <v>0</v>
      </c>
    </row>
    <row r="20" spans="1:11" ht="14.45" customHeight="1">
      <c r="A20" s="97" t="str">
        <f>报表格式!G19</f>
        <v>应付职工薪酬</v>
      </c>
      <c r="B20" s="236">
        <f>合并BS汇总!B75</f>
        <v>0</v>
      </c>
      <c r="C20" s="236">
        <f>SUMIF(权益抵销!$E$5:$E$65537,IF(OR(MID(TRIM($A20),2,1)="：",MID(TRIM($A20),2,1)="、"),REPLACEB(TRIM($A20),1,4,""),TRIM($A20)),权益抵销!$J$5:$J$65537)</f>
        <v>0</v>
      </c>
      <c r="D20" s="236">
        <f>SUMIF(权益抵销!$H$5:$H$65537,IF(OR(MID(TRIM($A20),2,1)="：",MID(TRIM($A20),2,1)="、"),REPLACEB(TRIM($A20),1,4,""),TRIM($A20)),权益抵销!$J$5:$J$65537)</f>
        <v>0</v>
      </c>
      <c r="E20" s="236">
        <f>SUMIF(往来交易抵销!$E$5:$E$65536,IF(OR(MID(TRIM($A20),2,1)="：",MID(TRIM($A20),2,1)="、"),REPLACEB(TRIM($A20),1,4,""),TRIM($A20)),往来交易抵销!$J$5:$J$65536)</f>
        <v>0</v>
      </c>
      <c r="F20" s="236">
        <f>SUMIF(往来交易抵销!$H$5:$H$65536,IF(OR(MID(TRIM($A20),2,1)="：",MID(TRIM($A20),2,1)="、"),REPLACEB(TRIM($A20),1,4,""),TRIM($A20)),往来交易抵销!$J$5:$J$65536)</f>
        <v>0</v>
      </c>
      <c r="G20" s="236">
        <f>SUMIF('合并报表调整 '!$E$5:$E$65536,IF(OR(MID(TRIM($A20),2,1)="：",MID(TRIM($A20),2,1)="、"),REPLACEB(TRIM($A20),1,4,""),TRIM($A20)),'合并报表调整 '!$J$5:$J$65536)</f>
        <v>0</v>
      </c>
      <c r="H20" s="236">
        <f>SUMIF('合并报表调整 '!$H$5:$H$65536,IF(OR(MID(TRIM($A20),2,1)="：",MID(TRIM($A20),2,1)="、"),REPLACEB(TRIM($A20),1,4,""),TRIM($A20)),'合并报表调整 '!$J$5:$J$65536)</f>
        <v>0</v>
      </c>
      <c r="I20" s="236">
        <f t="shared" si="3"/>
        <v>0</v>
      </c>
      <c r="J20" s="236"/>
      <c r="K20" s="237">
        <f t="shared" si="0"/>
        <v>0</v>
      </c>
    </row>
    <row r="21" spans="1:11" ht="14.45" customHeight="1">
      <c r="A21" s="97" t="str">
        <f>报表格式!G20</f>
        <v>应交税费</v>
      </c>
      <c r="B21" s="236">
        <f>合并BS汇总!B76</f>
        <v>0</v>
      </c>
      <c r="C21" s="236">
        <f>SUMIF(权益抵销!$E$5:$E$65537,IF(OR(MID(TRIM($A21),2,1)="：",MID(TRIM($A21),2,1)="、"),REPLACEB(TRIM($A21),1,4,""),TRIM($A21)),权益抵销!$J$5:$J$65537)</f>
        <v>0</v>
      </c>
      <c r="D21" s="236">
        <f>SUMIF(权益抵销!$H$5:$H$65537,IF(OR(MID(TRIM($A21),2,1)="：",MID(TRIM($A21),2,1)="、"),REPLACEB(TRIM($A21),1,4,""),TRIM($A21)),权益抵销!$J$5:$J$65537)</f>
        <v>0</v>
      </c>
      <c r="E21" s="236">
        <f>SUMIF(往来交易抵销!$E$5:$E$65536,IF(OR(MID(TRIM($A21),2,1)="：",MID(TRIM($A21),2,1)="、"),REPLACEB(TRIM($A21),1,4,""),TRIM($A21)),往来交易抵销!$J$5:$J$65536)</f>
        <v>0</v>
      </c>
      <c r="F21" s="236">
        <f>SUMIF(往来交易抵销!$H$5:$H$65536,IF(OR(MID(TRIM($A21),2,1)="：",MID(TRIM($A21),2,1)="、"),REPLACEB(TRIM($A21),1,4,""),TRIM($A21)),往来交易抵销!$J$5:$J$65536)</f>
        <v>0</v>
      </c>
      <c r="G21" s="236">
        <f>SUMIF('合并报表调整 '!$E$5:$E$65536,IF(OR(MID(TRIM($A21),2,1)="：",MID(TRIM($A21),2,1)="、"),REPLACEB(TRIM($A21),1,4,""),TRIM($A21)),'合并报表调整 '!$J$5:$J$65536)</f>
        <v>0</v>
      </c>
      <c r="H21" s="236">
        <f>SUMIF('合并报表调整 '!$H$5:$H$65536,IF(OR(MID(TRIM($A21),2,1)="：",MID(TRIM($A21),2,1)="、"),REPLACEB(TRIM($A21),1,4,""),TRIM($A21)),'合并报表调整 '!$J$5:$J$65536)</f>
        <v>0</v>
      </c>
      <c r="I21" s="236">
        <f t="shared" si="3"/>
        <v>0</v>
      </c>
      <c r="J21" s="236"/>
      <c r="K21" s="237">
        <f t="shared" si="0"/>
        <v>0</v>
      </c>
    </row>
    <row r="22" spans="1:11" ht="14.45" customHeight="1">
      <c r="A22" s="97" t="str">
        <f>报表格式!G21</f>
        <v>其他应付款</v>
      </c>
      <c r="B22" s="236">
        <f>合并BS汇总!B77</f>
        <v>0</v>
      </c>
      <c r="C22" s="236">
        <f>SUMIF(权益抵销!$E$5:$E$65537,IF(OR(MID(TRIM($A22),2,1)="：",MID(TRIM($A22),2,1)="、"),REPLACEB(TRIM($A22),1,4,""),TRIM($A22)),权益抵销!$J$5:$J$65537)</f>
        <v>0</v>
      </c>
      <c r="D22" s="236">
        <f>SUMIF(权益抵销!$H$5:$H$65537,IF(OR(MID(TRIM($A22),2,1)="：",MID(TRIM($A22),2,1)="、"),REPLACEB(TRIM($A22),1,4,""),TRIM($A22)),权益抵销!$J$5:$J$65537)</f>
        <v>0</v>
      </c>
      <c r="E22" s="236">
        <f>SUMIF(往来交易抵销!$E$5:$E$65536,IF(OR(MID(TRIM($A22),2,1)="：",MID(TRIM($A22),2,1)="、"),REPLACEB(TRIM($A22),1,4,""),TRIM($A22)),往来交易抵销!$J$5:$J$65536)</f>
        <v>0</v>
      </c>
      <c r="F22" s="236">
        <f>SUMIF(往来交易抵销!$H$5:$H$65536,IF(OR(MID(TRIM($A22),2,1)="：",MID(TRIM($A22),2,1)="、"),REPLACEB(TRIM($A22),1,4,""),TRIM($A22)),往来交易抵销!$J$5:$J$65536)</f>
        <v>0</v>
      </c>
      <c r="G22" s="236">
        <f>SUMIF('合并报表调整 '!$E$5:$E$65536,IF(OR(MID(TRIM($A22),2,1)="：",MID(TRIM($A22),2,1)="、"),REPLACEB(TRIM($A22),1,4,""),TRIM($A22)),'合并报表调整 '!$J$5:$J$65536)</f>
        <v>0</v>
      </c>
      <c r="H22" s="236">
        <f>SUMIF('合并报表调整 '!$H$5:$H$65536,IF(OR(MID(TRIM($A22),2,1)="：",MID(TRIM($A22),2,1)="、"),REPLACEB(TRIM($A22),1,4,""),TRIM($A22)),'合并报表调整 '!$J$5:$J$65536)</f>
        <v>0</v>
      </c>
      <c r="I22" s="236">
        <f t="shared" si="3"/>
        <v>0</v>
      </c>
      <c r="J22" s="236"/>
      <c r="K22" s="237">
        <f t="shared" si="0"/>
        <v>0</v>
      </c>
    </row>
    <row r="23" spans="1:11" ht="14.45" customHeight="1">
      <c r="A23" s="97" t="str">
        <f>报表格式!G22</f>
        <v xml:space="preserve">  其中：应付利息</v>
      </c>
      <c r="B23" s="236">
        <f>合并BS汇总!B78</f>
        <v>0</v>
      </c>
      <c r="C23" s="814">
        <f>SUMIF(权益抵销!$F$5:$F$65537,IF(OR(MID(TRIM($A23),3,1)="：",MID(TRIM($A23),2,1)="、"),REPLACEB(TRIM($A23),1,6,""),TRIM($A23)),权益抵销!$J$5:$J$65537)</f>
        <v>0</v>
      </c>
      <c r="D23" s="814">
        <f>SUMIF(权益抵销!$I$5:$I$65537,IF(OR(MID(TRIM($A23),3,1)="：",MID(TRIM($A23),2,1)="、"),REPLACEB(TRIM($A23),1,6,""),TRIM($A23)),权益抵销!$J$5:$J$65537)</f>
        <v>0</v>
      </c>
      <c r="E23" s="814">
        <f>SUMIF(往来交易抵销!$F$5:$F$65536,IF(OR(MID(TRIM($A23),3,1)="：",MID(TRIM($A23),2,1)="、"),REPLACEB(TRIM($A23),1,6,""),TRIM($A23)),往来交易抵销!$J$5:$J$65536)</f>
        <v>0</v>
      </c>
      <c r="F23" s="814">
        <f>SUMIF(往来交易抵销!$I$5:$I$65536,IF(OR(MID(TRIM($A23),3,1)="：",MID(TRIM($A23),2,1)="、"),REPLACEB(TRIM($A23),1,6,""),TRIM($A23)),往来交易抵销!$J$5:$J$65536)</f>
        <v>0</v>
      </c>
      <c r="G23" s="814">
        <f>SUMIF('合并报表调整 '!$F$5:$F$65536,IF(OR(MID(TRIM($A23),3,1)="：",MID(TRIM($A23),2,1)="、"),REPLACEB(TRIM($A23),1,6,""),TRIM($A23)),'合并报表调整 '!$J$5:$J$65536)</f>
        <v>0</v>
      </c>
      <c r="H23" s="814">
        <f>SUMIF('合并报表调整 '!$I$5:$I$65536,IF(OR(MID(TRIM($A23),3,1)="：",MID(TRIM($A23),2,1)="、"),REPLACEB(TRIM($A23),1,6,""),TRIM($A23)),'合并报表调整 '!$J$5:$J$65536)</f>
        <v>0</v>
      </c>
      <c r="I23" s="236">
        <f t="shared" ref="I23:I28" si="10">B23-E23-G23+F23+H23-C23+D23</f>
        <v>0</v>
      </c>
      <c r="J23" s="236"/>
      <c r="K23" s="237">
        <f t="shared" ref="K23:K28" si="11">SUM(I23:J23)</f>
        <v>0</v>
      </c>
    </row>
    <row r="24" spans="1:11" ht="14.45" customHeight="1">
      <c r="A24" s="97" t="str">
        <f>报表格式!G23</f>
        <v xml:space="preserve">        应付股利</v>
      </c>
      <c r="B24" s="236">
        <f>合并BS汇总!B79</f>
        <v>0</v>
      </c>
      <c r="C24" s="814">
        <f>SUMIF(权益抵销!$F$5:$F$65537,IF(OR(MID(TRIM($A24),2,1)="：",MID(TRIM($A24),2,1)="、"),REPLACEB(TRIM($A24),1,4,""),TRIM($A24)),权益抵销!$J$5:$J$65537)</f>
        <v>0</v>
      </c>
      <c r="D24" s="814">
        <f>SUMIF(权益抵销!$I$5:$I$65537,IF(OR(MID(TRIM($A24),2,1)="：",MID(TRIM($A24),2,1)="、"),REPLACEB(TRIM($A24),1,4,""),TRIM($A24)),权益抵销!$J$5:$J$65537)</f>
        <v>0</v>
      </c>
      <c r="E24" s="814">
        <f>SUMIF(往来交易抵销!$F$5:$F$65536,IF(OR(MID(TRIM($A24),2,1)="：",MID(TRIM($A24),2,1)="、"),REPLACEB(TRIM($A24),1,4,""),TRIM($A24)),往来交易抵销!$J$5:$J$65536)</f>
        <v>0</v>
      </c>
      <c r="F24" s="814">
        <f>SUMIF(往来交易抵销!$I$5:$I$65536,IF(OR(MID(TRIM($A24),2,1)="：",MID(TRIM($A24),2,1)="、"),REPLACEB(TRIM($A24),1,4,""),TRIM($A24)),往来交易抵销!$J$5:$J$65536)</f>
        <v>0</v>
      </c>
      <c r="G24" s="814">
        <f>SUMIF('合并报表调整 '!$F$5:$F$65536,IF(OR(MID(TRIM($A24),2,1)="：",MID(TRIM($A24),2,1)="、"),REPLACEB(TRIM($A24),1,4,""),TRIM($A24)),'合并报表调整 '!$J$5:$J$65536)</f>
        <v>0</v>
      </c>
      <c r="H24" s="814">
        <f>SUMIF('合并报表调整 '!$I$5:$I$65536,IF(OR(MID(TRIM($A24),2,1)="：",MID(TRIM($A24),2,1)="、"),REPLACEB(TRIM($A24),1,4,""),TRIM($A24)),'合并报表调整 '!$J$5:$J$65536)</f>
        <v>0</v>
      </c>
      <c r="I24" s="236">
        <f t="shared" si="10"/>
        <v>0</v>
      </c>
      <c r="J24" s="236"/>
      <c r="K24" s="237">
        <f t="shared" si="11"/>
        <v>0</v>
      </c>
    </row>
    <row r="25" spans="1:11" ht="14.45" customHeight="1">
      <c r="A25" s="97" t="str">
        <f>报表格式!G24</f>
        <v>应付分保账款</v>
      </c>
      <c r="B25" s="236">
        <f>合并BS汇总!B80</f>
        <v>0</v>
      </c>
      <c r="C25" s="236">
        <f>SUMIF(权益抵销!$E$5:$E$65537,IF(OR(MID(TRIM($A25),2,1)="：",MID(TRIM($A25),2,1)="、"),REPLACEB(TRIM($A25),1,4,""),TRIM($A25)),权益抵销!$J$5:$J$65537)</f>
        <v>0</v>
      </c>
      <c r="D25" s="236">
        <f>SUMIF(权益抵销!$H$5:$H$65537,IF(OR(MID(TRIM($A25),2,1)="：",MID(TRIM($A25),2,1)="、"),REPLACEB(TRIM($A25),1,4,""),TRIM($A25)),权益抵销!$J$5:$J$65537)</f>
        <v>0</v>
      </c>
      <c r="E25" s="236">
        <f>SUMIF(往来交易抵销!$E$5:$E$65536,IF(OR(MID(TRIM($A25),2,1)="：",MID(TRIM($A25),2,1)="、"),REPLACEB(TRIM($A25),1,4,""),TRIM($A25)),往来交易抵销!$J$5:$J$65536)</f>
        <v>0</v>
      </c>
      <c r="F25" s="236">
        <f>SUMIF(往来交易抵销!$H$5:$H$65536,IF(OR(MID(TRIM($A25),2,1)="：",MID(TRIM($A25),2,1)="、"),REPLACEB(TRIM($A25),1,4,""),TRIM($A25)),往来交易抵销!$J$5:$J$65536)</f>
        <v>0</v>
      </c>
      <c r="G25" s="236">
        <f>SUMIF('合并报表调整 '!$E$5:$E$65536,IF(OR(MID(TRIM($A25),2,1)="：",MID(TRIM($A25),2,1)="、"),REPLACEB(TRIM($A25),1,4,""),TRIM($A25)),'合并报表调整 '!$J$5:$J$65536)</f>
        <v>0</v>
      </c>
      <c r="H25" s="236">
        <f>SUMIF('合并报表调整 '!$H$5:$H$65536,IF(OR(MID(TRIM($A25),2,1)="：",MID(TRIM($A25),2,1)="、"),REPLACEB(TRIM($A25),1,4,""),TRIM($A25)),'合并报表调整 '!$J$5:$J$65536)</f>
        <v>0</v>
      </c>
      <c r="I25" s="236">
        <f t="shared" si="10"/>
        <v>0</v>
      </c>
      <c r="J25" s="236"/>
      <c r="K25" s="237">
        <f t="shared" si="11"/>
        <v>0</v>
      </c>
    </row>
    <row r="26" spans="1:11" ht="14.45" customHeight="1">
      <c r="A26" s="97" t="str">
        <f>报表格式!G25</f>
        <v>保险合同准备金</v>
      </c>
      <c r="B26" s="236">
        <f>合并BS汇总!B81</f>
        <v>0</v>
      </c>
      <c r="C26" s="236">
        <f>SUMIF(权益抵销!$E$5:$E$65537,IF(OR(MID(TRIM($A26),2,1)="：",MID(TRIM($A26),2,1)="、"),REPLACEB(TRIM($A26),1,4,""),TRIM($A26)),权益抵销!$J$5:$J$65537)</f>
        <v>0</v>
      </c>
      <c r="D26" s="236">
        <f>SUMIF(权益抵销!$H$5:$H$65537,IF(OR(MID(TRIM($A26),2,1)="：",MID(TRIM($A26),2,1)="、"),REPLACEB(TRIM($A26),1,4,""),TRIM($A26)),权益抵销!$J$5:$J$65537)</f>
        <v>0</v>
      </c>
      <c r="E26" s="236">
        <f>SUMIF(往来交易抵销!$E$5:$E$65536,IF(OR(MID(TRIM($A26),2,1)="：",MID(TRIM($A26),2,1)="、"),REPLACEB(TRIM($A26),1,4,""),TRIM($A26)),往来交易抵销!$J$5:$J$65536)</f>
        <v>0</v>
      </c>
      <c r="F26" s="236">
        <f>SUMIF(往来交易抵销!$H$5:$H$65536,IF(OR(MID(TRIM($A26),2,1)="：",MID(TRIM($A26),2,1)="、"),REPLACEB(TRIM($A26),1,4,""),TRIM($A26)),往来交易抵销!$J$5:$J$65536)</f>
        <v>0</v>
      </c>
      <c r="G26" s="236">
        <f>SUMIF('合并报表调整 '!$E$5:$E$65536,IF(OR(MID(TRIM($A26),2,1)="：",MID(TRIM($A26),2,1)="、"),REPLACEB(TRIM($A26),1,4,""),TRIM($A26)),'合并报表调整 '!$J$5:$J$65536)</f>
        <v>0</v>
      </c>
      <c r="H26" s="236">
        <f>SUMIF('合并报表调整 '!$H$5:$H$65536,IF(OR(MID(TRIM($A26),2,1)="：",MID(TRIM($A26),2,1)="、"),REPLACEB(TRIM($A26),1,4,""),TRIM($A26)),'合并报表调整 '!$J$5:$J$65536)</f>
        <v>0</v>
      </c>
      <c r="I26" s="236">
        <f t="shared" si="10"/>
        <v>0</v>
      </c>
      <c r="J26" s="236"/>
      <c r="K26" s="237">
        <f t="shared" si="11"/>
        <v>0</v>
      </c>
    </row>
    <row r="27" spans="1:11" ht="14.45" customHeight="1">
      <c r="A27" s="97" t="str">
        <f>报表格式!G26</f>
        <v>代理买卖证券款</v>
      </c>
      <c r="B27" s="236">
        <f>合并BS汇总!B82</f>
        <v>0</v>
      </c>
      <c r="C27" s="236">
        <f>SUMIF(权益抵销!$E$5:$E$65537,IF(OR(MID(TRIM($A27),2,1)="：",MID(TRIM($A27),2,1)="、"),REPLACEB(TRIM($A27),1,4,""),TRIM($A27)),权益抵销!$J$5:$J$65537)</f>
        <v>0</v>
      </c>
      <c r="D27" s="236">
        <f>SUMIF(权益抵销!$H$5:$H$65537,IF(OR(MID(TRIM($A27),2,1)="：",MID(TRIM($A27),2,1)="、"),REPLACEB(TRIM($A27),1,4,""),TRIM($A27)),权益抵销!$J$5:$J$65537)</f>
        <v>0</v>
      </c>
      <c r="E27" s="236">
        <f>SUMIF(往来交易抵销!$E$5:$E$65536,IF(OR(MID(TRIM($A27),2,1)="：",MID(TRIM($A27),2,1)="、"),REPLACEB(TRIM($A27),1,4,""),TRIM($A27)),往来交易抵销!$J$5:$J$65536)</f>
        <v>0</v>
      </c>
      <c r="F27" s="236">
        <f>SUMIF(往来交易抵销!$H$5:$H$65536,IF(OR(MID(TRIM($A27),2,1)="：",MID(TRIM($A27),2,1)="、"),REPLACEB(TRIM($A27),1,4,""),TRIM($A27)),往来交易抵销!$J$5:$J$65536)</f>
        <v>0</v>
      </c>
      <c r="G27" s="236">
        <f>SUMIF('合并报表调整 '!$E$5:$E$65536,IF(OR(MID(TRIM($A27),2,1)="：",MID(TRIM($A27),2,1)="、"),REPLACEB(TRIM($A27),1,4,""),TRIM($A27)),'合并报表调整 '!$J$5:$J$65536)</f>
        <v>0</v>
      </c>
      <c r="H27" s="236">
        <f>SUMIF('合并报表调整 '!$H$5:$H$65536,IF(OR(MID(TRIM($A27),2,1)="：",MID(TRIM($A27),2,1)="、"),REPLACEB(TRIM($A27),1,4,""),TRIM($A27)),'合并报表调整 '!$J$5:$J$65536)</f>
        <v>0</v>
      </c>
      <c r="I27" s="236">
        <f t="shared" si="10"/>
        <v>0</v>
      </c>
      <c r="J27" s="236"/>
      <c r="K27" s="237">
        <f t="shared" si="11"/>
        <v>0</v>
      </c>
    </row>
    <row r="28" spans="1:11" ht="14.45" customHeight="1">
      <c r="A28" s="97" t="str">
        <f>报表格式!G27</f>
        <v>代理承销证券款</v>
      </c>
      <c r="B28" s="236">
        <f>合并BS汇总!B83</f>
        <v>0</v>
      </c>
      <c r="C28" s="236">
        <f>SUMIF(权益抵销!$E$5:$E$65537,IF(OR(MID(TRIM($A28),2,1)="：",MID(TRIM($A28),2,1)="、"),REPLACEB(TRIM($A28),1,4,""),TRIM($A28)),权益抵销!$J$5:$J$65537)</f>
        <v>0</v>
      </c>
      <c r="D28" s="236">
        <f>SUMIF(权益抵销!$H$5:$H$65537,IF(OR(MID(TRIM($A28),2,1)="：",MID(TRIM($A28),2,1)="、"),REPLACEB(TRIM($A28),1,4,""),TRIM($A28)),权益抵销!$J$5:$J$65537)</f>
        <v>0</v>
      </c>
      <c r="E28" s="236">
        <f>SUMIF(往来交易抵销!$E$5:$E$65536,IF(OR(MID(TRIM($A28),2,1)="：",MID(TRIM($A28),2,1)="、"),REPLACEB(TRIM($A28),1,4,""),TRIM($A28)),往来交易抵销!$J$5:$J$65536)</f>
        <v>0</v>
      </c>
      <c r="F28" s="236">
        <f>SUMIF(往来交易抵销!$H$5:$H$65536,IF(OR(MID(TRIM($A28),2,1)="：",MID(TRIM($A28),2,1)="、"),REPLACEB(TRIM($A28),1,4,""),TRIM($A28)),往来交易抵销!$J$5:$J$65536)</f>
        <v>0</v>
      </c>
      <c r="G28" s="236">
        <f>SUMIF('合并报表调整 '!$E$5:$E$65536,IF(OR(MID(TRIM($A28),2,1)="：",MID(TRIM($A28),2,1)="、"),REPLACEB(TRIM($A28),1,4,""),TRIM($A28)),'合并报表调整 '!$J$5:$J$65536)</f>
        <v>0</v>
      </c>
      <c r="H28" s="236">
        <f>SUMIF('合并报表调整 '!$H$5:$H$65536,IF(OR(MID(TRIM($A28),2,1)="：",MID(TRIM($A28),2,1)="、"),REPLACEB(TRIM($A28),1,4,""),TRIM($A28)),'合并报表调整 '!$J$5:$J$65536)</f>
        <v>0</v>
      </c>
      <c r="I28" s="236">
        <f t="shared" si="10"/>
        <v>0</v>
      </c>
      <c r="J28" s="236"/>
      <c r="K28" s="237">
        <f t="shared" si="11"/>
        <v>0</v>
      </c>
    </row>
    <row r="29" spans="1:11" ht="14.45" customHeight="1">
      <c r="A29" s="97" t="str">
        <f>报表格式!G28</f>
        <v>持有待售负债</v>
      </c>
      <c r="B29" s="236">
        <f>合并BS汇总!B84</f>
        <v>0</v>
      </c>
      <c r="C29" s="236">
        <f>SUMIF(权益抵销!$E$5:$E$65537,IF(OR(MID(TRIM($A29),2,1)="：",MID(TRIM($A29),2,1)="、"),REPLACEB(TRIM($A29),1,4,""),TRIM($A29)),权益抵销!$J$5:$J$65537)</f>
        <v>0</v>
      </c>
      <c r="D29" s="236">
        <f>SUMIF(权益抵销!$H$5:$H$65537,IF(OR(MID(TRIM($A29),2,1)="：",MID(TRIM($A29),2,1)="、"),REPLACEB(TRIM($A29),1,4,""),TRIM($A29)),权益抵销!$J$5:$J$65537)</f>
        <v>0</v>
      </c>
      <c r="E29" s="236">
        <f>SUMIF(往来交易抵销!$E$5:$E$65536,IF(OR(MID(TRIM($A29),2,1)="：",MID(TRIM($A29),2,1)="、"),REPLACEB(TRIM($A29),1,4,""),TRIM($A29)),往来交易抵销!$J$5:$J$65536)</f>
        <v>0</v>
      </c>
      <c r="F29" s="236">
        <f>SUMIF(往来交易抵销!$H$5:$H$65536,IF(OR(MID(TRIM($A29),2,1)="：",MID(TRIM($A29),2,1)="、"),REPLACEB(TRIM($A29),1,4,""),TRIM($A29)),往来交易抵销!$J$5:$J$65536)</f>
        <v>0</v>
      </c>
      <c r="G29" s="236">
        <f>SUMIF('合并报表调整 '!$E$5:$E$65536,IF(OR(MID(TRIM($A29),2,1)="：",MID(TRIM($A29),2,1)="、"),REPLACEB(TRIM($A29),1,4,""),TRIM($A29)),'合并报表调整 '!$J$5:$J$65536)</f>
        <v>0</v>
      </c>
      <c r="H29" s="236">
        <f>SUMIF('合并报表调整 '!$H$5:$H$65536,IF(OR(MID(TRIM($A29),2,1)="：",MID(TRIM($A29),2,1)="、"),REPLACEB(TRIM($A29),1,4,""),TRIM($A29)),'合并报表调整 '!$J$5:$J$65536)</f>
        <v>0</v>
      </c>
      <c r="I29" s="236">
        <f>B29-E29-G29+F29+H29-C29+D29</f>
        <v>0</v>
      </c>
      <c r="J29" s="236"/>
      <c r="K29" s="237">
        <f>SUM(I29:J29)</f>
        <v>0</v>
      </c>
    </row>
    <row r="30" spans="1:11" ht="14.45" customHeight="1">
      <c r="A30" s="97" t="str">
        <f>报表格式!G29</f>
        <v>一年内到期的非流动负债</v>
      </c>
      <c r="B30" s="236">
        <f>合并BS汇总!B85</f>
        <v>0</v>
      </c>
      <c r="C30" s="236">
        <f>SUMIF(权益抵销!$E$5:$E$65537,IF(OR(MID(TRIM($A30),2,1)="：",MID(TRIM($A30),2,1)="、"),REPLACEB(TRIM($A30),1,4,""),TRIM($A30)),权益抵销!$J$5:$J$65537)</f>
        <v>0</v>
      </c>
      <c r="D30" s="236">
        <f>SUMIF(权益抵销!$H$5:$H$65537,IF(OR(MID(TRIM($A30),2,1)="：",MID(TRIM($A30),2,1)="、"),REPLACEB(TRIM($A30),1,4,""),TRIM($A30)),权益抵销!$J$5:$J$65537)</f>
        <v>0</v>
      </c>
      <c r="E30" s="236">
        <f>SUMIF(往来交易抵销!$E$5:$E$65536,IF(OR(MID(TRIM($A30),2,1)="：",MID(TRIM($A30),2,1)="、"),REPLACEB(TRIM($A30),1,4,""),TRIM($A30)),往来交易抵销!$J$5:$J$65536)</f>
        <v>0</v>
      </c>
      <c r="F30" s="236">
        <f>SUMIF(往来交易抵销!$H$5:$H$65536,IF(OR(MID(TRIM($A30),2,1)="：",MID(TRIM($A30),2,1)="、"),REPLACEB(TRIM($A30),1,4,""),TRIM($A30)),往来交易抵销!$J$5:$J$65536)</f>
        <v>0</v>
      </c>
      <c r="G30" s="236">
        <f>SUMIF('合并报表调整 '!$E$5:$E$65536,IF(OR(MID(TRIM($A30),2,1)="：",MID(TRIM($A30),2,1)="、"),REPLACEB(TRIM($A30),1,4,""),TRIM($A30)),'合并报表调整 '!$J$5:$J$65536)</f>
        <v>0</v>
      </c>
      <c r="H30" s="236">
        <f>SUMIF('合并报表调整 '!$H$5:$H$65536,IF(OR(MID(TRIM($A30),2,1)="：",MID(TRIM($A30),2,1)="、"),REPLACEB(TRIM($A30),1,4,""),TRIM($A30)),'合并报表调整 '!$J$5:$J$65536)</f>
        <v>0</v>
      </c>
      <c r="I30" s="236">
        <f t="shared" si="3"/>
        <v>0</v>
      </c>
      <c r="J30" s="236"/>
      <c r="K30" s="237">
        <f t="shared" si="0"/>
        <v>0</v>
      </c>
    </row>
    <row r="31" spans="1:11" ht="14.45" customHeight="1">
      <c r="A31" s="97" t="str">
        <f>报表格式!G30</f>
        <v>其他流动负债</v>
      </c>
      <c r="B31" s="236">
        <f>合并BS汇总!B86</f>
        <v>0</v>
      </c>
      <c r="C31" s="236">
        <f>SUMIF(权益抵销!$E$5:$E$65537,IF(OR(MID(TRIM($A31),2,1)="：",MID(TRIM($A31),2,1)="、"),REPLACEB(TRIM($A31),1,4,""),TRIM($A31)),权益抵销!$J$5:$J$65537)</f>
        <v>0</v>
      </c>
      <c r="D31" s="236">
        <f>SUMIF(权益抵销!$H$5:$H$65537,IF(OR(MID(TRIM($A31),2,1)="：",MID(TRIM($A31),2,1)="、"),REPLACEB(TRIM($A31),1,4,""),TRIM($A31)),权益抵销!$J$5:$J$65537)</f>
        <v>0</v>
      </c>
      <c r="E31" s="236">
        <f>SUMIF(往来交易抵销!$E$5:$E$65536,IF(OR(MID(TRIM($A31),2,1)="：",MID(TRIM($A31),2,1)="、"),REPLACEB(TRIM($A31),1,4,""),TRIM($A31)),往来交易抵销!$J$5:$J$65536)</f>
        <v>0</v>
      </c>
      <c r="F31" s="236">
        <f>SUMIF(往来交易抵销!$H$5:$H$65536,IF(OR(MID(TRIM($A31),2,1)="：",MID(TRIM($A31),2,1)="、"),REPLACEB(TRIM($A31),1,4,""),TRIM($A31)),往来交易抵销!$J$5:$J$65536)</f>
        <v>0</v>
      </c>
      <c r="G31" s="236">
        <f>SUMIF('合并报表调整 '!$E$5:$E$65536,IF(OR(MID(TRIM($A31),2,1)="：",MID(TRIM($A31),2,1)="、"),REPLACEB(TRIM($A31),1,4,""),TRIM($A31)),'合并报表调整 '!$J$5:$J$65536)</f>
        <v>0</v>
      </c>
      <c r="H31" s="236">
        <f>SUMIF('合并报表调整 '!$H$5:$H$65536,IF(OR(MID(TRIM($A31),2,1)="：",MID(TRIM($A31),2,1)="、"),REPLACEB(TRIM($A31),1,4,""),TRIM($A31)),'合并报表调整 '!$J$5:$J$65536)</f>
        <v>0</v>
      </c>
      <c r="I31" s="236">
        <f t="shared" si="3"/>
        <v>0</v>
      </c>
      <c r="J31" s="236"/>
      <c r="K31" s="237">
        <f t="shared" si="0"/>
        <v>0</v>
      </c>
    </row>
    <row r="32" spans="1:11" s="647" customFormat="1" ht="14.45" customHeight="1">
      <c r="A32" s="98" t="str">
        <f>报表格式!G31</f>
        <v>流动负债合计</v>
      </c>
      <c r="B32" s="242">
        <f>SUM(B7:B31)-B23-B24</f>
        <v>0</v>
      </c>
      <c r="C32" s="242">
        <f t="shared" ref="C32:J32" si="12">SUM(C7:C31)-C23-C24</f>
        <v>0</v>
      </c>
      <c r="D32" s="242">
        <f t="shared" si="12"/>
        <v>0</v>
      </c>
      <c r="E32" s="242">
        <f t="shared" si="12"/>
        <v>0</v>
      </c>
      <c r="F32" s="242">
        <f t="shared" si="12"/>
        <v>0</v>
      </c>
      <c r="G32" s="242">
        <f t="shared" si="12"/>
        <v>0</v>
      </c>
      <c r="H32" s="242">
        <f t="shared" si="12"/>
        <v>0</v>
      </c>
      <c r="I32" s="242">
        <f t="shared" si="12"/>
        <v>0</v>
      </c>
      <c r="J32" s="242">
        <f t="shared" si="12"/>
        <v>0</v>
      </c>
      <c r="K32" s="243">
        <f t="shared" si="0"/>
        <v>0</v>
      </c>
    </row>
    <row r="33" spans="1:11" s="647" customFormat="1" ht="14.45" customHeight="1">
      <c r="A33" s="99" t="str">
        <f>报表格式!G32</f>
        <v>非流动负债:</v>
      </c>
      <c r="B33" s="242"/>
      <c r="C33" s="242"/>
      <c r="D33" s="242"/>
      <c r="E33" s="242"/>
      <c r="F33" s="242"/>
      <c r="G33" s="242"/>
      <c r="H33" s="242"/>
      <c r="I33" s="242"/>
      <c r="J33" s="242"/>
      <c r="K33" s="237">
        <f t="shared" si="0"/>
        <v>0</v>
      </c>
    </row>
    <row r="34" spans="1:11" ht="14.45" customHeight="1">
      <c r="A34" s="97" t="str">
        <f>报表格式!G33</f>
        <v>长期借款</v>
      </c>
      <c r="B34" s="236">
        <f>合并BS汇总!B89</f>
        <v>0</v>
      </c>
      <c r="C34" s="236">
        <f>SUMIF(权益抵销!$E$5:$E$65537,IF(OR(MID(TRIM($A34),2,1)="：",MID(TRIM($A34),2,1)="、"),REPLACEB(TRIM($A34),1,4,""),TRIM($A34)),权益抵销!$J$5:$J$65537)</f>
        <v>0</v>
      </c>
      <c r="D34" s="236">
        <f>SUMIF(权益抵销!$H$5:$H$65537,IF(OR(MID(TRIM($A34),2,1)="：",MID(TRIM($A34),2,1)="、"),REPLACEB(TRIM($A34),1,4,""),TRIM($A34)),权益抵销!$J$5:$J$65537)</f>
        <v>0</v>
      </c>
      <c r="E34" s="236">
        <f>SUMIF(往来交易抵销!$E$5:$E$65536,IF(OR(MID(TRIM($A34),2,1)="：",MID(TRIM($A34),2,1)="、"),REPLACEB(TRIM($A34),1,4,""),TRIM($A34)),往来交易抵销!$J$5:$J$65536)</f>
        <v>0</v>
      </c>
      <c r="F34" s="236">
        <f>SUMIF(往来交易抵销!$H$5:$H$65536,IF(OR(MID(TRIM($A34),2,1)="：",MID(TRIM($A34),2,1)="、"),REPLACEB(TRIM($A34),1,4,""),TRIM($A34)),往来交易抵销!$J$5:$J$65536)</f>
        <v>0</v>
      </c>
      <c r="G34" s="236">
        <f>SUMIF('合并报表调整 '!$E$5:$E$65536,IF(OR(MID(TRIM($A34),2,1)="：",MID(TRIM($A34),2,1)="、"),REPLACEB(TRIM($A34),1,4,""),TRIM($A34)),'合并报表调整 '!$J$5:$J$65536)</f>
        <v>0</v>
      </c>
      <c r="H34" s="236">
        <f>SUMIF('合并报表调整 '!$H$5:$H$65536,IF(OR(MID(TRIM($A34),2,1)="：",MID(TRIM($A34),2,1)="、"),REPLACEB(TRIM($A34),1,4,""),TRIM($A34)),'合并报表调整 '!$J$5:$J$65536)</f>
        <v>0</v>
      </c>
      <c r="I34" s="236">
        <f t="shared" si="3"/>
        <v>0</v>
      </c>
      <c r="J34" s="236"/>
      <c r="K34" s="237">
        <f t="shared" si="0"/>
        <v>0</v>
      </c>
    </row>
    <row r="35" spans="1:11" ht="14.45" customHeight="1">
      <c r="A35" s="97" t="str">
        <f>报表格式!G34</f>
        <v>应付债券</v>
      </c>
      <c r="B35" s="236">
        <f>合并BS汇总!B90</f>
        <v>0</v>
      </c>
      <c r="C35" s="814">
        <f>SUMIF(权益抵销!$E$5:$E$65537,IF(OR(MID(TRIM($A35),2,1)="：",MID(TRIM($A35),2,1)="、"),REPLACEB(TRIM($A35),1,4,""),TRIM($A35)),权益抵销!$J$5:$J$65537)</f>
        <v>0</v>
      </c>
      <c r="D35" s="814">
        <f>SUMIF(权益抵销!$H$5:$H$65537,IF(OR(MID(TRIM($A35),2,1)="：",MID(TRIM($A35),2,1)="、"),REPLACEB(TRIM($A35),1,4,""),TRIM($A35)),权益抵销!$J$5:$J$65537)</f>
        <v>0</v>
      </c>
      <c r="E35" s="814">
        <f>SUMIF(往来交易抵销!$E$5:$E$65536,IF(OR(MID(TRIM($A35),2,1)="：",MID(TRIM($A35),2,1)="、"),REPLACEB(TRIM($A35),1,4,""),TRIM($A35)),往来交易抵销!$J$5:$J$65536)</f>
        <v>0</v>
      </c>
      <c r="F35" s="814">
        <f>SUMIF(往来交易抵销!$H$5:$H$65536,IF(OR(MID(TRIM($A35),2,1)="：",MID(TRIM($A35),2,1)="、"),REPLACEB(TRIM($A35),1,4,""),TRIM($A35)),往来交易抵销!$J$5:$J$65536)</f>
        <v>0</v>
      </c>
      <c r="G35" s="814">
        <f>SUMIF('合并报表调整 '!$E$5:$E$65536,IF(OR(MID(TRIM($A35),2,1)="：",MID(TRIM($A35),2,1)="、"),REPLACEB(TRIM($A35),1,4,""),TRIM($A35)),'合并报表调整 '!$J$5:$J$65536)</f>
        <v>0</v>
      </c>
      <c r="H35" s="814">
        <f>SUMIF('合并报表调整 '!$H$5:$H$65536,IF(OR(MID(TRIM($A35),2,1)="：",MID(TRIM($A35),2,1)="、"),REPLACEB(TRIM($A35),1,4,""),TRIM($A35)),'合并报表调整 '!$J$5:$J$65536)</f>
        <v>0</v>
      </c>
      <c r="I35" s="236">
        <f t="shared" si="3"/>
        <v>0</v>
      </c>
      <c r="J35" s="236"/>
      <c r="K35" s="237">
        <f t="shared" si="0"/>
        <v>0</v>
      </c>
    </row>
    <row r="36" spans="1:11" ht="14.45" customHeight="1">
      <c r="A36" s="97" t="str">
        <f>报表格式!G35</f>
        <v xml:space="preserve">  其中：优先股</v>
      </c>
      <c r="B36" s="236">
        <f>合并BS汇总!B91</f>
        <v>0</v>
      </c>
      <c r="C36" s="814">
        <f>SUMIF(权益抵销!$F$5:$F$65537,IF(OR(MID(TRIM($A36),3,1)="：",MID(TRIM($A36),2,1)="、"),REPLACEB(TRIM($A36),1,6,""),TRIM($A36)),权益抵销!$J$5:$J$65537)</f>
        <v>0</v>
      </c>
      <c r="D36" s="814">
        <f>SUMIF(权益抵销!$I$5:$I$65537,IF(OR(MID(TRIM($A36),3,1)="：",MID(TRIM($A36),2,1)="、"),REPLACEB(TRIM($A36),1,6,""),TRIM($A36)),权益抵销!$J$5:$J$65537)</f>
        <v>0</v>
      </c>
      <c r="E36" s="814">
        <f>SUMIF(往来交易抵销!$F$5:$F$65536,IF(OR(MID(TRIM($A36),3,1)="：",MID(TRIM($A36),2,1)="、"),REPLACEB(TRIM($A36),1,6,""),TRIM($A36)),往来交易抵销!$J$5:$J$65536)</f>
        <v>0</v>
      </c>
      <c r="F36" s="814">
        <f>SUMIF(往来交易抵销!$I$5:$I$65536,IF(OR(MID(TRIM($A36),3,1)="：",MID(TRIM($A36),2,1)="、"),REPLACEB(TRIM($A36),1,6,""),TRIM($A36)),往来交易抵销!$J$5:$J$65536)</f>
        <v>0</v>
      </c>
      <c r="G36" s="814">
        <f>SUMIF('合并报表调整 '!$F$5:$F$65536,IF(OR(MID(TRIM($A36),3,1)="：",MID(TRIM($A36),2,1)="、"),REPLACEB(TRIM($A36),1,6,""),TRIM($A36)),'合并报表调整 '!$J$5:$J$65536)</f>
        <v>0</v>
      </c>
      <c r="H36" s="814">
        <f>SUMIF('合并报表调整 '!$I$5:$I$65536,IF(OR(MID(TRIM($A36),3,1)="：",MID(TRIM($A36),2,1)="、"),REPLACEB(TRIM($A36),1,6,""),TRIM($A36)),'合并报表调整 '!$J$5:$J$65536)</f>
        <v>0</v>
      </c>
      <c r="I36" s="236">
        <f>B36-E36-G36+F36+H36-C36+D36</f>
        <v>0</v>
      </c>
      <c r="J36" s="236"/>
      <c r="K36" s="237">
        <f>SUM(I36:J36)</f>
        <v>0</v>
      </c>
    </row>
    <row r="37" spans="1:11" ht="14.45" customHeight="1">
      <c r="A37" s="462" t="str">
        <f>报表格式!G36</f>
        <v xml:space="preserve">        永续债</v>
      </c>
      <c r="B37" s="236">
        <f>合并BS汇总!B92</f>
        <v>0</v>
      </c>
      <c r="C37" s="814">
        <f>SUMIF(权益抵销!$F$5:$F$65537,IF(OR(MID(TRIM($A37),2,1)="：",MID(TRIM($A37),2,1)="、"),REPLACEB(TRIM($A37),1,4,""),TRIM($A37)),权益抵销!$J$5:$J$65537)</f>
        <v>0</v>
      </c>
      <c r="D37" s="814">
        <f>SUMIF(权益抵销!$I$5:$I$65537,IF(OR(MID(TRIM($A37),2,1)="：",MID(TRIM($A37),2,1)="、"),REPLACEB(TRIM($A37),1,4,""),TRIM($A37)),权益抵销!$J$5:$J$65537)</f>
        <v>0</v>
      </c>
      <c r="E37" s="814">
        <f>SUMIF(往来交易抵销!$F$5:$F$65536,IF(OR(MID(TRIM($A37),2,1)="：",MID(TRIM($A37),2,1)="、"),REPLACEB(TRIM($A37),1,4,""),TRIM($A37)),往来交易抵销!$J$5:$J$65536)</f>
        <v>0</v>
      </c>
      <c r="F37" s="814">
        <f>SUMIF(往来交易抵销!$I$5:$I$65536,IF(OR(MID(TRIM($A37),2,1)="：",MID(TRIM($A37),2,1)="、"),REPLACEB(TRIM($A37),1,4,""),TRIM($A37)),往来交易抵销!$J$5:$J$65536)</f>
        <v>0</v>
      </c>
      <c r="G37" s="814">
        <f>SUMIF('合并报表调整 '!$F$5:$F$65536,IF(OR(MID(TRIM($A37),2,1)="：",MID(TRIM($A37),2,1)="、"),REPLACEB(TRIM($A37),1,4,""),TRIM($A37)),'合并报表调整 '!$J$5:$J$65536)</f>
        <v>0</v>
      </c>
      <c r="H37" s="814">
        <f>SUMIF('合并报表调整 '!$I$5:$I$65536,IF(OR(MID(TRIM($A37),2,1)="：",MID(TRIM($A37),2,1)="、"),REPLACEB(TRIM($A37),1,4,""),TRIM($A37)),'合并报表调整 '!$J$5:$J$65536)</f>
        <v>0</v>
      </c>
      <c r="I37" s="236">
        <f>B37-E37-G37+F37+H37-C37+D37</f>
        <v>0</v>
      </c>
      <c r="J37" s="236"/>
      <c r="K37" s="237">
        <f>SUM(I37:J37)</f>
        <v>0</v>
      </c>
    </row>
    <row r="38" spans="1:11" ht="14.45" customHeight="1">
      <c r="A38" s="97" t="str">
        <f>报表格式!G37</f>
        <v>租赁负债</v>
      </c>
      <c r="B38" s="236">
        <f>合并BS汇总!B93</f>
        <v>0</v>
      </c>
      <c r="C38" s="814">
        <f>SUMIF(权益抵销!$E$5:$E$65537,IF(OR(MID(TRIM($A38),2,1)="：",MID(TRIM($A38),2,1)="、"),REPLACEB(TRIM($A38),1,4,""),TRIM($A38)),权益抵销!$J$5:$J$65537)</f>
        <v>0</v>
      </c>
      <c r="D38" s="814">
        <f>SUMIF(权益抵销!$H$5:$H$65537,IF(OR(MID(TRIM($A38),2,1)="：",MID(TRIM($A38),2,1)="、"),REPLACEB(TRIM($A38),1,4,""),TRIM($A38)),权益抵销!$J$5:$J$65537)</f>
        <v>0</v>
      </c>
      <c r="E38" s="814">
        <f>SUMIF(往来交易抵销!$E$5:$E$65536,IF(OR(MID(TRIM($A38),2,1)="：",MID(TRIM($A38),2,1)="、"),REPLACEB(TRIM($A38),1,4,""),TRIM($A38)),往来交易抵销!$J$5:$J$65536)</f>
        <v>0</v>
      </c>
      <c r="F38" s="814">
        <f>SUMIF(往来交易抵销!$H$5:$H$65536,IF(OR(MID(TRIM($A38),2,1)="：",MID(TRIM($A38),2,1)="、"),REPLACEB(TRIM($A38),1,4,""),TRIM($A38)),往来交易抵销!$J$5:$J$65536)</f>
        <v>0</v>
      </c>
      <c r="G38" s="814">
        <f>SUMIF('合并报表调整 '!$E$5:$E$65536,IF(OR(MID(TRIM($A38),2,1)="：",MID(TRIM($A38),2,1)="、"),REPLACEB(TRIM($A38),1,4,""),TRIM($A38)),'合并报表调整 '!$J$5:$J$65536)</f>
        <v>0</v>
      </c>
      <c r="H38" s="814">
        <f>SUMIF('合并报表调整 '!$H$5:$H$65536,IF(OR(MID(TRIM($A38),2,1)="：",MID(TRIM($A38),2,1)="、"),REPLACEB(TRIM($A38),1,4,""),TRIM($A38)),'合并报表调整 '!$J$5:$J$65536)</f>
        <v>0</v>
      </c>
      <c r="I38" s="236">
        <f t="shared" ref="I38" si="13">B38-E38-G38+F38+H38-C38+D38</f>
        <v>0</v>
      </c>
      <c r="J38" s="236"/>
      <c r="K38" s="237">
        <f t="shared" ref="K38" si="14">SUM(I38:J38)</f>
        <v>0</v>
      </c>
    </row>
    <row r="39" spans="1:11" ht="14.45" customHeight="1">
      <c r="A39" s="97" t="str">
        <f>报表格式!G38</f>
        <v>长期应付款</v>
      </c>
      <c r="B39" s="236">
        <f>合并BS汇总!B94</f>
        <v>0</v>
      </c>
      <c r="C39" s="814">
        <f>SUMIF(权益抵销!$E$5:$E$65537,IF(OR(MID(TRIM($A39),2,1)="：",MID(TRIM($A39),2,1)="、"),REPLACEB(TRIM($A39),1,4,""),TRIM($A39)),权益抵销!$J$5:$J$65537)</f>
        <v>0</v>
      </c>
      <c r="D39" s="814">
        <f>SUMIF(权益抵销!$H$5:$H$65537,IF(OR(MID(TRIM($A39),2,1)="：",MID(TRIM($A39),2,1)="、"),REPLACEB(TRIM($A39),1,4,""),TRIM($A39)),权益抵销!$J$5:$J$65537)</f>
        <v>0</v>
      </c>
      <c r="E39" s="814">
        <f>SUMIF(往来交易抵销!$E$5:$E$65536,IF(OR(MID(TRIM($A39),2,1)="：",MID(TRIM($A39),2,1)="、"),REPLACEB(TRIM($A39),1,4,""),TRIM($A39)),往来交易抵销!$J$5:$J$65536)</f>
        <v>0</v>
      </c>
      <c r="F39" s="814">
        <f>SUMIF(往来交易抵销!$H$5:$H$65536,IF(OR(MID(TRIM($A39),2,1)="：",MID(TRIM($A39),2,1)="、"),REPLACEB(TRIM($A39),1,4,""),TRIM($A39)),往来交易抵销!$J$5:$J$65536)</f>
        <v>0</v>
      </c>
      <c r="G39" s="814">
        <f>SUMIF('合并报表调整 '!$E$5:$E$65536,IF(OR(MID(TRIM($A39),2,1)="：",MID(TRIM($A39),2,1)="、"),REPLACEB(TRIM($A39),1,4,""),TRIM($A39)),'合并报表调整 '!$J$5:$J$65536)</f>
        <v>0</v>
      </c>
      <c r="H39" s="814">
        <f>SUMIF('合并报表调整 '!$H$5:$H$65536,IF(OR(MID(TRIM($A39),2,1)="：",MID(TRIM($A39),2,1)="、"),REPLACEB(TRIM($A39),1,4,""),TRIM($A39)),'合并报表调整 '!$J$5:$J$65536)</f>
        <v>0</v>
      </c>
      <c r="I39" s="236">
        <f t="shared" si="3"/>
        <v>0</v>
      </c>
      <c r="J39" s="236"/>
      <c r="K39" s="237">
        <f t="shared" si="0"/>
        <v>0</v>
      </c>
    </row>
    <row r="40" spans="1:11" ht="14.45" customHeight="1">
      <c r="A40" s="97" t="str">
        <f>报表格式!G39</f>
        <v>长期应付职工薪酬</v>
      </c>
      <c r="B40" s="236">
        <f>合并BS汇总!B95</f>
        <v>0</v>
      </c>
      <c r="C40" s="814">
        <f>SUMIF(权益抵销!$E$5:$E$65537,IF(OR(MID(TRIM($A40),2,1)="：",MID(TRIM($A40),2,1)="、"),REPLACEB(TRIM($A40),1,4,""),TRIM($A40)),权益抵销!$J$5:$J$65537)</f>
        <v>0</v>
      </c>
      <c r="D40" s="814">
        <f>SUMIF(权益抵销!$H$5:$H$65537,IF(OR(MID(TRIM($A40),2,1)="：",MID(TRIM($A40),2,1)="、"),REPLACEB(TRIM($A40),1,4,""),TRIM($A40)),权益抵销!$J$5:$J$65537)</f>
        <v>0</v>
      </c>
      <c r="E40" s="814">
        <f>SUMIF(往来交易抵销!$E$5:$E$65536,IF(OR(MID(TRIM($A40),2,1)="：",MID(TRIM($A40),2,1)="、"),REPLACEB(TRIM($A40),1,4,""),TRIM($A40)),往来交易抵销!$J$5:$J$65536)</f>
        <v>0</v>
      </c>
      <c r="F40" s="814">
        <f>SUMIF(往来交易抵销!$H$5:$H$65536,IF(OR(MID(TRIM($A40),2,1)="：",MID(TRIM($A40),2,1)="、"),REPLACEB(TRIM($A40),1,4,""),TRIM($A40)),往来交易抵销!$J$5:$J$65536)</f>
        <v>0</v>
      </c>
      <c r="G40" s="814">
        <f>SUMIF('合并报表调整 '!$E$5:$E$65536,IF(OR(MID(TRIM($A40),2,1)="：",MID(TRIM($A40),2,1)="、"),REPLACEB(TRIM($A40),1,4,""),TRIM($A40)),'合并报表调整 '!$J$5:$J$65536)</f>
        <v>0</v>
      </c>
      <c r="H40" s="814">
        <f>SUMIF('合并报表调整 '!$H$5:$H$65536,IF(OR(MID(TRIM($A40),2,1)="：",MID(TRIM($A40),2,1)="、"),REPLACEB(TRIM($A40),1,4,""),TRIM($A40)),'合并报表调整 '!$J$5:$J$65536)</f>
        <v>0</v>
      </c>
      <c r="I40" s="236">
        <f>B40-E40-G40+F40+H40-C40+D40</f>
        <v>0</v>
      </c>
      <c r="J40" s="236"/>
      <c r="K40" s="237">
        <f>SUM(I40:J40)</f>
        <v>0</v>
      </c>
    </row>
    <row r="41" spans="1:11" ht="14.45" customHeight="1">
      <c r="A41" s="97" t="str">
        <f>报表格式!G40</f>
        <v>预计负债</v>
      </c>
      <c r="B41" s="236">
        <f>合并BS汇总!B96</f>
        <v>0</v>
      </c>
      <c r="C41" s="814">
        <f>SUMIF(权益抵销!$E$5:$E$65537,IF(OR(MID(TRIM($A41),2,1)="：",MID(TRIM($A41),2,1)="、"),REPLACEB(TRIM($A41),1,4,""),TRIM($A41)),权益抵销!$J$5:$J$65537)</f>
        <v>0</v>
      </c>
      <c r="D41" s="814">
        <f>SUMIF(权益抵销!$H$5:$H$65537,IF(OR(MID(TRIM($A41),2,1)="：",MID(TRIM($A41),2,1)="、"),REPLACEB(TRIM($A41),1,4,""),TRIM($A41)),权益抵销!$J$5:$J$65537)</f>
        <v>0</v>
      </c>
      <c r="E41" s="814">
        <f>SUMIF(往来交易抵销!$E$5:$E$65536,IF(OR(MID(TRIM($A41),2,1)="：",MID(TRIM($A41),2,1)="、"),REPLACEB(TRIM($A41),1,4,""),TRIM($A41)),往来交易抵销!$J$5:$J$65536)</f>
        <v>0</v>
      </c>
      <c r="F41" s="814">
        <f>SUMIF(往来交易抵销!$H$5:$H$65536,IF(OR(MID(TRIM($A41),2,1)="：",MID(TRIM($A41),2,1)="、"),REPLACEB(TRIM($A41),1,4,""),TRIM($A41)),往来交易抵销!$J$5:$J$65536)</f>
        <v>0</v>
      </c>
      <c r="G41" s="814">
        <f>SUMIF('合并报表调整 '!$E$5:$E$65536,IF(OR(MID(TRIM($A41),2,1)="：",MID(TRIM($A41),2,1)="、"),REPLACEB(TRIM($A41),1,4,""),TRIM($A41)),'合并报表调整 '!$J$5:$J$65536)</f>
        <v>0</v>
      </c>
      <c r="H41" s="814">
        <f>SUMIF('合并报表调整 '!$H$5:$H$65536,IF(OR(MID(TRIM($A41),2,1)="：",MID(TRIM($A41),2,1)="、"),REPLACEB(TRIM($A41),1,4,""),TRIM($A41)),'合并报表调整 '!$J$5:$J$65536)</f>
        <v>0</v>
      </c>
      <c r="I41" s="236">
        <f t="shared" si="3"/>
        <v>0</v>
      </c>
      <c r="J41" s="236"/>
      <c r="K41" s="237">
        <f t="shared" si="0"/>
        <v>0</v>
      </c>
    </row>
    <row r="42" spans="1:11" ht="14.45" customHeight="1">
      <c r="A42" s="97" t="str">
        <f>报表格式!G41</f>
        <v>递延收益</v>
      </c>
      <c r="B42" s="236">
        <f>合并BS汇总!B97</f>
        <v>0</v>
      </c>
      <c r="C42" s="814">
        <f>SUMIF(权益抵销!$E$5:$E$65537,IF(OR(MID(TRIM($A42),2,1)="：",MID(TRIM($A42),2,1)="、"),REPLACEB(TRIM($A42),1,4,""),TRIM($A42)),权益抵销!$J$5:$J$65537)</f>
        <v>0</v>
      </c>
      <c r="D42" s="814">
        <f>SUMIF(权益抵销!$H$5:$H$65537,IF(OR(MID(TRIM($A42),2,1)="：",MID(TRIM($A42),2,1)="、"),REPLACEB(TRIM($A42),1,4,""),TRIM($A42)),权益抵销!$J$5:$J$65537)</f>
        <v>0</v>
      </c>
      <c r="E42" s="814">
        <f>SUMIF(往来交易抵销!$E$5:$E$65536,IF(OR(MID(TRIM($A42),2,1)="：",MID(TRIM($A42),2,1)="、"),REPLACEB(TRIM($A42),1,4,""),TRIM($A42)),往来交易抵销!$J$5:$J$65536)</f>
        <v>0</v>
      </c>
      <c r="F42" s="814">
        <f>SUMIF(往来交易抵销!$H$5:$H$65536,IF(OR(MID(TRIM($A42),2,1)="：",MID(TRIM($A42),2,1)="、"),REPLACEB(TRIM($A42),1,4,""),TRIM($A42)),往来交易抵销!$J$5:$J$65536)</f>
        <v>0</v>
      </c>
      <c r="G42" s="814">
        <f>SUMIF('合并报表调整 '!$E$5:$E$65536,IF(OR(MID(TRIM($A42),2,1)="：",MID(TRIM($A42),2,1)="、"),REPLACEB(TRIM($A42),1,4,""),TRIM($A42)),'合并报表调整 '!$J$5:$J$65536)</f>
        <v>0</v>
      </c>
      <c r="H42" s="814">
        <f>SUMIF('合并报表调整 '!$H$5:$H$65536,IF(OR(MID(TRIM($A42),2,1)="：",MID(TRIM($A42),2,1)="、"),REPLACEB(TRIM($A42),1,4,""),TRIM($A42)),'合并报表调整 '!$J$5:$J$65536)</f>
        <v>0</v>
      </c>
      <c r="I42" s="236">
        <f>B42-E42-G42+F42+H42-C42+D42</f>
        <v>0</v>
      </c>
      <c r="J42" s="236"/>
      <c r="K42" s="237">
        <f>SUM(I42:J42)</f>
        <v>0</v>
      </c>
    </row>
    <row r="43" spans="1:11" ht="14.45" customHeight="1">
      <c r="A43" s="97" t="str">
        <f>报表格式!G42</f>
        <v>递延所得税负债</v>
      </c>
      <c r="B43" s="236">
        <f>合并BS汇总!B98</f>
        <v>0</v>
      </c>
      <c r="C43" s="814">
        <f>SUMIF(权益抵销!$E$5:$E$65537,IF(OR(MID(TRIM($A43),2,1)="：",MID(TRIM($A43),2,1)="、"),REPLACEB(TRIM($A43),1,4,""),TRIM($A43)),权益抵销!$J$5:$J$65537)</f>
        <v>0</v>
      </c>
      <c r="D43" s="814">
        <f>SUMIF(权益抵销!$H$5:$H$65537,IF(OR(MID(TRIM($A43),2,1)="：",MID(TRIM($A43),2,1)="、"),REPLACEB(TRIM($A43),1,4,""),TRIM($A43)),权益抵销!$J$5:$J$65537)</f>
        <v>0</v>
      </c>
      <c r="E43" s="814">
        <f>SUMIF(往来交易抵销!$E$5:$E$65536,IF(OR(MID(TRIM($A43),2,1)="：",MID(TRIM($A43),2,1)="、"),REPLACEB(TRIM($A43),1,4,""),TRIM($A43)),往来交易抵销!$J$5:$J$65536)</f>
        <v>0</v>
      </c>
      <c r="F43" s="814">
        <f>SUMIF(往来交易抵销!$H$5:$H$65536,IF(OR(MID(TRIM($A43),2,1)="：",MID(TRIM($A43),2,1)="、"),REPLACEB(TRIM($A43),1,4,""),TRIM($A43)),往来交易抵销!$J$5:$J$65536)</f>
        <v>0</v>
      </c>
      <c r="G43" s="814">
        <f>SUMIF('合并报表调整 '!$E$5:$E$65536,IF(OR(MID(TRIM($A43),2,1)="：",MID(TRIM($A43),2,1)="、"),REPLACEB(TRIM($A43),1,4,""),TRIM($A43)),'合并报表调整 '!$J$5:$J$65536)</f>
        <v>0</v>
      </c>
      <c r="H43" s="814">
        <f>SUMIF('合并报表调整 '!$H$5:$H$65536,IF(OR(MID(TRIM($A43),2,1)="：",MID(TRIM($A43),2,1)="、"),REPLACEB(TRIM($A43),1,4,""),TRIM($A43)),'合并报表调整 '!$J$5:$J$65536)</f>
        <v>0</v>
      </c>
      <c r="I43" s="236">
        <f t="shared" si="3"/>
        <v>0</v>
      </c>
      <c r="J43" s="236"/>
      <c r="K43" s="237">
        <f t="shared" si="0"/>
        <v>0</v>
      </c>
    </row>
    <row r="44" spans="1:11" ht="14.45" customHeight="1">
      <c r="A44" s="97" t="str">
        <f>报表格式!G43</f>
        <v>其他非流动负债</v>
      </c>
      <c r="B44" s="236">
        <f>合并BS汇总!B99</f>
        <v>0</v>
      </c>
      <c r="C44" s="814">
        <f>SUMIF(权益抵销!$E$5:$E$65537,IF(OR(MID(TRIM($A44),2,1)="：",MID(TRIM($A44),2,1)="、"),REPLACEB(TRIM($A44),1,4,""),TRIM($A44)),权益抵销!$J$5:$J$65537)</f>
        <v>0</v>
      </c>
      <c r="D44" s="814">
        <f>SUMIF(权益抵销!$H$5:$H$65537,IF(OR(MID(TRIM($A44),2,1)="：",MID(TRIM($A44),2,1)="、"),REPLACEB(TRIM($A44),1,4,""),TRIM($A44)),权益抵销!$J$5:$J$65537)</f>
        <v>0</v>
      </c>
      <c r="E44" s="814">
        <f>SUMIF(往来交易抵销!$E$5:$E$65536,IF(OR(MID(TRIM($A44),2,1)="：",MID(TRIM($A44),2,1)="、"),REPLACEB(TRIM($A44),1,4,""),TRIM($A44)),往来交易抵销!$J$5:$J$65536)</f>
        <v>0</v>
      </c>
      <c r="F44" s="814">
        <f>SUMIF(往来交易抵销!$H$5:$H$65536,IF(OR(MID(TRIM($A44),2,1)="：",MID(TRIM($A44),2,1)="、"),REPLACEB(TRIM($A44),1,4,""),TRIM($A44)),往来交易抵销!$J$5:$J$65536)</f>
        <v>0</v>
      </c>
      <c r="G44" s="814">
        <f>SUMIF('合并报表调整 '!$E$5:$E$65536,IF(OR(MID(TRIM($A44),2,1)="：",MID(TRIM($A44),2,1)="、"),REPLACEB(TRIM($A44),1,4,""),TRIM($A44)),'合并报表调整 '!$J$5:$J$65536)</f>
        <v>0</v>
      </c>
      <c r="H44" s="814">
        <f>SUMIF('合并报表调整 '!$H$5:$H$65536,IF(OR(MID(TRIM($A44),2,1)="：",MID(TRIM($A44),2,1)="、"),REPLACEB(TRIM($A44),1,4,""),TRIM($A44)),'合并报表调整 '!$J$5:$J$65536)</f>
        <v>0</v>
      </c>
      <c r="I44" s="236">
        <f t="shared" si="3"/>
        <v>0</v>
      </c>
      <c r="J44" s="236"/>
      <c r="K44" s="237">
        <f t="shared" si="0"/>
        <v>0</v>
      </c>
    </row>
    <row r="45" spans="1:11" s="647" customFormat="1" ht="14.45" customHeight="1">
      <c r="A45" s="98" t="str">
        <f>报表格式!G44</f>
        <v>非流动负债合计</v>
      </c>
      <c r="B45" s="242">
        <f t="shared" ref="B45:J45" si="15">SUM(B34:B44)-B36-B37</f>
        <v>0</v>
      </c>
      <c r="C45" s="837">
        <f t="shared" si="15"/>
        <v>0</v>
      </c>
      <c r="D45" s="837">
        <f t="shared" si="15"/>
        <v>0</v>
      </c>
      <c r="E45" s="837">
        <f t="shared" si="15"/>
        <v>0</v>
      </c>
      <c r="F45" s="837">
        <f t="shared" si="15"/>
        <v>0</v>
      </c>
      <c r="G45" s="837">
        <f t="shared" si="15"/>
        <v>0</v>
      </c>
      <c r="H45" s="837">
        <f t="shared" si="15"/>
        <v>0</v>
      </c>
      <c r="I45" s="242">
        <f t="shared" si="15"/>
        <v>0</v>
      </c>
      <c r="J45" s="242">
        <f t="shared" si="15"/>
        <v>0</v>
      </c>
      <c r="K45" s="237">
        <f t="shared" si="0"/>
        <v>0</v>
      </c>
    </row>
    <row r="46" spans="1:11" s="647" customFormat="1" ht="14.45" customHeight="1">
      <c r="A46" s="98" t="str">
        <f>报表格式!G45</f>
        <v>负 债 合 计</v>
      </c>
      <c r="B46" s="242">
        <f t="shared" ref="B46:J46" si="16">SUM(B32,B45)</f>
        <v>0</v>
      </c>
      <c r="C46" s="837">
        <f t="shared" si="16"/>
        <v>0</v>
      </c>
      <c r="D46" s="837">
        <f t="shared" si="16"/>
        <v>0</v>
      </c>
      <c r="E46" s="837">
        <f t="shared" si="16"/>
        <v>0</v>
      </c>
      <c r="F46" s="837">
        <f t="shared" si="16"/>
        <v>0</v>
      </c>
      <c r="G46" s="837">
        <f t="shared" si="16"/>
        <v>0</v>
      </c>
      <c r="H46" s="837">
        <f t="shared" si="16"/>
        <v>0</v>
      </c>
      <c r="I46" s="242">
        <f t="shared" si="16"/>
        <v>0</v>
      </c>
      <c r="J46" s="242">
        <f t="shared" si="16"/>
        <v>0</v>
      </c>
      <c r="K46" s="243">
        <f t="shared" si="0"/>
        <v>0</v>
      </c>
    </row>
    <row r="47" spans="1:11" ht="14.45" customHeight="1">
      <c r="A47" s="99" t="str">
        <f>报表格式!G46</f>
        <v>股东权益：</v>
      </c>
      <c r="B47" s="236"/>
      <c r="C47" s="814"/>
      <c r="D47" s="814"/>
      <c r="E47" s="814"/>
      <c r="F47" s="814"/>
      <c r="G47" s="814"/>
      <c r="H47" s="814"/>
      <c r="I47" s="236"/>
      <c r="J47" s="236"/>
      <c r="K47" s="237"/>
    </row>
    <row r="48" spans="1:11" ht="14.45" customHeight="1">
      <c r="A48" s="97" t="str">
        <f>报表格式!G47</f>
        <v>股本</v>
      </c>
      <c r="B48" s="236">
        <f>合并BS汇总!B103</f>
        <v>0</v>
      </c>
      <c r="C48" s="814">
        <f>SUMIF(权益抵销!$E$5:$E$65537,IF(OR(MID(TRIM($A48),2,1)="：",MID(TRIM($A48),2,1)="、"),REPLACEB(TRIM($A48),1,4,""),TRIM($A48)),权益抵销!$J$5:$J$65537)</f>
        <v>0</v>
      </c>
      <c r="D48" s="814">
        <f>SUMIF(权益抵销!$H$5:$H$65537,IF(OR(MID(TRIM($A48),2,1)="：",MID(TRIM($A48),2,1)="、"),REPLACEB(TRIM($A48),1,4,""),TRIM($A48)),权益抵销!$J$5:$J$65537)</f>
        <v>0</v>
      </c>
      <c r="E48" s="814">
        <f>SUMIF(往来交易抵销!$E$5:$E$65536,IF(OR(MID(TRIM($A48),2,1)="：",MID(TRIM($A48),2,1)="、"),REPLACEB(TRIM($A48),1,4,""),TRIM($A48)),往来交易抵销!$J$5:$J$65536)</f>
        <v>0</v>
      </c>
      <c r="F48" s="814">
        <f>SUMIF(往来交易抵销!$H$5:$H$65536,IF(OR(MID(TRIM($A48),2,1)="：",MID(TRIM($A48),2,1)="、"),REPLACEB(TRIM($A48),1,4,""),TRIM($A48)),往来交易抵销!$J$5:$J$65536)</f>
        <v>0</v>
      </c>
      <c r="G48" s="814">
        <f>SUMIF('合并报表调整 '!$E$5:$E$65536,IF(OR(MID(TRIM($A48),2,1)="：",MID(TRIM($A48),2,1)="、"),REPLACEB(TRIM($A48),1,4,""),TRIM($A48)),'合并报表调整 '!$J$5:$J$65536)</f>
        <v>0</v>
      </c>
      <c r="H48" s="814">
        <f>SUMIF('合并报表调整 '!$H$5:$H$65536,IF(OR(MID(TRIM($A48),2,1)="：",MID(TRIM($A48),2,1)="、"),REPLACEB(TRIM($A48),1,4,""),TRIM($A48)),'合并报表调整 '!$J$5:$J$65536)</f>
        <v>0</v>
      </c>
      <c r="I48" s="236">
        <f t="shared" si="3"/>
        <v>0</v>
      </c>
      <c r="J48" s="236"/>
      <c r="K48" s="237">
        <f t="shared" si="0"/>
        <v>0</v>
      </c>
    </row>
    <row r="49" spans="1:11" ht="14.45" customHeight="1">
      <c r="A49" s="97" t="str">
        <f>报表格式!G48</f>
        <v>其他权益工具</v>
      </c>
      <c r="B49" s="236">
        <f>合并BS汇总!B104</f>
        <v>0</v>
      </c>
      <c r="C49" s="814">
        <f>SUMIF(权益抵销!$E$5:$E$65537,IF(OR(MID(TRIM($A49),2,1)="：",MID(TRIM($A49),2,1)="、"),REPLACEB(TRIM($A49),1,4,""),TRIM($A49)),权益抵销!$J$5:$J$65537)</f>
        <v>0</v>
      </c>
      <c r="D49" s="814">
        <f>SUMIF(权益抵销!$H$5:$H$65537,IF(OR(MID(TRIM($A49),2,1)="：",MID(TRIM($A49),2,1)="、"),REPLACEB(TRIM($A49),1,4,""),TRIM($A49)),权益抵销!$J$5:$J$65537)</f>
        <v>0</v>
      </c>
      <c r="E49" s="814">
        <f>SUMIF(往来交易抵销!$E$5:$E$65536,IF(OR(MID(TRIM($A49),2,1)="：",MID(TRIM($A49),2,1)="、"),REPLACEB(TRIM($A49),1,4,""),TRIM($A49)),往来交易抵销!$J$5:$J$65536)</f>
        <v>0</v>
      </c>
      <c r="F49" s="814">
        <f>SUMIF(往来交易抵销!$H$5:$H$65536,IF(OR(MID(TRIM($A49),2,1)="：",MID(TRIM($A49),2,1)="、"),REPLACEB(TRIM($A49),1,4,""),TRIM($A49)),往来交易抵销!$J$5:$J$65536)</f>
        <v>0</v>
      </c>
      <c r="G49" s="814">
        <f>SUMIF('合并报表调整 '!$E$5:$E$65536,IF(OR(MID(TRIM($A49),2,1)="：",MID(TRIM($A49),2,1)="、"),REPLACEB(TRIM($A49),1,4,""),TRIM($A49)),'合并报表调整 '!$J$5:$J$65536)</f>
        <v>0</v>
      </c>
      <c r="H49" s="814">
        <f>SUMIF('合并报表调整 '!$H$5:$H$65536,IF(OR(MID(TRIM($A49),2,1)="：",MID(TRIM($A49),2,1)="、"),REPLACEB(TRIM($A49),1,4,""),TRIM($A49)),'合并报表调整 '!$J$5:$J$65536)</f>
        <v>0</v>
      </c>
      <c r="I49" s="236">
        <f t="shared" si="3"/>
        <v>0</v>
      </c>
      <c r="J49" s="236"/>
      <c r="K49" s="237">
        <f>SUM(I49:J49)</f>
        <v>0</v>
      </c>
    </row>
    <row r="50" spans="1:11" ht="14.45" customHeight="1">
      <c r="A50" s="97" t="str">
        <f>报表格式!G49</f>
        <v xml:space="preserve">  其中：优先股</v>
      </c>
      <c r="B50" s="236">
        <f>合并BS汇总!B105</f>
        <v>0</v>
      </c>
      <c r="C50" s="814">
        <f>SUMIF(权益抵销!$F$5:$F$65537,IF(OR(MID(TRIM($A50),3,1)="：",MID(TRIM($A50),2,1)="、"),REPLACEB(TRIM($A50),1,6,""),TRIM($A50)),权益抵销!$J$5:$J$65537)</f>
        <v>0</v>
      </c>
      <c r="D50" s="814">
        <f>SUMIF(权益抵销!$I$5:$I$65537,IF(OR(MID(TRIM($A50),3,1)="：",MID(TRIM($A50),2,1)="、"),REPLACEB(TRIM($A50),1,6,""),TRIM($A50)),权益抵销!$J$5:$J$65537)</f>
        <v>0</v>
      </c>
      <c r="E50" s="814">
        <f>SUMIF(往来交易抵销!$F$5:$F$65536,IF(OR(MID(TRIM($A50),3,1)="：",MID(TRIM($A50),2,1)="、"),REPLACEB(TRIM($A50),1,6,""),TRIM($A50)),往来交易抵销!$J$5:$J$65536)</f>
        <v>0</v>
      </c>
      <c r="F50" s="814">
        <f>SUMIF(往来交易抵销!$I$5:$I$65536,IF(OR(MID(TRIM($A50),3,1)="：",MID(TRIM($A50),2,1)="、"),REPLACEB(TRIM($A50),1,6,""),TRIM($A50)),往来交易抵销!$J$5:$J$65536)</f>
        <v>0</v>
      </c>
      <c r="G50" s="814">
        <f>SUMIF('合并报表调整 '!$F$5:$F$65536,IF(OR(MID(TRIM($A50),3,1)="：",MID(TRIM($A50),2,1)="、"),REPLACEB(TRIM($A50),1,6,""),TRIM($A50)),'合并报表调整 '!$J$5:$J$65536)</f>
        <v>0</v>
      </c>
      <c r="H50" s="814">
        <f>SUMIF('合并报表调整 '!$I$5:$I$65536,IF(OR(MID(TRIM($A50),3,1)="：",MID(TRIM($A50),2,1)="、"),REPLACEB(TRIM($A50),1,6,""),TRIM($A50)),'合并报表调整 '!$J$5:$J$65536)</f>
        <v>0</v>
      </c>
      <c r="I50" s="236">
        <f t="shared" si="3"/>
        <v>0</v>
      </c>
      <c r="J50" s="236"/>
      <c r="K50" s="237">
        <f>SUM(I50:J50)</f>
        <v>0</v>
      </c>
    </row>
    <row r="51" spans="1:11" ht="14.45" customHeight="1">
      <c r="A51" s="462" t="str">
        <f>报表格式!G50</f>
        <v xml:space="preserve">        永续债</v>
      </c>
      <c r="B51" s="236">
        <f>合并BS汇总!B106</f>
        <v>0</v>
      </c>
      <c r="C51" s="814">
        <f>SUMIF(权益抵销!$F$5:$F$65537,IF(OR(MID(TRIM($A51),2,1)="：",MID(TRIM($A51),2,1)="、"),REPLACEB(TRIM($A51),1,4,""),TRIM($A51)),权益抵销!$J$5:$J$65537)</f>
        <v>0</v>
      </c>
      <c r="D51" s="814">
        <f>SUMIF(权益抵销!$I$5:$I$65537,IF(OR(MID(TRIM($A51),2,1)="：",MID(TRIM($A51),2,1)="、"),REPLACEB(TRIM($A51),1,4,""),TRIM($A51)),权益抵销!$J$5:$J$65537)</f>
        <v>0</v>
      </c>
      <c r="E51" s="814">
        <f>SUMIF(往来交易抵销!$F$5:$F$65536,IF(OR(MID(TRIM($A51),2,1)="：",MID(TRIM($A51),2,1)="、"),REPLACEB(TRIM($A51),1,4,""),TRIM($A51)),往来交易抵销!$J$5:$J$65536)</f>
        <v>0</v>
      </c>
      <c r="F51" s="814">
        <f>SUMIF(往来交易抵销!$I$5:$I$65536,IF(OR(MID(TRIM($A51),2,1)="：",MID(TRIM($A51),2,1)="、"),REPLACEB(TRIM($A51),1,4,""),TRIM($A51)),往来交易抵销!$J$5:$J$65536)</f>
        <v>0</v>
      </c>
      <c r="G51" s="814">
        <f>SUMIF('合并报表调整 '!$F$5:$F$65536,IF(OR(MID(TRIM($A51),2,1)="：",MID(TRIM($A51),2,1)="、"),REPLACEB(TRIM($A51),1,4,""),TRIM($A51)),'合并报表调整 '!$J$5:$J$65536)</f>
        <v>0</v>
      </c>
      <c r="H51" s="814">
        <f>SUMIF('合并报表调整 '!$I$5:$I$65536,IF(OR(MID(TRIM($A51),2,1)="：",MID(TRIM($A51),2,1)="、"),REPLACEB(TRIM($A51),1,4,""),TRIM($A51)),'合并报表调整 '!$J$5:$J$65536)</f>
        <v>0</v>
      </c>
      <c r="I51" s="236">
        <f t="shared" si="3"/>
        <v>0</v>
      </c>
      <c r="J51" s="236"/>
      <c r="K51" s="237">
        <f>SUM(I51:J51)</f>
        <v>0</v>
      </c>
    </row>
    <row r="52" spans="1:11" ht="14.45" customHeight="1">
      <c r="A52" s="97" t="str">
        <f>报表格式!G51</f>
        <v>资本公积</v>
      </c>
      <c r="B52" s="236">
        <f>合并BS汇总!B107</f>
        <v>0</v>
      </c>
      <c r="C52" s="236">
        <f>SUMIF(权益抵销!$E$5:$E$65537,IF(OR(MID(TRIM($A52),2,1)="：",MID(TRIM($A52),2,1)="、"),REPLACEB(TRIM($A52),1,4,""),TRIM($A52)),权益抵销!$J$5:$J$65537)</f>
        <v>0</v>
      </c>
      <c r="D52" s="236">
        <f>SUMIF(权益抵销!$H$5:$H$65537,IF(OR(MID(TRIM($A52),2,1)="：",MID(TRIM($A52),2,1)="、"),REPLACEB(TRIM($A52),1,4,""),TRIM($A52)),权益抵销!$J$5:$J$65537)</f>
        <v>0</v>
      </c>
      <c r="E52" s="236">
        <f>SUMIF(往来交易抵销!$E$5:$E$65536,IF(OR(MID(TRIM($A52),2,1)="：",MID(TRIM($A52),2,1)="、"),REPLACEB(TRIM($A52),1,4,""),TRIM($A52)),往来交易抵销!$J$5:$J$65536)</f>
        <v>0</v>
      </c>
      <c r="F52" s="236">
        <f>SUMIF(往来交易抵销!$H$5:$H$65536,IF(OR(MID(TRIM($A52),2,1)="：",MID(TRIM($A52),2,1)="、"),REPLACEB(TRIM($A52),1,4,""),TRIM($A52)),往来交易抵销!$J$5:$J$65536)</f>
        <v>0</v>
      </c>
      <c r="G52" s="236">
        <f>SUMIF('合并报表调整 '!$E$5:$E$65536,IF(OR(MID(TRIM($A52),2,1)="：",MID(TRIM($A52),2,1)="、"),REPLACEB(TRIM($A52),1,4,""),TRIM($A52)),'合并报表调整 '!$J$5:$J$65536)</f>
        <v>0</v>
      </c>
      <c r="H52" s="236">
        <f>SUMIF('合并报表调整 '!$H$5:$H$65536,IF(OR(MID(TRIM($A52),2,1)="：",MID(TRIM($A52),2,1)="、"),REPLACEB(TRIM($A52),1,4,""),TRIM($A52)),'合并报表调整 '!$J$5:$J$65536)</f>
        <v>0</v>
      </c>
      <c r="I52" s="236">
        <f t="shared" si="3"/>
        <v>0</v>
      </c>
      <c r="J52" s="236"/>
      <c r="K52" s="237">
        <f t="shared" si="0"/>
        <v>0</v>
      </c>
    </row>
    <row r="53" spans="1:11" ht="14.45" customHeight="1">
      <c r="A53" s="97" t="str">
        <f>报表格式!G52</f>
        <v>减：库存股</v>
      </c>
      <c r="B53" s="236">
        <f>合并BS汇总!B108</f>
        <v>0</v>
      </c>
      <c r="C53" s="236">
        <f>SUMIF(权益抵销!$E$5:$E$65537,IF(OR(MID(TRIM($A53),2,1)="：",MID(TRIM($A53),2,1)="、"),REPLACEB(TRIM($A53),1,4,""),TRIM($A53)),权益抵销!$J$5:$J$65537)</f>
        <v>0</v>
      </c>
      <c r="D53" s="236">
        <f>SUMIF(权益抵销!$H$5:$H$65537,IF(OR(MID(TRIM($A53),2,1)="：",MID(TRIM($A53),2,1)="、"),REPLACEB(TRIM($A53),1,4,""),TRIM($A53)),权益抵销!$J$5:$J$65537)</f>
        <v>0</v>
      </c>
      <c r="E53" s="236">
        <f>SUMIF(往来交易抵销!$E$5:$E$65536,IF(OR(MID(TRIM($A53),2,1)="：",MID(TRIM($A53),2,1)="、"),REPLACEB(TRIM($A53),1,4,""),TRIM($A53)),往来交易抵销!$J$5:$J$65536)</f>
        <v>0</v>
      </c>
      <c r="F53" s="236">
        <f>SUMIF(往来交易抵销!$H$5:$H$65536,IF(OR(MID(TRIM($A53),2,1)="：",MID(TRIM($A53),2,1)="、"),REPLACEB(TRIM($A53),1,4,""),TRIM($A53)),往来交易抵销!$J$5:$J$65536)</f>
        <v>0</v>
      </c>
      <c r="G53" s="236">
        <f>SUMIF('合并报表调整 '!$E$5:$E$65536,IF(OR(MID(TRIM($A53),2,1)="：",MID(TRIM($A53),2,1)="、"),REPLACEB(TRIM($A53),1,4,""),TRIM($A53)),'合并报表调整 '!$J$5:$J$65536)</f>
        <v>0</v>
      </c>
      <c r="H53" s="236">
        <f>SUMIF('合并报表调整 '!$H$5:$H$65536,IF(OR(MID(TRIM($A53),2,1)="：",MID(TRIM($A53),2,1)="、"),REPLACEB(TRIM($A53),1,4,""),TRIM($A53)),'合并报表调整 '!$J$5:$J$65536)</f>
        <v>0</v>
      </c>
      <c r="I53" s="236">
        <f t="shared" si="3"/>
        <v>0</v>
      </c>
      <c r="J53" s="236"/>
      <c r="K53" s="237">
        <f t="shared" si="0"/>
        <v>0</v>
      </c>
    </row>
    <row r="54" spans="1:11" ht="14.45" customHeight="1">
      <c r="A54" s="97" t="str">
        <f>报表格式!G53</f>
        <v>其他综合收益</v>
      </c>
      <c r="B54" s="236">
        <f>合并BS汇总!B109</f>
        <v>0</v>
      </c>
      <c r="C54" s="236">
        <f>SUMIF(权益抵销!$E$5:$E$65537,IF(OR(MID(TRIM($A54),2,1)="：",MID(TRIM($A54),2,1)="、"),REPLACEB(TRIM($A54),1,4,""),TRIM($A54)),权益抵销!$J$5:$J$65537)</f>
        <v>0</v>
      </c>
      <c r="D54" s="236">
        <f>SUMIF(权益抵销!$H$5:$H$65537,IF(OR(MID(TRIM($A54),2,1)="：",MID(TRIM($A54),2,1)="、"),REPLACEB(TRIM($A54),1,4,""),TRIM($A54)),权益抵销!$J$5:$J$65537)</f>
        <v>0</v>
      </c>
      <c r="E54" s="236">
        <f>SUMIF(往来交易抵销!$E$5:$E$65536,IF(OR(MID(TRIM($A54),2,1)="：",MID(TRIM($A54),2,1)="、"),REPLACEB(TRIM($A54),1,4,""),TRIM($A54)),往来交易抵销!$J$5:$J$65536)</f>
        <v>0</v>
      </c>
      <c r="F54" s="236">
        <f>SUMIF(往来交易抵销!$H$5:$H$65536,IF(OR(MID(TRIM($A54),2,1)="：",MID(TRIM($A54),2,1)="、"),REPLACEB(TRIM($A54),1,4,""),TRIM($A54)),往来交易抵销!$J$5:$J$65536)</f>
        <v>0</v>
      </c>
      <c r="G54" s="236">
        <f>SUMIF('合并报表调整 '!$E$5:$E$65536,IF(OR(MID(TRIM($A54),2,1)="：",MID(TRIM($A54),2,1)="、"),REPLACEB(TRIM($A54),1,4,""),TRIM($A54)),'合并报表调整 '!$J$5:$J$65536)</f>
        <v>0</v>
      </c>
      <c r="H54" s="236">
        <f>SUMIF('合并报表调整 '!$H$5:$H$65536,IF(OR(MID(TRIM($A54),2,1)="：",MID(TRIM($A54),2,1)="、"),REPLACEB(TRIM($A54),1,4,""),TRIM($A54)),'合并报表调整 '!$J$5:$J$65536)</f>
        <v>0</v>
      </c>
      <c r="I54" s="236">
        <f t="shared" si="3"/>
        <v>0</v>
      </c>
      <c r="J54" s="236"/>
      <c r="K54" s="237">
        <f>SUM(I54:J54)</f>
        <v>0</v>
      </c>
    </row>
    <row r="55" spans="1:11" ht="14.45" customHeight="1">
      <c r="A55" s="97" t="str">
        <f>报表格式!G54</f>
        <v>专项储备</v>
      </c>
      <c r="B55" s="236">
        <f>合并BS汇总!B110</f>
        <v>0</v>
      </c>
      <c r="C55" s="236">
        <f>SUMIF(权益抵销!$E$5:$E$65537,IF(OR(MID(TRIM($A55),2,1)="：",MID(TRIM($A55),2,1)="、"),REPLACEB(TRIM($A55),1,4,""),TRIM($A55)),权益抵销!$J$5:$J$65537)</f>
        <v>0</v>
      </c>
      <c r="D55" s="236">
        <f>SUMIF(权益抵销!$H$5:$H$65537,IF(OR(MID(TRIM($A55),2,1)="：",MID(TRIM($A55),2,1)="、"),REPLACEB(TRIM($A55),1,4,""),TRIM($A55)),权益抵销!$J$5:$J$65537)</f>
        <v>0</v>
      </c>
      <c r="E55" s="236">
        <f>SUMIF(往来交易抵销!$E$5:$E$65536,IF(OR(MID(TRIM($A55),2,1)="：",MID(TRIM($A55),2,1)="、"),REPLACEB(TRIM($A55),1,4,""),TRIM($A55)),往来交易抵销!$J$5:$J$65536)</f>
        <v>0</v>
      </c>
      <c r="F55" s="236">
        <f>SUMIF(往来交易抵销!$H$5:$H$65536,IF(OR(MID(TRIM($A55),2,1)="：",MID(TRIM($A55),2,1)="、"),REPLACEB(TRIM($A55),1,4,""),TRIM($A55)),往来交易抵销!$J$5:$J$65536)</f>
        <v>0</v>
      </c>
      <c r="G55" s="236">
        <f>SUMIF('合并报表调整 '!$E$5:$E$65536,IF(OR(MID(TRIM($A55),2,1)="：",MID(TRIM($A55),2,1)="、"),REPLACEB(TRIM($A55),1,4,""),TRIM($A55)),'合并报表调整 '!$J$5:$J$65536)</f>
        <v>0</v>
      </c>
      <c r="H55" s="236">
        <f>SUMIF('合并报表调整 '!$H$5:$H$65536,IF(OR(MID(TRIM($A55),2,1)="：",MID(TRIM($A55),2,1)="、"),REPLACEB(TRIM($A55),1,4,""),TRIM($A55)),'合并报表调整 '!$J$5:$J$65536)</f>
        <v>0</v>
      </c>
      <c r="I55" s="236">
        <f t="shared" si="3"/>
        <v>0</v>
      </c>
      <c r="J55" s="236"/>
      <c r="K55" s="237">
        <f t="shared" si="0"/>
        <v>0</v>
      </c>
    </row>
    <row r="56" spans="1:11" ht="14.45" customHeight="1">
      <c r="A56" s="97" t="str">
        <f>报表格式!G55</f>
        <v>盈余公积</v>
      </c>
      <c r="B56" s="236">
        <f>合并BS汇总!B111</f>
        <v>0</v>
      </c>
      <c r="C56" s="236">
        <f>SUMIF(权益抵销!$E$5:$E$65537,IF(OR(MID(TRIM($A56),2,1)="：",MID(TRIM($A56),2,1)="、"),REPLACEB(TRIM($A56),1,4,""),TRIM($A56)),权益抵销!$J$5:$J$65537)</f>
        <v>0</v>
      </c>
      <c r="D56" s="236">
        <f>SUMIF(权益抵销!$H$5:$H$65537,IF(OR(MID(TRIM($A56),2,1)="：",MID(TRIM($A56),2,1)="、"),REPLACEB(TRIM($A56),1,4,""),TRIM($A56)),权益抵销!$J$5:$J$65537)</f>
        <v>0</v>
      </c>
      <c r="E56" s="236">
        <f>SUMIF(往来交易抵销!$E$5:$E$65536,IF(OR(MID(TRIM($A56),2,1)="：",MID(TRIM($A56),2,1)="、"),REPLACEB(TRIM($A56),1,4,""),TRIM($A56)),往来交易抵销!$J$5:$J$65536)</f>
        <v>0</v>
      </c>
      <c r="F56" s="236">
        <f>SUMIF(往来交易抵销!$H$5:$H$65536,IF(OR(MID(TRIM($A56),2,1)="：",MID(TRIM($A56),2,1)="、"),REPLACEB(TRIM($A56),1,4,""),TRIM($A56)),往来交易抵销!$J$5:$J$65536)</f>
        <v>0</v>
      </c>
      <c r="G56" s="236">
        <f>SUMIF('合并报表调整 '!$E$5:$E$65536,IF(OR(MID(TRIM($A56),2,1)="：",MID(TRIM($A56),2,1)="、"),REPLACEB(TRIM($A56),1,4,""),TRIM($A56)),'合并报表调整 '!$J$5:$J$65536)</f>
        <v>0</v>
      </c>
      <c r="H56" s="236">
        <f>SUMIF('合并报表调整 '!$H$5:$H$65536,IF(OR(MID(TRIM($A56),2,1)="：",MID(TRIM($A56),2,1)="、"),REPLACEB(TRIM($A56),1,4,""),TRIM($A56)),'合并报表调整 '!$J$5:$J$65536)</f>
        <v>0</v>
      </c>
      <c r="I56" s="236">
        <f t="shared" si="3"/>
        <v>0</v>
      </c>
      <c r="J56" s="236"/>
      <c r="K56" s="237">
        <f t="shared" si="0"/>
        <v>0</v>
      </c>
    </row>
    <row r="57" spans="1:11" ht="14.45" customHeight="1">
      <c r="A57" s="97" t="str">
        <f>报表格式!G56</f>
        <v>一般风险准备</v>
      </c>
      <c r="B57" s="236">
        <f>合并BS汇总!B112</f>
        <v>0</v>
      </c>
      <c r="C57" s="236">
        <f>SUMIF(权益抵销!$E$5:$E$65537,IF(OR(MID(TRIM($A57),2,1)="：",MID(TRIM($A57),2,1)="、"),REPLACEB(TRIM($A57),1,4,""),TRIM($A57)),权益抵销!$J$5:$J$65537)</f>
        <v>0</v>
      </c>
      <c r="D57" s="236">
        <f>SUMIF(权益抵销!$H$5:$H$65537,IF(OR(MID(TRIM($A57),2,1)="：",MID(TRIM($A57),2,1)="、"),REPLACEB(TRIM($A57),1,4,""),TRIM($A57)),权益抵销!$J$5:$J$65537)</f>
        <v>0</v>
      </c>
      <c r="E57" s="236">
        <f>SUMIF(往来交易抵销!$E$5:$E$65536,IF(OR(MID(TRIM($A57),2,1)="：",MID(TRIM($A57),2,1)="、"),REPLACEB(TRIM($A57),1,4,""),TRIM($A57)),往来交易抵销!$J$5:$J$65536)</f>
        <v>0</v>
      </c>
      <c r="F57" s="236">
        <f>SUMIF(往来交易抵销!$H$5:$H$65536,IF(OR(MID(TRIM($A57),2,1)="：",MID(TRIM($A57),2,1)="、"),REPLACEB(TRIM($A57),1,4,""),TRIM($A57)),往来交易抵销!$J$5:$J$65536)</f>
        <v>0</v>
      </c>
      <c r="G57" s="236">
        <f>SUMIF('合并报表调整 '!$E$5:$E$65536,IF(OR(MID(TRIM($A57),2,1)="：",MID(TRIM($A57),2,1)="、"),REPLACEB(TRIM($A57),1,4,""),TRIM($A57)),'合并报表调整 '!$J$5:$J$65536)</f>
        <v>0</v>
      </c>
      <c r="H57" s="236">
        <f>SUMIF('合并报表调整 '!$H$5:$H$65536,IF(OR(MID(TRIM($A57),2,1)="：",MID(TRIM($A57),2,1)="、"),REPLACEB(TRIM($A57),1,4,""),TRIM($A57)),'合并报表调整 '!$J$5:$J$65536)</f>
        <v>0</v>
      </c>
      <c r="I57" s="236">
        <f t="shared" ref="I57" si="17">B57-E57-G57+F57+H57-C57+D57</f>
        <v>0</v>
      </c>
      <c r="J57" s="236"/>
      <c r="K57" s="237">
        <f t="shared" ref="K57" si="18">SUM(I57:J57)</f>
        <v>0</v>
      </c>
    </row>
    <row r="58" spans="1:11" ht="14.45" customHeight="1">
      <c r="A58" s="97" t="str">
        <f>报表格式!G57</f>
        <v>未分配利润</v>
      </c>
      <c r="B58" s="236">
        <f>合并BS汇总!B113</f>
        <v>0</v>
      </c>
      <c r="C58" s="236">
        <f>合并TB损益!C89</f>
        <v>0</v>
      </c>
      <c r="D58" s="236">
        <f>合并TB损益!D89</f>
        <v>0</v>
      </c>
      <c r="E58" s="236">
        <f>合并TB损益!E89</f>
        <v>0</v>
      </c>
      <c r="F58" s="236">
        <f>合并TB损益!F89</f>
        <v>0</v>
      </c>
      <c r="G58" s="236">
        <f>合并TB损益!G89</f>
        <v>0</v>
      </c>
      <c r="H58" s="236">
        <f>合并TB损益!H89</f>
        <v>0</v>
      </c>
      <c r="I58" s="236">
        <f>合并TB损益!I89</f>
        <v>0</v>
      </c>
      <c r="J58" s="236"/>
      <c r="K58" s="237">
        <f t="shared" si="0"/>
        <v>0</v>
      </c>
    </row>
    <row r="59" spans="1:11" ht="14.45" customHeight="1">
      <c r="A59" s="97" t="str">
        <f>报表格式!G58</f>
        <v>归属于母公司股东权益合计</v>
      </c>
      <c r="B59" s="236">
        <f>SUM(B48:B49,B52,-B53,B54:B58)</f>
        <v>0</v>
      </c>
      <c r="C59" s="236">
        <f t="shared" ref="C59:J59" si="19">SUM(C48:C49,C52,-C53,C54:C58)</f>
        <v>0</v>
      </c>
      <c r="D59" s="236">
        <f t="shared" si="19"/>
        <v>0</v>
      </c>
      <c r="E59" s="236">
        <f t="shared" si="19"/>
        <v>0</v>
      </c>
      <c r="F59" s="236">
        <f t="shared" si="19"/>
        <v>0</v>
      </c>
      <c r="G59" s="236">
        <f t="shared" si="19"/>
        <v>0</v>
      </c>
      <c r="H59" s="236">
        <f t="shared" si="19"/>
        <v>0</v>
      </c>
      <c r="I59" s="236">
        <f t="shared" si="19"/>
        <v>0</v>
      </c>
      <c r="J59" s="237">
        <f t="shared" si="19"/>
        <v>0</v>
      </c>
      <c r="K59" s="799">
        <f t="shared" si="0"/>
        <v>0</v>
      </c>
    </row>
    <row r="60" spans="1:11" ht="14.45" customHeight="1">
      <c r="A60" s="97" t="str">
        <f>报表格式!G59</f>
        <v>少数股东权益</v>
      </c>
      <c r="B60" s="236">
        <f>合并BS汇总!B115</f>
        <v>0</v>
      </c>
      <c r="C60" s="236">
        <f>SUMIF(权益抵销!$E$5:$E$65537,IF(OR(MID(TRIM($A60),2,1)="：",MID(TRIM($A60),2,1)="、"),REPLACEB(TRIM($A60),1,4,""),TRIM($A60)),权益抵销!$J$5:$J$65537)</f>
        <v>0</v>
      </c>
      <c r="D60" s="236">
        <f>SUMIF(权益抵销!$H$5:$H$65537,IF(OR(MID(TRIM($A60),2,1)="：",MID(TRIM($A60),2,1)="、"),REPLACEB(TRIM($A60),1,4,""),TRIM($A60)),权益抵销!$J$5:$J$65537)</f>
        <v>0</v>
      </c>
      <c r="E60" s="236">
        <f>SUMIF(往来交易抵销!$E$5:$E$65536,IF(OR(MID(TRIM($A60),2,1)="：",MID(TRIM($A60),2,1)="、"),REPLACEB(TRIM($A60),1,4,""),TRIM($A60)),往来交易抵销!$J$5:$J$65536)</f>
        <v>0</v>
      </c>
      <c r="F60" s="236">
        <f>SUMIF(往来交易抵销!$H$5:$H$65536,IF(OR(MID(TRIM($A60),2,1)="：",MID(TRIM($A60),2,1)="、"),REPLACEB(TRIM($A60),1,4,""),TRIM($A60)),往来交易抵销!$J$5:$J$65536)</f>
        <v>0</v>
      </c>
      <c r="G60" s="236">
        <f>SUMIF('合并报表调整 '!$E$5:$E$65536,IF(OR(MID(TRIM($A60),2,1)="：",MID(TRIM($A60),2,1)="、"),REPLACEB(TRIM($A60),1,4,""),TRIM($A60)),'合并报表调整 '!$J$5:$J$65536)</f>
        <v>0</v>
      </c>
      <c r="H60" s="236">
        <f>SUMIF('合并报表调整 '!$H$5:$H$65536,IF(OR(MID(TRIM($A60),2,1)="：",MID(TRIM($A60),2,1)="、"),REPLACEB(TRIM($A60),1,4,""),TRIM($A60)),'合并报表调整 '!$J$5:$J$65536)</f>
        <v>0</v>
      </c>
      <c r="I60" s="236">
        <f t="shared" si="3"/>
        <v>0</v>
      </c>
      <c r="J60" s="236"/>
      <c r="K60" s="237">
        <f t="shared" si="0"/>
        <v>0</v>
      </c>
    </row>
    <row r="61" spans="1:11" ht="14.45" customHeight="1">
      <c r="A61" s="648" t="str">
        <f>报表格式!G60</f>
        <v>股东权益合计</v>
      </c>
      <c r="B61" s="242">
        <f t="shared" ref="B61:J61" si="20">SUM(B59:B60)</f>
        <v>0</v>
      </c>
      <c r="C61" s="242">
        <f t="shared" si="20"/>
        <v>0</v>
      </c>
      <c r="D61" s="242">
        <f t="shared" si="20"/>
        <v>0</v>
      </c>
      <c r="E61" s="242">
        <f t="shared" si="20"/>
        <v>0</v>
      </c>
      <c r="F61" s="242">
        <f t="shared" si="20"/>
        <v>0</v>
      </c>
      <c r="G61" s="242">
        <f t="shared" si="20"/>
        <v>0</v>
      </c>
      <c r="H61" s="242">
        <f t="shared" si="20"/>
        <v>0</v>
      </c>
      <c r="I61" s="242">
        <f>SUM(I59:I60)</f>
        <v>0</v>
      </c>
      <c r="J61" s="242">
        <f t="shared" si="20"/>
        <v>0</v>
      </c>
      <c r="K61" s="245">
        <f>SUM(I61:J61)</f>
        <v>0</v>
      </c>
    </row>
    <row r="62" spans="1:11" ht="14.45" customHeight="1">
      <c r="A62" s="100" t="str">
        <f>报表格式!G61</f>
        <v>负债和股东权益合计</v>
      </c>
      <c r="B62" s="240">
        <f t="shared" ref="B62:J62" si="21">SUM(B46,B61)</f>
        <v>0</v>
      </c>
      <c r="C62" s="240">
        <f t="shared" si="21"/>
        <v>0</v>
      </c>
      <c r="D62" s="240">
        <f t="shared" si="21"/>
        <v>0</v>
      </c>
      <c r="E62" s="240">
        <f t="shared" si="21"/>
        <v>0</v>
      </c>
      <c r="F62" s="240">
        <f t="shared" si="21"/>
        <v>0</v>
      </c>
      <c r="G62" s="240">
        <f t="shared" si="21"/>
        <v>0</v>
      </c>
      <c r="H62" s="240">
        <f t="shared" si="21"/>
        <v>0</v>
      </c>
      <c r="I62" s="240">
        <f t="shared" si="21"/>
        <v>0</v>
      </c>
      <c r="J62" s="240">
        <f t="shared" si="21"/>
        <v>0</v>
      </c>
      <c r="K62" s="241">
        <f>SUM(I62:J62)</f>
        <v>0</v>
      </c>
    </row>
    <row r="63" spans="1:11" s="942" customFormat="1">
      <c r="A63" s="940"/>
      <c r="B63" s="863">
        <f>B62-合并TB资产!B59</f>
        <v>0</v>
      </c>
      <c r="C63" s="848">
        <f>SUM(C7:C31,C34:C44,C48:C56,C60)-C23-C24-C36-C37-C50-C51</f>
        <v>0</v>
      </c>
      <c r="D63" s="848">
        <f t="shared" ref="D63:H63" si="22">SUM(D7:D31,D34:D44,D48:D56,D60)-D23-D24-D36-D37-D50-D51</f>
        <v>0</v>
      </c>
      <c r="E63" s="848">
        <f>SUM(E7:E31,E34:E44,E48:E56,E60)-E23-E24-E36-E37-E50-E51</f>
        <v>0</v>
      </c>
      <c r="F63" s="848">
        <f t="shared" si="22"/>
        <v>0</v>
      </c>
      <c r="G63" s="848">
        <f t="shared" si="22"/>
        <v>0</v>
      </c>
      <c r="H63" s="848">
        <f t="shared" si="22"/>
        <v>0</v>
      </c>
      <c r="I63" s="863">
        <f>I62-合并TB资产!I59</f>
        <v>0</v>
      </c>
      <c r="J63" s="863"/>
      <c r="K63" s="863">
        <f>K62-合并TB资产!K59</f>
        <v>0</v>
      </c>
    </row>
    <row r="64" spans="1:11" s="329" customFormat="1">
      <c r="A64" s="328"/>
      <c r="B64" s="327"/>
      <c r="C64" s="327"/>
      <c r="D64" s="327"/>
      <c r="E64" s="327"/>
      <c r="F64" s="327"/>
      <c r="G64" s="327"/>
      <c r="H64" s="327"/>
      <c r="I64" s="327"/>
      <c r="J64" s="327"/>
      <c r="K64" s="327"/>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4" priority="1" stopIfTrue="1" operator="equal">
      <formula>"报表未调平!"</formula>
    </cfRule>
  </conditionalFormatting>
  <printOptions horizontalCentered="1" verticalCentered="1"/>
  <pageMargins left="0.55118110236220474" right="0.31496062992125984" top="0.39370078740157483" bottom="0.27559055118110237" header="0.19685039370078741" footer="0.19685039370078741"/>
  <pageSetup paperSize="9" scale="62"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O91"/>
  <sheetViews>
    <sheetView showZeros="0" zoomScale="90" zoomScaleNormal="90" workbookViewId="0">
      <pane xSplit="1" ySplit="5" topLeftCell="B6" activePane="bottomRight" state="frozen"/>
      <selection activeCell="H6" sqref="H6"/>
      <selection pane="topRight" activeCell="H6" sqref="H6"/>
      <selection pane="bottomLeft" activeCell="H6" sqref="H6"/>
      <selection pane="bottomRight" activeCell="A11" sqref="A11"/>
    </sheetView>
  </sheetViews>
  <sheetFormatPr defaultColWidth="7" defaultRowHeight="13.5" outlineLevelCol="1"/>
  <cols>
    <col min="1" max="1" width="39.5" style="33" customWidth="1"/>
    <col min="2" max="4" width="11.75" style="33" customWidth="1"/>
    <col min="5" max="5" width="11.5" style="33" customWidth="1"/>
    <col min="6" max="6" width="12.25" style="33" customWidth="1"/>
    <col min="7" max="7" width="11.5" style="33" customWidth="1"/>
    <col min="8" max="8" width="12.25" style="33" customWidth="1"/>
    <col min="9" max="9" width="11.5" style="33" bestFit="1" customWidth="1" outlineLevel="1"/>
    <col min="10" max="10" width="8.5" style="33" customWidth="1" outlineLevel="1"/>
    <col min="11" max="11" width="12.625" style="33" customWidth="1"/>
    <col min="12" max="12" width="7.375" style="33" bestFit="1" customWidth="1"/>
    <col min="13" max="13" width="12.25" style="33" bestFit="1" customWidth="1"/>
    <col min="14" max="14" width="12.125" style="33" customWidth="1"/>
    <col min="15" max="16384" width="7" style="33"/>
  </cols>
  <sheetData>
    <row r="1" spans="1:15" s="32" customFormat="1" ht="24" customHeight="1">
      <c r="A1" s="102" t="s">
        <v>948</v>
      </c>
      <c r="B1" s="103"/>
      <c r="C1" s="103"/>
      <c r="D1" s="103"/>
      <c r="E1" s="103"/>
      <c r="F1" s="103"/>
      <c r="G1" s="103"/>
      <c r="H1" s="103"/>
      <c r="I1" s="103"/>
      <c r="J1" s="103"/>
      <c r="K1" s="103"/>
      <c r="L1" s="31"/>
      <c r="M1" s="33"/>
      <c r="N1" s="33"/>
      <c r="O1" s="33"/>
    </row>
    <row r="2" spans="1:15" s="32" customFormat="1" ht="17.25" customHeight="1">
      <c r="A2" s="91" t="str">
        <f>CONCATENATE("客户名称：",说明!E23)</f>
        <v>客户名称：</v>
      </c>
      <c r="D2" s="89" t="str">
        <f>CONCATENATE("编制：",说明!E36)</f>
        <v>编制：</v>
      </c>
      <c r="F2" s="90"/>
      <c r="G2" s="91" t="str">
        <f>CONCATENATE("复核：",说明!E37)</f>
        <v>复核：</v>
      </c>
      <c r="I2" s="91"/>
      <c r="J2" s="92"/>
      <c r="K2" s="93" t="str">
        <f>合并TB资产!K2</f>
        <v xml:space="preserve">索引：            </v>
      </c>
      <c r="M2" s="33"/>
      <c r="N2" s="33"/>
      <c r="O2" s="33"/>
    </row>
    <row r="3" spans="1:15" s="32" customFormat="1" ht="17.25" customHeight="1">
      <c r="A3" s="91" t="str">
        <f>CONCATENATE("会计期间：",TEXT(说明!E30,"yyyy.mm.dd"))</f>
        <v>会计期间：2019年度</v>
      </c>
      <c r="D3" s="93" t="str">
        <f ca="1">CONCATENATE("日期：",TEXT(NOW(),"yyyy.mm.dd"))</f>
        <v>日期：2019.12.31</v>
      </c>
      <c r="F3" s="91"/>
      <c r="G3" s="91" t="str">
        <f>合并TB资产!F3</f>
        <v>日期：</v>
      </c>
      <c r="I3" s="91"/>
      <c r="J3" s="91"/>
      <c r="K3" s="93" t="str">
        <f>合并TB资产!K3</f>
        <v xml:space="preserve">分页：           </v>
      </c>
      <c r="M3" s="33"/>
      <c r="N3" s="33"/>
      <c r="O3" s="33"/>
    </row>
    <row r="4" spans="1:15" s="32" customFormat="1">
      <c r="A4" s="1179" t="str">
        <f>IF((ROUND(合并TB资产!K59,2))=(ROUND(合并TB负债!K62,2)),"项       目","报表未调平!")</f>
        <v>项       目</v>
      </c>
      <c r="B4" s="1174" t="s">
        <v>146</v>
      </c>
      <c r="C4" s="1176" t="s">
        <v>574</v>
      </c>
      <c r="D4" s="1176"/>
      <c r="E4" s="1176" t="s">
        <v>575</v>
      </c>
      <c r="F4" s="1176"/>
      <c r="G4" s="1176" t="s">
        <v>576</v>
      </c>
      <c r="H4" s="1176"/>
      <c r="I4" s="248" t="s">
        <v>299</v>
      </c>
      <c r="J4" s="248" t="s">
        <v>300</v>
      </c>
      <c r="K4" s="1170" t="s">
        <v>570</v>
      </c>
      <c r="M4" s="33"/>
      <c r="N4" s="33"/>
      <c r="O4" s="33"/>
    </row>
    <row r="5" spans="1:15" s="32" customFormat="1" ht="14.25" customHeight="1">
      <c r="A5" s="1180"/>
      <c r="B5" s="1175"/>
      <c r="C5" s="249" t="s">
        <v>455</v>
      </c>
      <c r="D5" s="249" t="s">
        <v>361</v>
      </c>
      <c r="E5" s="249" t="s">
        <v>455</v>
      </c>
      <c r="F5" s="249" t="s">
        <v>361</v>
      </c>
      <c r="G5" s="249" t="s">
        <v>455</v>
      </c>
      <c r="H5" s="249" t="s">
        <v>361</v>
      </c>
      <c r="I5" s="249"/>
      <c r="J5" s="249"/>
      <c r="K5" s="1171"/>
      <c r="M5" s="33"/>
      <c r="N5" s="33"/>
      <c r="O5" s="33"/>
    </row>
    <row r="6" spans="1:15" ht="15" customHeight="1">
      <c r="A6" s="94" t="str">
        <f>报表格式!L5</f>
        <v>一、营业收入</v>
      </c>
      <c r="B6" s="246">
        <f>合并PL汇总!B6</f>
        <v>0</v>
      </c>
      <c r="C6" s="830">
        <f>SUMIF(权益抵销!$E$5:$E$65537,IF(OR(MID(TRIM($A6),2,1)="：",MID(TRIM($A6),2,1)="、"),REPLACEB(TRIM($A6),1,4,""),TRIM($A6)),权益抵销!$J$5:$J$65537)</f>
        <v>0</v>
      </c>
      <c r="D6" s="830">
        <f>SUMIF(权益抵销!$H$5:$H$65537,IF(OR(MID(TRIM($A6),2,1)="：",MID(TRIM($A6),2,1)="、"),REPLACEB(TRIM($A6),1,4,""),TRIM($A6)),权益抵销!$J$5:$J$65537)</f>
        <v>0</v>
      </c>
      <c r="E6" s="830">
        <f>SUMIF(往来交易抵销!$E$5:$E$65536,IF(OR(MID(TRIM($A6),2,1)="：",MID(TRIM($A6),2,1)="、"),REPLACEB(TRIM($A6),1,4,""),TRIM($A6)),往来交易抵销!$J$5:$J$65536)</f>
        <v>0</v>
      </c>
      <c r="F6" s="830">
        <f>SUMIF(往来交易抵销!$H$5:$H$65536,IF(OR(MID(TRIM($A6),2,1)="：",MID(TRIM($A6),2,1)="、"),REPLACEB(TRIM($A6),1,4,""),TRIM($A6)),往来交易抵销!$J$5:$J$65536)</f>
        <v>0</v>
      </c>
      <c r="G6" s="830">
        <f>SUMIF('合并报表调整 '!$E$5:$E$65536,IF(OR(MID(TRIM($A6),2,1)="：",MID(TRIM($A6),2,1)="、"),REPLACEB(TRIM($A6),1,4,""),TRIM($A6)),'合并报表调整 '!$J$5:$J$65536)</f>
        <v>0</v>
      </c>
      <c r="H6" s="830">
        <f>SUMIF('合并报表调整 '!$H$5:$H$65536,IF(OR(MID(TRIM($A6),2,1)="：",MID(TRIM($A6),2,1)="、"),REPLACEB(TRIM($A6),1,4,""),TRIM($A6)),'合并报表调整 '!$J$5:$J$65536)</f>
        <v>0</v>
      </c>
      <c r="I6" s="829">
        <f>B6-E6-G6+F6+H6-C6+D6</f>
        <v>0</v>
      </c>
      <c r="J6" s="829"/>
      <c r="K6" s="838">
        <f t="shared" ref="K6:K42" si="0">SUM(I6:J6)</f>
        <v>0</v>
      </c>
    </row>
    <row r="7" spans="1:15" ht="15" customHeight="1">
      <c r="A7" s="105" t="str">
        <f>报表格式!L6</f>
        <v xml:space="preserve">        其中：主营业务收入</v>
      </c>
      <c r="B7" s="247">
        <f>合并PL汇总!B7</f>
        <v>0</v>
      </c>
      <c r="C7" s="829">
        <f>SUMIF(权益抵销!$F$5:$F$65537,IF(OR(MID(TRIM($A7),3,1)="：",MID(TRIM($A7),2,1)="、"),REPLACEB(TRIM($A7),1,6,""),TRIM($A7)),权益抵销!$J$5:$J$65537)</f>
        <v>0</v>
      </c>
      <c r="D7" s="829">
        <f>SUMIF(权益抵销!$I$5:$I$65537,IF(OR(MID(TRIM($A7),3,1)="：",MID(TRIM($A7),2,1)="、"),REPLACEB(TRIM($A7),1,6,""),TRIM($A7)),权益抵销!$J$5:$J$65537)</f>
        <v>0</v>
      </c>
      <c r="E7" s="829">
        <f>SUMIF(往来交易抵销!$F$5:$F$65536,IF(OR(MID(TRIM($A7),3,1)="：",MID(TRIM($A7),2,1)="、"),REPLACEB(TRIM($A7),1,6,""),TRIM($A7)),往来交易抵销!$J$5:$J$65536)</f>
        <v>0</v>
      </c>
      <c r="F7" s="829">
        <f>SUMIF(往来交易抵销!$I$5:$I$65536,IF(OR(MID(TRIM($A7),3,1)="：",MID(TRIM($A7),2,1)="、"),REPLACEB(TRIM($A7),1,6,""),TRIM($A7)),往来交易抵销!$J$5:$J$65536)</f>
        <v>0</v>
      </c>
      <c r="G7" s="829">
        <f>SUMIF('合并报表调整 '!$F$5:$F$65536,IF(OR(MID(TRIM($A7),3,1)="：",MID(TRIM($A7),2,1)="、"),REPLACEB(TRIM($A7),1,6,""),TRIM($A7)),'合并报表调整 '!$J$5:$J$65536)</f>
        <v>0</v>
      </c>
      <c r="H7" s="829">
        <f>SUMIF('合并报表调整 '!$I$5:$I$65536,IF(OR(MID(TRIM($A7),3,1)="：",MID(TRIM($A7),2,1)="、"),REPLACEB(TRIM($A7),1,6,""),TRIM($A7)),'合并报表调整 '!$J$5:$J$65536)</f>
        <v>0</v>
      </c>
      <c r="I7" s="829">
        <f>B7-E7-G7+F7+H7-C7+D7</f>
        <v>0</v>
      </c>
      <c r="J7" s="829"/>
      <c r="K7" s="839">
        <f t="shared" si="0"/>
        <v>0</v>
      </c>
    </row>
    <row r="8" spans="1:15" ht="15" customHeight="1">
      <c r="A8" s="105" t="str">
        <f>报表格式!L7</f>
        <v xml:space="preserve">              利息收入</v>
      </c>
      <c r="B8" s="247">
        <f>合并PL汇总!B8</f>
        <v>0</v>
      </c>
      <c r="C8" s="829">
        <f>SUMIF(权益抵销!$F$5:$F$65537,IF(OR(MID(TRIM($A8),3,1)="：",MID(TRIM($A8),2,1)="、"),REPLACEB(TRIM($A8),1,6,""),TRIM($A8)),权益抵销!$J$5:$J$65537)</f>
        <v>0</v>
      </c>
      <c r="D8" s="829">
        <f>SUMIF(权益抵销!$I$5:$I$65537,IF(OR(MID(TRIM($A8),3,1)="：",MID(TRIM($A8),2,1)="、"),REPLACEB(TRIM($A8),1,6,""),TRIM($A8)),权益抵销!$J$5:$J$65537)</f>
        <v>0</v>
      </c>
      <c r="E8" s="829">
        <f>SUMIF(往来交易抵销!$F$5:$F$65536,IF(OR(MID(TRIM($A8),3,1)="：",MID(TRIM($A8),2,1)="、"),REPLACEB(TRIM($A8),1,6,""),TRIM($A8)),往来交易抵销!$J$5:$J$65536)</f>
        <v>0</v>
      </c>
      <c r="F8" s="829">
        <f>SUMIF(往来交易抵销!$I$5:$I$65536,IF(OR(MID(TRIM($A8),3,1)="：",MID(TRIM($A8),2,1)="、"),REPLACEB(TRIM($A8),1,6,""),TRIM($A8)),往来交易抵销!$J$5:$J$65536)</f>
        <v>0</v>
      </c>
      <c r="G8" s="829">
        <f>SUMIF('合并报表调整 '!$F$5:$F$65536,IF(OR(MID(TRIM($A8),3,1)="：",MID(TRIM($A8),2,1)="、"),REPLACEB(TRIM($A8),1,6,""),TRIM($A8)),'合并报表调整 '!$J$5:$J$65536)</f>
        <v>0</v>
      </c>
      <c r="H8" s="829">
        <f>SUMIF('合并报表调整 '!$I$5:$I$65536,IF(OR(MID(TRIM($A8),3,1)="：",MID(TRIM($A8),2,1)="、"),REPLACEB(TRIM($A8),1,6,""),TRIM($A8)),'合并报表调整 '!$J$5:$J$65536)</f>
        <v>0</v>
      </c>
      <c r="I8" s="829">
        <f t="shared" ref="I8:I10" si="1">B8-E8-G8+F8+H8-C8+D8</f>
        <v>0</v>
      </c>
      <c r="J8" s="829"/>
      <c r="K8" s="839">
        <f t="shared" ref="K8:K10" si="2">SUM(I8:J8)</f>
        <v>0</v>
      </c>
    </row>
    <row r="9" spans="1:15" ht="15" customHeight="1">
      <c r="A9" s="105" t="str">
        <f>报表格式!L8</f>
        <v xml:space="preserve">              已赚保费</v>
      </c>
      <c r="B9" s="247">
        <f>合并PL汇总!B9</f>
        <v>0</v>
      </c>
      <c r="C9" s="829">
        <f>SUMIF(权益抵销!$F$5:$F$65537,IF(OR(MID(TRIM($A9),3,1)="：",MID(TRIM($A9),2,1)="、"),REPLACEB(TRIM($A9),1,6,""),TRIM($A9)),权益抵销!$J$5:$J$65537)</f>
        <v>0</v>
      </c>
      <c r="D9" s="829">
        <f>SUMIF(权益抵销!$I$5:$I$65537,IF(OR(MID(TRIM($A9),3,1)="：",MID(TRIM($A9),2,1)="、"),REPLACEB(TRIM($A9),1,6,""),TRIM($A9)),权益抵销!$J$5:$J$65537)</f>
        <v>0</v>
      </c>
      <c r="E9" s="829">
        <f>SUMIF(往来交易抵销!$F$5:$F$65536,IF(OR(MID(TRIM($A9),3,1)="：",MID(TRIM($A9),2,1)="、"),REPLACEB(TRIM($A9),1,6,""),TRIM($A9)),往来交易抵销!$J$5:$J$65536)</f>
        <v>0</v>
      </c>
      <c r="F9" s="829">
        <f>SUMIF(往来交易抵销!$I$5:$I$65536,IF(OR(MID(TRIM($A9),3,1)="：",MID(TRIM($A9),2,1)="、"),REPLACEB(TRIM($A9),1,6,""),TRIM($A9)),往来交易抵销!$J$5:$J$65536)</f>
        <v>0</v>
      </c>
      <c r="G9" s="829">
        <f>SUMIF('合并报表调整 '!$F$5:$F$65536,IF(OR(MID(TRIM($A9),3,1)="：",MID(TRIM($A9),2,1)="、"),REPLACEB(TRIM($A9),1,6,""),TRIM($A9)),'合并报表调整 '!$J$5:$J$65536)</f>
        <v>0</v>
      </c>
      <c r="H9" s="829">
        <f>SUMIF('合并报表调整 '!$I$5:$I$65536,IF(OR(MID(TRIM($A9),3,1)="：",MID(TRIM($A9),2,1)="、"),REPLACEB(TRIM($A9),1,6,""),TRIM($A9)),'合并报表调整 '!$J$5:$J$65536)</f>
        <v>0</v>
      </c>
      <c r="I9" s="829">
        <f t="shared" si="1"/>
        <v>0</v>
      </c>
      <c r="J9" s="829"/>
      <c r="K9" s="839">
        <f t="shared" si="2"/>
        <v>0</v>
      </c>
    </row>
    <row r="10" spans="1:15" ht="15" customHeight="1">
      <c r="A10" s="105" t="str">
        <f>报表格式!L9</f>
        <v xml:space="preserve">              手续费及佣金收入</v>
      </c>
      <c r="B10" s="247">
        <f>合并PL汇总!B10</f>
        <v>0</v>
      </c>
      <c r="C10" s="829">
        <f>SUMIF(权益抵销!$F$5:$F$65537,IF(OR(MID(TRIM($A10),3,1)="：",MID(TRIM($A10),2,1)="、"),REPLACEB(TRIM($A10),1,6,""),TRIM($A10)),权益抵销!$J$5:$J$65537)</f>
        <v>0</v>
      </c>
      <c r="D10" s="829">
        <f>SUMIF(权益抵销!$I$5:$I$65537,IF(OR(MID(TRIM($A10),3,1)="：",MID(TRIM($A10),2,1)="、"),REPLACEB(TRIM($A10),1,6,""),TRIM($A10)),权益抵销!$J$5:$J$65537)</f>
        <v>0</v>
      </c>
      <c r="E10" s="829">
        <f>SUMIF(往来交易抵销!$F$5:$F$65536,IF(OR(MID(TRIM($A10),3,1)="：",MID(TRIM($A10),2,1)="、"),REPLACEB(TRIM($A10),1,6,""),TRIM($A10)),往来交易抵销!$J$5:$J$65536)</f>
        <v>0</v>
      </c>
      <c r="F10" s="829">
        <f>SUMIF(往来交易抵销!$I$5:$I$65536,IF(OR(MID(TRIM($A10),3,1)="：",MID(TRIM($A10),2,1)="、"),REPLACEB(TRIM($A10),1,6,""),TRIM($A10)),往来交易抵销!$J$5:$J$65536)</f>
        <v>0</v>
      </c>
      <c r="G10" s="829">
        <f>SUMIF('合并报表调整 '!$F$5:$F$65536,IF(OR(MID(TRIM($A10),3,1)="：",MID(TRIM($A10),2,1)="、"),REPLACEB(TRIM($A10),1,6,""),TRIM($A10)),'合并报表调整 '!$J$5:$J$65536)</f>
        <v>0</v>
      </c>
      <c r="H10" s="829">
        <f>SUMIF('合并报表调整 '!$I$5:$I$65536,IF(OR(MID(TRIM($A10),3,1)="：",MID(TRIM($A10),2,1)="、"),REPLACEB(TRIM($A10),1,6,""),TRIM($A10)),'合并报表调整 '!$J$5:$J$65536)</f>
        <v>0</v>
      </c>
      <c r="I10" s="829">
        <f t="shared" si="1"/>
        <v>0</v>
      </c>
      <c r="J10" s="829"/>
      <c r="K10" s="839">
        <f t="shared" si="2"/>
        <v>0</v>
      </c>
    </row>
    <row r="11" spans="1:15" ht="15" customHeight="1">
      <c r="A11" s="105" t="str">
        <f>报表格式!L10</f>
        <v xml:space="preserve">              其他业务收入</v>
      </c>
      <c r="B11" s="247">
        <f>合并PL汇总!B11</f>
        <v>0</v>
      </c>
      <c r="C11" s="829">
        <f>SUMIF(权益抵销!$F$5:$F$65537,IF(OR(MID(TRIM($A11),3,1)="：",MID(TRIM($A11),2,1)="、"),REPLACEB(TRIM($A11),1,6,""),TRIM($A11)),权益抵销!$J$5:$J$65537)</f>
        <v>0</v>
      </c>
      <c r="D11" s="829">
        <f>SUMIF(权益抵销!$I$5:$I$65537,IF(OR(MID(TRIM($A11),3,1)="：",MID(TRIM($A11),2,1)="、"),REPLACEB(TRIM($A11),1,6,""),TRIM($A11)),权益抵销!$J$5:$J$65537)</f>
        <v>0</v>
      </c>
      <c r="E11" s="829">
        <f>SUMIF(往来交易抵销!$F$5:$F$65536,IF(OR(MID(TRIM($A11),3,1)="：",MID(TRIM($A11),2,1)="、"),REPLACEB(TRIM($A11),1,6,""),TRIM($A11)),往来交易抵销!$J$5:$J$65536)</f>
        <v>0</v>
      </c>
      <c r="F11" s="829">
        <f>SUMIF(往来交易抵销!$I$5:$I$65536,IF(OR(MID(TRIM($A11),3,1)="：",MID(TRIM($A11),2,1)="、"),REPLACEB(TRIM($A11),1,6,""),TRIM($A11)),往来交易抵销!$J$5:$J$65536)</f>
        <v>0</v>
      </c>
      <c r="G11" s="829">
        <f>SUMIF('合并报表调整 '!$F$5:$F$65536,IF(OR(MID(TRIM($A11),3,1)="：",MID(TRIM($A11),2,1)="、"),REPLACEB(TRIM($A11),1,6,""),TRIM($A11)),'合并报表调整 '!$J$5:$J$65536)</f>
        <v>0</v>
      </c>
      <c r="H11" s="829">
        <f>SUMIF('合并报表调整 '!$I$5:$I$65536,IF(OR(MID(TRIM($A11),3,1)="：",MID(TRIM($A11),2,1)="、"),REPLACEB(TRIM($A11),1,6,""),TRIM($A11)),'合并报表调整 '!$J$5:$J$65536)</f>
        <v>0</v>
      </c>
      <c r="I11" s="829">
        <f>B11-E11-G11+F11+H11-C11+D11</f>
        <v>0</v>
      </c>
      <c r="J11" s="829"/>
      <c r="K11" s="839">
        <f t="shared" si="0"/>
        <v>0</v>
      </c>
    </row>
    <row r="12" spans="1:15" ht="15" customHeight="1">
      <c r="A12" s="105" t="str">
        <f>报表格式!L11</f>
        <v xml:space="preserve">    减：营业成本</v>
      </c>
      <c r="B12" s="247">
        <f>合并PL汇总!B12</f>
        <v>0</v>
      </c>
      <c r="C12" s="829">
        <f>SUMIF(权益抵销!$E$5:$E$65537,IF(OR(MID(TRIM($A12),2,1)="：",MID(TRIM($A12),2,1)="、"),REPLACEB(TRIM($A12),1,4,""),TRIM($A12)),权益抵销!$J$5:$J$65537)</f>
        <v>0</v>
      </c>
      <c r="D12" s="829">
        <f>SUMIF(权益抵销!$H$5:$H$65537,IF(OR(MID(TRIM($A12),2,1)="：",MID(TRIM($A12),2,1)="、"),REPLACEB(TRIM($A12),1,4,""),TRIM($A12)),权益抵销!$J$5:$J$65537)</f>
        <v>0</v>
      </c>
      <c r="E12" s="829">
        <f>SUMIF(往来交易抵销!$E$5:$E$65536,IF(OR(MID(TRIM($A12),2,1)="：",MID(TRIM($A12),2,1)="、"),REPLACEB(TRIM($A12),1,4,""),TRIM($A12)),往来交易抵销!$J$5:$J$65536)</f>
        <v>0</v>
      </c>
      <c r="F12" s="829">
        <f>SUMIF(往来交易抵销!$H$5:$H$65536,IF(OR(MID(TRIM($A12),2,1)="：",MID(TRIM($A12),2,1)="、"),REPLACEB(TRIM($A12),1,4,""),TRIM($A12)),往来交易抵销!$J$5:$J$65536)</f>
        <v>0</v>
      </c>
      <c r="G12" s="829">
        <f>SUMIF('合并报表调整 '!$E$5:$E$65536,IF(OR(MID(TRIM($A12),2,1)="：",MID(TRIM($A12),2,1)="、"),REPLACEB(TRIM($A12),1,4,""),TRIM($A12)),'合并报表调整 '!$J$5:$J$65536)</f>
        <v>0</v>
      </c>
      <c r="H12" s="829">
        <f>SUMIF('合并报表调整 '!$H$5:$H$65536,IF(OR(MID(TRIM($A12),2,1)="：",MID(TRIM($A12),2,1)="、"),REPLACEB(TRIM($A12),1,4,""),TRIM($A12)),'合并报表调整 '!$J$5:$J$65536)</f>
        <v>0</v>
      </c>
      <c r="I12" s="829">
        <f t="shared" ref="I12:I27" si="3">B12+E12+G12-F12-H12+C12-D12</f>
        <v>0</v>
      </c>
      <c r="J12" s="829"/>
      <c r="K12" s="839">
        <f t="shared" si="0"/>
        <v>0</v>
      </c>
    </row>
    <row r="13" spans="1:15" ht="15" customHeight="1">
      <c r="A13" s="105" t="str">
        <f>报表格式!L12</f>
        <v xml:space="preserve">        其中：主营业务成本</v>
      </c>
      <c r="B13" s="247">
        <f>合并PL汇总!B13</f>
        <v>0</v>
      </c>
      <c r="C13" s="829">
        <f>SUMIF(权益抵销!$F$5:$F$65537,IF(OR(MID(TRIM($A13),3,1)="：",MID(TRIM($A13),2,1)="、"),REPLACEB(TRIM($A13),1,6,""),TRIM($A13)),权益抵销!$J$5:$J$65537)</f>
        <v>0</v>
      </c>
      <c r="D13" s="829">
        <f>SUMIF(权益抵销!$I$5:$I$65537,IF(OR(MID(TRIM($A13),3,1)="：",MID(TRIM($A13),2,1)="、"),REPLACEB(TRIM($A13),1,6,""),TRIM($A13)),权益抵销!$J$5:$J$65537)</f>
        <v>0</v>
      </c>
      <c r="E13" s="829">
        <f>SUMIF(往来交易抵销!$F$5:$F$65536,IF(OR(MID(TRIM($A13),3,1)="：",MID(TRIM($A13),2,1)="、"),REPLACEB(TRIM($A13),1,6,""),TRIM($A13)),往来交易抵销!$J$5:$J$65536)</f>
        <v>0</v>
      </c>
      <c r="F13" s="829">
        <f>SUMIF(往来交易抵销!$I$5:$I$65536,IF(OR(MID(TRIM($A13),3,1)="：",MID(TRIM($A13),2,1)="、"),REPLACEB(TRIM($A13),1,6,""),TRIM($A13)),往来交易抵销!$J$5:$J$65536)</f>
        <v>0</v>
      </c>
      <c r="G13" s="829">
        <f>SUMIF('合并报表调整 '!$F$5:$F$65536,IF(OR(MID(TRIM($A13),3,1)="：",MID(TRIM($A13),2,1)="、"),REPLACEB(TRIM($A13),1,6,""),TRIM($A13)),'合并报表调整 '!$J$5:$J$65536)</f>
        <v>0</v>
      </c>
      <c r="H13" s="829">
        <f>SUMIF('合并报表调整 '!$I$5:$I$65536,IF(OR(MID(TRIM($A13),3,1)="：",MID(TRIM($A13),2,1)="、"),REPLACEB(TRIM($A13),1,6,""),TRIM($A13)),'合并报表调整 '!$J$5:$J$65536)</f>
        <v>0</v>
      </c>
      <c r="I13" s="829">
        <f t="shared" si="3"/>
        <v>0</v>
      </c>
      <c r="J13" s="840"/>
      <c r="K13" s="839">
        <f t="shared" si="0"/>
        <v>0</v>
      </c>
    </row>
    <row r="14" spans="1:15" ht="15" customHeight="1">
      <c r="A14" s="105" t="str">
        <f>报表格式!L13</f>
        <v xml:space="preserve">              利息支出</v>
      </c>
      <c r="B14" s="247">
        <f>合并PL汇总!B14</f>
        <v>0</v>
      </c>
      <c r="C14" s="829">
        <f>SUMIF(权益抵销!$F$5:$F$65537,IF(OR(MID(TRIM($A14),3,1)="：",MID(TRIM($A14),2,1)="、"),REPLACEB(TRIM($A14),1,6,""),TRIM($A14)),权益抵销!$J$5:$J$65537)</f>
        <v>0</v>
      </c>
      <c r="D14" s="829">
        <f>SUMIF(权益抵销!$I$5:$I$65537,IF(OR(MID(TRIM($A14),3,1)="：",MID(TRIM($A14),2,1)="、"),REPLACEB(TRIM($A14),1,6,""),TRIM($A14)),权益抵销!$J$5:$J$65537)</f>
        <v>0</v>
      </c>
      <c r="E14" s="829">
        <f>SUMIF(往来交易抵销!$F$5:$F$65536,IF(OR(MID(TRIM($A14),3,1)="：",MID(TRIM($A14),2,1)="、"),REPLACEB(TRIM($A14),1,6,""),TRIM($A14)),往来交易抵销!$J$5:$J$65536)</f>
        <v>0</v>
      </c>
      <c r="F14" s="829">
        <f>SUMIF(往来交易抵销!$I$5:$I$65536,IF(OR(MID(TRIM($A14),3,1)="：",MID(TRIM($A14),2,1)="、"),REPLACEB(TRIM($A14),1,6,""),TRIM($A14)),往来交易抵销!$J$5:$J$65536)</f>
        <v>0</v>
      </c>
      <c r="G14" s="829">
        <f>SUMIF('合并报表调整 '!$F$5:$F$65536,IF(OR(MID(TRIM($A14),3,1)="：",MID(TRIM($A14),2,1)="、"),REPLACEB(TRIM($A14),1,6,""),TRIM($A14)),'合并报表调整 '!$J$5:$J$65536)</f>
        <v>0</v>
      </c>
      <c r="H14" s="829">
        <f>SUMIF('合并报表调整 '!$I$5:$I$65536,IF(OR(MID(TRIM($A14),3,1)="：",MID(TRIM($A14),2,1)="、"),REPLACEB(TRIM($A14),1,6,""),TRIM($A14)),'合并报表调整 '!$J$5:$J$65536)</f>
        <v>0</v>
      </c>
      <c r="I14" s="829">
        <f t="shared" ref="I14:I20" si="4">B14+E14+G14-F14-H14+C14-D14</f>
        <v>0</v>
      </c>
      <c r="J14" s="814"/>
      <c r="K14" s="839">
        <f t="shared" ref="K14:K20" si="5">SUM(I14:J14)</f>
        <v>0</v>
      </c>
    </row>
    <row r="15" spans="1:15" ht="15" customHeight="1">
      <c r="A15" s="105" t="str">
        <f>报表格式!L14</f>
        <v xml:space="preserve">              手续费及佣金支出</v>
      </c>
      <c r="B15" s="247">
        <f>合并PL汇总!B15</f>
        <v>0</v>
      </c>
      <c r="C15" s="829">
        <f>SUMIF(权益抵销!$F$5:$F$65537,IF(OR(MID(TRIM($A15),3,1)="：",MID(TRIM($A15),2,1)="、"),REPLACEB(TRIM($A15),1,6,""),TRIM($A15)),权益抵销!$J$5:$J$65537)</f>
        <v>0</v>
      </c>
      <c r="D15" s="829">
        <f>SUMIF(权益抵销!$I$5:$I$65537,IF(OR(MID(TRIM($A15),3,1)="：",MID(TRIM($A15),2,1)="、"),REPLACEB(TRIM($A15),1,6,""),TRIM($A15)),权益抵销!$J$5:$J$65537)</f>
        <v>0</v>
      </c>
      <c r="E15" s="829">
        <f>SUMIF(往来交易抵销!$F$5:$F$65536,IF(OR(MID(TRIM($A15),3,1)="：",MID(TRIM($A15),2,1)="、"),REPLACEB(TRIM($A15),1,6,""),TRIM($A15)),往来交易抵销!$J$5:$J$65536)</f>
        <v>0</v>
      </c>
      <c r="F15" s="829">
        <f>SUMIF(往来交易抵销!$I$5:$I$65536,IF(OR(MID(TRIM($A15),3,1)="：",MID(TRIM($A15),2,1)="、"),REPLACEB(TRIM($A15),1,6,""),TRIM($A15)),往来交易抵销!$J$5:$J$65536)</f>
        <v>0</v>
      </c>
      <c r="G15" s="829">
        <f>SUMIF('合并报表调整 '!$F$5:$F$65536,IF(OR(MID(TRIM($A15),3,1)="：",MID(TRIM($A15),2,1)="、"),REPLACEB(TRIM($A15),1,6,""),TRIM($A15)),'合并报表调整 '!$J$5:$J$65536)</f>
        <v>0</v>
      </c>
      <c r="H15" s="829">
        <f>SUMIF('合并报表调整 '!$I$5:$I$65536,IF(OR(MID(TRIM($A15),3,1)="：",MID(TRIM($A15),2,1)="、"),REPLACEB(TRIM($A15),1,6,""),TRIM($A15)),'合并报表调整 '!$J$5:$J$65536)</f>
        <v>0</v>
      </c>
      <c r="I15" s="829">
        <f t="shared" si="4"/>
        <v>0</v>
      </c>
      <c r="J15" s="814"/>
      <c r="K15" s="839">
        <f t="shared" si="5"/>
        <v>0</v>
      </c>
    </row>
    <row r="16" spans="1:15" ht="15" customHeight="1">
      <c r="A16" s="105" t="str">
        <f>报表格式!L15</f>
        <v xml:space="preserve">              退保金</v>
      </c>
      <c r="B16" s="247">
        <f>合并PL汇总!B16</f>
        <v>0</v>
      </c>
      <c r="C16" s="829">
        <f>SUMIF(权益抵销!$F$5:$F$65537,IF(OR(MID(TRIM($A16),3,1)="：",MID(TRIM($A16),2,1)="、"),REPLACEB(TRIM($A16),1,6,""),TRIM($A16)),权益抵销!$J$5:$J$65537)</f>
        <v>0</v>
      </c>
      <c r="D16" s="829">
        <f>SUMIF(权益抵销!$I$5:$I$65537,IF(OR(MID(TRIM($A16),3,1)="：",MID(TRIM($A16),2,1)="、"),REPLACEB(TRIM($A16),1,6,""),TRIM($A16)),权益抵销!$J$5:$J$65537)</f>
        <v>0</v>
      </c>
      <c r="E16" s="829">
        <f>SUMIF(往来交易抵销!$F$5:$F$65536,IF(OR(MID(TRIM($A16),3,1)="：",MID(TRIM($A16),2,1)="、"),REPLACEB(TRIM($A16),1,6,""),TRIM($A16)),往来交易抵销!$J$5:$J$65536)</f>
        <v>0</v>
      </c>
      <c r="F16" s="829">
        <f>SUMIF(往来交易抵销!$I$5:$I$65536,IF(OR(MID(TRIM($A16),3,1)="：",MID(TRIM($A16),2,1)="、"),REPLACEB(TRIM($A16),1,6,""),TRIM($A16)),往来交易抵销!$J$5:$J$65536)</f>
        <v>0</v>
      </c>
      <c r="G16" s="829">
        <f>SUMIF('合并报表调整 '!$F$5:$F$65536,IF(OR(MID(TRIM($A16),3,1)="：",MID(TRIM($A16),2,1)="、"),REPLACEB(TRIM($A16),1,6,""),TRIM($A16)),'合并报表调整 '!$J$5:$J$65536)</f>
        <v>0</v>
      </c>
      <c r="H16" s="829">
        <f>SUMIF('合并报表调整 '!$I$5:$I$65536,IF(OR(MID(TRIM($A16),3,1)="：",MID(TRIM($A16),2,1)="、"),REPLACEB(TRIM($A16),1,6,""),TRIM($A16)),'合并报表调整 '!$J$5:$J$65536)</f>
        <v>0</v>
      </c>
      <c r="I16" s="829">
        <f t="shared" si="4"/>
        <v>0</v>
      </c>
      <c r="J16" s="814"/>
      <c r="K16" s="839">
        <f t="shared" si="5"/>
        <v>0</v>
      </c>
    </row>
    <row r="17" spans="1:11" ht="15" customHeight="1">
      <c r="A17" s="105" t="str">
        <f>报表格式!L16</f>
        <v xml:space="preserve">              赔付支出净额</v>
      </c>
      <c r="B17" s="247">
        <f>合并PL汇总!B17</f>
        <v>0</v>
      </c>
      <c r="C17" s="829">
        <f>SUMIF(权益抵销!$F$5:$F$65537,IF(OR(MID(TRIM($A17),3,1)="：",MID(TRIM($A17),2,1)="、"),REPLACEB(TRIM($A17),1,6,""),TRIM($A17)),权益抵销!$J$5:$J$65537)</f>
        <v>0</v>
      </c>
      <c r="D17" s="829">
        <f>SUMIF(权益抵销!$I$5:$I$65537,IF(OR(MID(TRIM($A17),3,1)="：",MID(TRIM($A17),2,1)="、"),REPLACEB(TRIM($A17),1,6,""),TRIM($A17)),权益抵销!$J$5:$J$65537)</f>
        <v>0</v>
      </c>
      <c r="E17" s="829">
        <f>SUMIF(往来交易抵销!$F$5:$F$65536,IF(OR(MID(TRIM($A17),3,1)="：",MID(TRIM($A17),2,1)="、"),REPLACEB(TRIM($A17),1,6,""),TRIM($A17)),往来交易抵销!$J$5:$J$65536)</f>
        <v>0</v>
      </c>
      <c r="F17" s="829">
        <f>SUMIF(往来交易抵销!$I$5:$I$65536,IF(OR(MID(TRIM($A17),3,1)="：",MID(TRIM($A17),2,1)="、"),REPLACEB(TRIM($A17),1,6,""),TRIM($A17)),往来交易抵销!$J$5:$J$65536)</f>
        <v>0</v>
      </c>
      <c r="G17" s="829">
        <f>SUMIF('合并报表调整 '!$F$5:$F$65536,IF(OR(MID(TRIM($A17),3,1)="：",MID(TRIM($A17),2,1)="、"),REPLACEB(TRIM($A17),1,6,""),TRIM($A17)),'合并报表调整 '!$J$5:$J$65536)</f>
        <v>0</v>
      </c>
      <c r="H17" s="829">
        <f>SUMIF('合并报表调整 '!$I$5:$I$65536,IF(OR(MID(TRIM($A17),3,1)="：",MID(TRIM($A17),2,1)="、"),REPLACEB(TRIM($A17),1,6,""),TRIM($A17)),'合并报表调整 '!$J$5:$J$65536)</f>
        <v>0</v>
      </c>
      <c r="I17" s="829">
        <f t="shared" si="4"/>
        <v>0</v>
      </c>
      <c r="J17" s="814"/>
      <c r="K17" s="839">
        <f t="shared" si="5"/>
        <v>0</v>
      </c>
    </row>
    <row r="18" spans="1:11" ht="15" customHeight="1">
      <c r="A18" s="105" t="str">
        <f>报表格式!L17</f>
        <v xml:space="preserve">              提取保险合同准备金净额</v>
      </c>
      <c r="B18" s="247">
        <f>合并PL汇总!B18</f>
        <v>0</v>
      </c>
      <c r="C18" s="829">
        <f>SUMIF(权益抵销!$F$5:$F$65537,IF(OR(MID(TRIM($A18),3,1)="：",MID(TRIM($A18),2,1)="、"),REPLACEB(TRIM($A18),1,6,""),TRIM($A18)),权益抵销!$J$5:$J$65537)</f>
        <v>0</v>
      </c>
      <c r="D18" s="829">
        <f>SUMIF(权益抵销!$I$5:$I$65537,IF(OR(MID(TRIM($A18),3,1)="：",MID(TRIM($A18),2,1)="、"),REPLACEB(TRIM($A18),1,6,""),TRIM($A18)),权益抵销!$J$5:$J$65537)</f>
        <v>0</v>
      </c>
      <c r="E18" s="829">
        <f>SUMIF(往来交易抵销!$F$5:$F$65536,IF(OR(MID(TRIM($A18),3,1)="：",MID(TRIM($A18),2,1)="、"),REPLACEB(TRIM($A18),1,6,""),TRIM($A18)),往来交易抵销!$J$5:$J$65536)</f>
        <v>0</v>
      </c>
      <c r="F18" s="829">
        <f>SUMIF(往来交易抵销!$I$5:$I$65536,IF(OR(MID(TRIM($A18),3,1)="：",MID(TRIM($A18),2,1)="、"),REPLACEB(TRIM($A18),1,6,""),TRIM($A18)),往来交易抵销!$J$5:$J$65536)</f>
        <v>0</v>
      </c>
      <c r="G18" s="829">
        <f>SUMIF('合并报表调整 '!$F$5:$F$65536,IF(OR(MID(TRIM($A18),3,1)="：",MID(TRIM($A18),2,1)="、"),REPLACEB(TRIM($A18),1,6,""),TRIM($A18)),'合并报表调整 '!$J$5:$J$65536)</f>
        <v>0</v>
      </c>
      <c r="H18" s="829">
        <f>SUMIF('合并报表调整 '!$I$5:$I$65536,IF(OR(MID(TRIM($A18),3,1)="：",MID(TRIM($A18),2,1)="、"),REPLACEB(TRIM($A18),1,6,""),TRIM($A18)),'合并报表调整 '!$J$5:$J$65536)</f>
        <v>0</v>
      </c>
      <c r="I18" s="829">
        <f t="shared" si="4"/>
        <v>0</v>
      </c>
      <c r="J18" s="814"/>
      <c r="K18" s="839">
        <f t="shared" si="5"/>
        <v>0</v>
      </c>
    </row>
    <row r="19" spans="1:11" ht="15" customHeight="1">
      <c r="A19" s="105" t="str">
        <f>报表格式!L18</f>
        <v xml:space="preserve">              保单红利支出</v>
      </c>
      <c r="B19" s="247">
        <f>合并PL汇总!B19</f>
        <v>0</v>
      </c>
      <c r="C19" s="829">
        <f>SUMIF(权益抵销!$F$5:$F$65537,IF(OR(MID(TRIM($A19),3,1)="：",MID(TRIM($A19),2,1)="、"),REPLACEB(TRIM($A19),1,6,""),TRIM($A19)),权益抵销!$J$5:$J$65537)</f>
        <v>0</v>
      </c>
      <c r="D19" s="829">
        <f>SUMIF(权益抵销!$I$5:$I$65537,IF(OR(MID(TRIM($A19),3,1)="：",MID(TRIM($A19),2,1)="、"),REPLACEB(TRIM($A19),1,6,""),TRIM($A19)),权益抵销!$J$5:$J$65537)</f>
        <v>0</v>
      </c>
      <c r="E19" s="829">
        <f>SUMIF(往来交易抵销!$F$5:$F$65536,IF(OR(MID(TRIM($A19),3,1)="：",MID(TRIM($A19),2,1)="、"),REPLACEB(TRIM($A19),1,6,""),TRIM($A19)),往来交易抵销!$J$5:$J$65536)</f>
        <v>0</v>
      </c>
      <c r="F19" s="829">
        <f>SUMIF(往来交易抵销!$I$5:$I$65536,IF(OR(MID(TRIM($A19),3,1)="：",MID(TRIM($A19),2,1)="、"),REPLACEB(TRIM($A19),1,6,""),TRIM($A19)),往来交易抵销!$J$5:$J$65536)</f>
        <v>0</v>
      </c>
      <c r="G19" s="829">
        <f>SUMIF('合并报表调整 '!$F$5:$F$65536,IF(OR(MID(TRIM($A19),3,1)="：",MID(TRIM($A19),2,1)="、"),REPLACEB(TRIM($A19),1,6,""),TRIM($A19)),'合并报表调整 '!$J$5:$J$65536)</f>
        <v>0</v>
      </c>
      <c r="H19" s="829">
        <f>SUMIF('合并报表调整 '!$I$5:$I$65536,IF(OR(MID(TRIM($A19),3,1)="：",MID(TRIM($A19),2,1)="、"),REPLACEB(TRIM($A19),1,6,""),TRIM($A19)),'合并报表调整 '!$J$5:$J$65536)</f>
        <v>0</v>
      </c>
      <c r="I19" s="829">
        <f t="shared" si="4"/>
        <v>0</v>
      </c>
      <c r="J19" s="814"/>
      <c r="K19" s="839">
        <f t="shared" si="5"/>
        <v>0</v>
      </c>
    </row>
    <row r="20" spans="1:11" ht="15" customHeight="1">
      <c r="A20" s="105" t="str">
        <f>报表格式!L19</f>
        <v xml:space="preserve">              分保费用</v>
      </c>
      <c r="B20" s="247">
        <f>合并PL汇总!B20</f>
        <v>0</v>
      </c>
      <c r="C20" s="829">
        <f>SUMIF(权益抵销!$F$5:$F$65537,IF(OR(MID(TRIM($A20),3,1)="：",MID(TRIM($A20),2,1)="、"),REPLACEB(TRIM($A20),1,6,""),TRIM($A20)),权益抵销!$J$5:$J$65537)</f>
        <v>0</v>
      </c>
      <c r="D20" s="829">
        <f>SUMIF(权益抵销!$I$5:$I$65537,IF(OR(MID(TRIM($A20),3,1)="：",MID(TRIM($A20),2,1)="、"),REPLACEB(TRIM($A20),1,6,""),TRIM($A20)),权益抵销!$J$5:$J$65537)</f>
        <v>0</v>
      </c>
      <c r="E20" s="829">
        <f>SUMIF(往来交易抵销!$F$5:$F$65536,IF(OR(MID(TRIM($A20),3,1)="：",MID(TRIM($A20),2,1)="、"),REPLACEB(TRIM($A20),1,6,""),TRIM($A20)),往来交易抵销!$J$5:$J$65536)</f>
        <v>0</v>
      </c>
      <c r="F20" s="829">
        <f>SUMIF(往来交易抵销!$I$5:$I$65536,IF(OR(MID(TRIM($A20),3,1)="：",MID(TRIM($A20),2,1)="、"),REPLACEB(TRIM($A20),1,6,""),TRIM($A20)),往来交易抵销!$J$5:$J$65536)</f>
        <v>0</v>
      </c>
      <c r="G20" s="829">
        <f>SUMIF('合并报表调整 '!$F$5:$F$65536,IF(OR(MID(TRIM($A20),3,1)="：",MID(TRIM($A20),2,1)="、"),REPLACEB(TRIM($A20),1,6,""),TRIM($A20)),'合并报表调整 '!$J$5:$J$65536)</f>
        <v>0</v>
      </c>
      <c r="H20" s="829">
        <f>SUMIF('合并报表调整 '!$I$5:$I$65536,IF(OR(MID(TRIM($A20),3,1)="：",MID(TRIM($A20),2,1)="、"),REPLACEB(TRIM($A20),1,6,""),TRIM($A20)),'合并报表调整 '!$J$5:$J$65536)</f>
        <v>0</v>
      </c>
      <c r="I20" s="829">
        <f t="shared" si="4"/>
        <v>0</v>
      </c>
      <c r="J20" s="814"/>
      <c r="K20" s="839">
        <f t="shared" si="5"/>
        <v>0</v>
      </c>
    </row>
    <row r="21" spans="1:11" ht="15" customHeight="1">
      <c r="A21" s="105" t="str">
        <f>报表格式!L20</f>
        <v xml:space="preserve">              其他业务成本</v>
      </c>
      <c r="B21" s="247">
        <f>合并PL汇总!B21</f>
        <v>0</v>
      </c>
      <c r="C21" s="829">
        <f>SUMIF(权益抵销!$F$5:$F$65537,IF(OR(MID(TRIM($A21),3,1)="：",MID(TRIM($A21),2,1)="、"),REPLACEB(TRIM($A21),1,6,""),TRIM($A21)),权益抵销!$J$5:$J$65537)</f>
        <v>0</v>
      </c>
      <c r="D21" s="829">
        <f>SUMIF(权益抵销!$I$5:$I$65537,IF(OR(MID(TRIM($A21),3,1)="：",MID(TRIM($A21),2,1)="、"),REPLACEB(TRIM($A21),1,6,""),TRIM($A21)),权益抵销!$J$5:$J$65537)</f>
        <v>0</v>
      </c>
      <c r="E21" s="829">
        <f>SUMIF(往来交易抵销!$F$5:$F$65536,IF(OR(MID(TRIM($A21),3,1)="：",MID(TRIM($A21),2,1)="、"),REPLACEB(TRIM($A21),1,6,""),TRIM($A21)),往来交易抵销!$J$5:$J$65536)</f>
        <v>0</v>
      </c>
      <c r="F21" s="829">
        <f>SUMIF(往来交易抵销!$I$5:$I$65536,IF(OR(MID(TRIM($A21),3,1)="：",MID(TRIM($A21),2,1)="、"),REPLACEB(TRIM($A21),1,6,""),TRIM($A21)),往来交易抵销!$J$5:$J$65536)</f>
        <v>0</v>
      </c>
      <c r="G21" s="829">
        <f>SUMIF('合并报表调整 '!$F$5:$F$65536,IF(OR(MID(TRIM($A21),3,1)="：",MID(TRIM($A21),2,1)="、"),REPLACEB(TRIM($A21),1,6,""),TRIM($A21)),'合并报表调整 '!$J$5:$J$65536)</f>
        <v>0</v>
      </c>
      <c r="H21" s="829">
        <f>SUMIF('合并报表调整 '!$I$5:$I$65536,IF(OR(MID(TRIM($A21),3,1)="：",MID(TRIM($A21),2,1)="、"),REPLACEB(TRIM($A21),1,6,""),TRIM($A21)),'合并报表调整 '!$J$5:$J$65536)</f>
        <v>0</v>
      </c>
      <c r="I21" s="829">
        <f t="shared" si="3"/>
        <v>0</v>
      </c>
      <c r="J21" s="814"/>
      <c r="K21" s="839">
        <f t="shared" si="0"/>
        <v>0</v>
      </c>
    </row>
    <row r="22" spans="1:11" ht="15" customHeight="1">
      <c r="A22" s="105" t="str">
        <f>报表格式!L21</f>
        <v xml:space="preserve">        税金及附加</v>
      </c>
      <c r="B22" s="247">
        <f>合并PL汇总!B22</f>
        <v>0</v>
      </c>
      <c r="C22" s="829">
        <f>SUMIF(权益抵销!$E$5:$E$65537,IF(OR(MID(TRIM($A22),2,1)="：",MID(TRIM($A22),2,1)="、"),REPLACEB(TRIM($A22),1,4,""),TRIM($A22)),权益抵销!$J$5:$J$65537)</f>
        <v>0</v>
      </c>
      <c r="D22" s="829">
        <f>SUMIF(权益抵销!$H$5:$H$65537,IF(OR(MID(TRIM($A22),2,1)="：",MID(TRIM($A22),2,1)="、"),REPLACEB(TRIM($A22),1,4,""),TRIM($A22)),权益抵销!$J$5:$J$65537)</f>
        <v>0</v>
      </c>
      <c r="E22" s="829">
        <f>SUMIF(往来交易抵销!$E$5:$E$65536,IF(OR(MID(TRIM($A22),2,1)="：",MID(TRIM($A22),2,1)="、"),REPLACEB(TRIM($A22),1,4,""),TRIM($A22)),往来交易抵销!$J$5:$J$65536)</f>
        <v>0</v>
      </c>
      <c r="F22" s="829">
        <f>SUMIF(往来交易抵销!$H$5:$H$65536,IF(OR(MID(TRIM($A22),2,1)="：",MID(TRIM($A22),2,1)="、"),REPLACEB(TRIM($A22),1,4,""),TRIM($A22)),往来交易抵销!$J$5:$J$65536)</f>
        <v>0</v>
      </c>
      <c r="G22" s="829">
        <f>SUMIF('合并报表调整 '!$E$5:$E$65536,IF(OR(MID(TRIM($A22),2,1)="：",MID(TRIM($A22),2,1)="、"),REPLACEB(TRIM($A22),1,4,""),TRIM($A22)),'合并报表调整 '!$J$5:$J$65536)</f>
        <v>0</v>
      </c>
      <c r="H22" s="829">
        <f>SUMIF('合并报表调整 '!$H$5:$H$65536,IF(OR(MID(TRIM($A22),2,1)="：",MID(TRIM($A22),2,1)="、"),REPLACEB(TRIM($A22),1,4,""),TRIM($A22)),'合并报表调整 '!$J$5:$J$65536)</f>
        <v>0</v>
      </c>
      <c r="I22" s="829">
        <f t="shared" si="3"/>
        <v>0</v>
      </c>
      <c r="J22" s="814"/>
      <c r="K22" s="841">
        <f t="shared" si="0"/>
        <v>0</v>
      </c>
    </row>
    <row r="23" spans="1:11" ht="15" customHeight="1">
      <c r="A23" s="105" t="str">
        <f>报表格式!L22</f>
        <v xml:space="preserve">        销售费用</v>
      </c>
      <c r="B23" s="247">
        <f>合并PL汇总!B23</f>
        <v>0</v>
      </c>
      <c r="C23" s="829">
        <f>SUMIF(权益抵销!$E$5:$E$65537,IF(OR(MID(TRIM($A23),2,1)="：",MID(TRIM($A23),2,1)="、"),REPLACEB(TRIM($A23),1,4,""),TRIM($A23)),权益抵销!$J$5:$J$65537)</f>
        <v>0</v>
      </c>
      <c r="D23" s="829">
        <f>SUMIF(权益抵销!$H$5:$H$65537,IF(OR(MID(TRIM($A23),2,1)="：",MID(TRIM($A23),2,1)="、"),REPLACEB(TRIM($A23),1,4,""),TRIM($A23)),权益抵销!$J$5:$J$65537)</f>
        <v>0</v>
      </c>
      <c r="E23" s="829">
        <f>SUMIF(往来交易抵销!$E$5:$E$65536,IF(OR(MID(TRIM($A23),2,1)="：",MID(TRIM($A23),2,1)="、"),REPLACEB(TRIM($A23),1,4,""),TRIM($A23)),往来交易抵销!$J$5:$J$65536)</f>
        <v>0</v>
      </c>
      <c r="F23" s="829">
        <f>SUMIF(往来交易抵销!$H$5:$H$65536,IF(OR(MID(TRIM($A23),2,1)="：",MID(TRIM($A23),2,1)="、"),REPLACEB(TRIM($A23),1,4,""),TRIM($A23)),往来交易抵销!$J$5:$J$65536)</f>
        <v>0</v>
      </c>
      <c r="G23" s="829">
        <f>SUMIF('合并报表调整 '!$E$5:$E$65536,IF(OR(MID(TRIM($A23),2,1)="：",MID(TRIM($A23),2,1)="、"),REPLACEB(TRIM($A23),1,4,""),TRIM($A23)),'合并报表调整 '!$J$5:$J$65536)</f>
        <v>0</v>
      </c>
      <c r="H23" s="829">
        <f>SUMIF('合并报表调整 '!$H$5:$H$65536,IF(OR(MID(TRIM($A23),2,1)="：",MID(TRIM($A23),2,1)="、"),REPLACEB(TRIM($A23),1,4,""),TRIM($A23)),'合并报表调整 '!$J$5:$J$65536)</f>
        <v>0</v>
      </c>
      <c r="I23" s="829">
        <f t="shared" si="3"/>
        <v>0</v>
      </c>
      <c r="J23" s="814"/>
      <c r="K23" s="841">
        <f t="shared" si="0"/>
        <v>0</v>
      </c>
    </row>
    <row r="24" spans="1:11" ht="15" customHeight="1">
      <c r="A24" s="105" t="str">
        <f>报表格式!L23</f>
        <v xml:space="preserve">        管理费用</v>
      </c>
      <c r="B24" s="247">
        <f>合并PL汇总!B24</f>
        <v>0</v>
      </c>
      <c r="C24" s="829">
        <f>SUMIF(权益抵销!$E$5:$E$65537,IF(OR(MID(TRIM($A24),2,1)="：",MID(TRIM($A24),2,1)="、"),REPLACEB(TRIM($A24),1,4,""),TRIM($A24)),权益抵销!$J$5:$J$65537)</f>
        <v>0</v>
      </c>
      <c r="D24" s="829">
        <f>SUMIF(权益抵销!$H$5:$H$65537,IF(OR(MID(TRIM($A24),2,1)="：",MID(TRIM($A24),2,1)="、"),REPLACEB(TRIM($A24),1,4,""),TRIM($A24)),权益抵销!$J$5:$J$65537)</f>
        <v>0</v>
      </c>
      <c r="E24" s="829">
        <f>SUMIF(往来交易抵销!$E$5:$E$65536,IF(OR(MID(TRIM($A24),2,1)="：",MID(TRIM($A24),2,1)="、"),REPLACEB(TRIM($A24),1,4,""),TRIM($A24)),往来交易抵销!$J$5:$J$65536)</f>
        <v>0</v>
      </c>
      <c r="F24" s="829">
        <f>SUMIF(往来交易抵销!$H$5:$H$65536,IF(OR(MID(TRIM($A24),2,1)="：",MID(TRIM($A24),2,1)="、"),REPLACEB(TRIM($A24),1,4,""),TRIM($A24)),往来交易抵销!$J$5:$J$65536)</f>
        <v>0</v>
      </c>
      <c r="G24" s="829">
        <f>SUMIF('合并报表调整 '!$E$5:$E$65536,IF(OR(MID(TRIM($A24),2,1)="：",MID(TRIM($A24),2,1)="、"),REPLACEB(TRIM($A24),1,4,""),TRIM($A24)),'合并报表调整 '!$J$5:$J$65536)</f>
        <v>0</v>
      </c>
      <c r="H24" s="829">
        <f>SUMIF('合并报表调整 '!$H$5:$H$65536,IF(OR(MID(TRIM($A24),2,1)="：",MID(TRIM($A24),2,1)="、"),REPLACEB(TRIM($A24),1,4,""),TRIM($A24)),'合并报表调整 '!$J$5:$J$65536)</f>
        <v>0</v>
      </c>
      <c r="I24" s="829">
        <f t="shared" si="3"/>
        <v>0</v>
      </c>
      <c r="J24" s="814"/>
      <c r="K24" s="841">
        <f t="shared" si="0"/>
        <v>0</v>
      </c>
    </row>
    <row r="25" spans="1:11" ht="15" customHeight="1">
      <c r="A25" s="105" t="str">
        <f>报表格式!L24</f>
        <v xml:space="preserve">        研发费用</v>
      </c>
      <c r="B25" s="247">
        <f>合并PL汇总!B25</f>
        <v>0</v>
      </c>
      <c r="C25" s="829">
        <f>SUMIF(权益抵销!$E$5:$E$65537,IF(OR(MID(TRIM($A25),2,1)="：",MID(TRIM($A25),2,1)="、"),REPLACEB(TRIM($A25),1,4,""),TRIM($A25)),权益抵销!$J$5:$J$65537)</f>
        <v>0</v>
      </c>
      <c r="D25" s="829">
        <f>SUMIF(权益抵销!$H$5:$H$65537,IF(OR(MID(TRIM($A25),2,1)="：",MID(TRIM($A25),2,1)="、"),REPLACEB(TRIM($A25),1,4,""),TRIM($A25)),权益抵销!$J$5:$J$65537)</f>
        <v>0</v>
      </c>
      <c r="E25" s="829">
        <f>SUMIF(往来交易抵销!$E$5:$E$65536,IF(OR(MID(TRIM($A25),2,1)="：",MID(TRIM($A25),2,1)="、"),REPLACEB(TRIM($A25),1,4,""),TRIM($A25)),往来交易抵销!$J$5:$J$65536)</f>
        <v>0</v>
      </c>
      <c r="F25" s="829">
        <f>SUMIF(往来交易抵销!$H$5:$H$65536,IF(OR(MID(TRIM($A25),2,1)="：",MID(TRIM($A25),2,1)="、"),REPLACEB(TRIM($A25),1,4,""),TRIM($A25)),往来交易抵销!$J$5:$J$65536)</f>
        <v>0</v>
      </c>
      <c r="G25" s="829">
        <f>SUMIF('合并报表调整 '!$E$5:$E$65536,IF(OR(MID(TRIM($A25),2,1)="：",MID(TRIM($A25),2,1)="、"),REPLACEB(TRIM($A25),1,4,""),TRIM($A25)),'合并报表调整 '!$J$5:$J$65536)</f>
        <v>0</v>
      </c>
      <c r="H25" s="829">
        <f>SUMIF('合并报表调整 '!$H$5:$H$65536,IF(OR(MID(TRIM($A25),2,1)="：",MID(TRIM($A25),2,1)="、"),REPLACEB(TRIM($A25),1,4,""),TRIM($A25)),'合并报表调整 '!$J$5:$J$65536)</f>
        <v>0</v>
      </c>
      <c r="I25" s="814">
        <f t="shared" si="3"/>
        <v>0</v>
      </c>
      <c r="J25" s="814"/>
      <c r="K25" s="841">
        <f t="shared" si="0"/>
        <v>0</v>
      </c>
    </row>
    <row r="26" spans="1:11" ht="15" customHeight="1">
      <c r="A26" s="105" t="str">
        <f>报表格式!L25</f>
        <v xml:space="preserve">        财务费用</v>
      </c>
      <c r="B26" s="247">
        <f>合并PL汇总!B26</f>
        <v>0</v>
      </c>
      <c r="C26" s="829">
        <f>SUMIF(权益抵销!$E$5:$E$65537,IF(OR(MID(TRIM($A26),2,1)="：",MID(TRIM($A26),2,1)="、"),REPLACEB(TRIM($A26),1,4,""),TRIM($A26)),权益抵销!$J$5:$J$65537)</f>
        <v>0</v>
      </c>
      <c r="D26" s="829">
        <f>SUMIF(权益抵销!$H$5:$H$65537,IF(OR(MID(TRIM($A26),2,1)="：",MID(TRIM($A26),2,1)="、"),REPLACEB(TRIM($A26),1,4,""),TRIM($A26)),权益抵销!$J$5:$J$65537)</f>
        <v>0</v>
      </c>
      <c r="E26" s="829">
        <f>SUMIF(往来交易抵销!$E$5:$E$65536,IF(OR(MID(TRIM($A26),2,1)="：",MID(TRIM($A26),2,1)="、"),REPLACEB(TRIM($A26),1,4,""),TRIM($A26)),往来交易抵销!$J$5:$J$65536)</f>
        <v>0</v>
      </c>
      <c r="F26" s="829">
        <f>SUMIF(往来交易抵销!$H$5:$H$65536,IF(OR(MID(TRIM($A26),2,1)="：",MID(TRIM($A26),2,1)="、"),REPLACEB(TRIM($A26),1,4,""),TRIM($A26)),往来交易抵销!$J$5:$J$65536)</f>
        <v>0</v>
      </c>
      <c r="G26" s="829">
        <f>SUMIF('合并报表调整 '!$E$5:$E$65536,IF(OR(MID(TRIM($A26),2,1)="：",MID(TRIM($A26),2,1)="、"),REPLACEB(TRIM($A26),1,4,""),TRIM($A26)),'合并报表调整 '!$J$5:$J$65536)</f>
        <v>0</v>
      </c>
      <c r="H26" s="829">
        <f>SUMIF('合并报表调整 '!$H$5:$H$65536,IF(OR(MID(TRIM($A26),2,1)="：",MID(TRIM($A26),2,1)="、"),REPLACEB(TRIM($A26),1,4,""),TRIM($A26)),'合并报表调整 '!$J$5:$J$65536)</f>
        <v>0</v>
      </c>
      <c r="I26" s="829">
        <f t="shared" si="3"/>
        <v>0</v>
      </c>
      <c r="J26" s="814"/>
      <c r="K26" s="841">
        <f t="shared" si="0"/>
        <v>0</v>
      </c>
    </row>
    <row r="27" spans="1:11" ht="15" customHeight="1">
      <c r="A27" s="105" t="str">
        <f>报表格式!L26</f>
        <v xml:space="preserve">        其中：利息费用</v>
      </c>
      <c r="B27" s="247">
        <f>合并PL汇总!B27</f>
        <v>0</v>
      </c>
      <c r="C27" s="829">
        <f>SUMIF(权益抵销!$F$5:$F$65537,IF(OR(MID(TRIM($A27),3,1)="：",MID(TRIM($A27),2,1)="、"),REPLACEB(TRIM($A27),1,6,""),TRIM($A27)),权益抵销!$J$5:$J$65537)</f>
        <v>0</v>
      </c>
      <c r="D27" s="829">
        <f>SUMIF(权益抵销!$I$5:$I$65537,IF(OR(MID(TRIM($A27),3,1)="：",MID(TRIM($A27),2,1)="、"),REPLACEB(TRIM($A27),1,6,""),TRIM($A27)),权益抵销!$J$5:$J$65537)</f>
        <v>0</v>
      </c>
      <c r="E27" s="829">
        <f>SUMIF(往来交易抵销!$F$5:$F$65536,IF(OR(MID(TRIM($A27),3,1)="：",MID(TRIM($A27),2,1)="、"),REPLACEB(TRIM($A27),1,6,""),TRIM($A27)),往来交易抵销!$J$5:$J$65536)</f>
        <v>0</v>
      </c>
      <c r="F27" s="829">
        <f>SUMIF(往来交易抵销!$I$5:$I$65536,IF(OR(MID(TRIM($A27),3,1)="：",MID(TRIM($A27),2,1)="、"),REPLACEB(TRIM($A27),1,6,""),TRIM($A27)),往来交易抵销!$J$5:$J$65536)</f>
        <v>0</v>
      </c>
      <c r="G27" s="829">
        <f>SUMIF('合并报表调整 '!$F$5:$F$65536,IF(OR(MID(TRIM($A27),3,1)="：",MID(TRIM($A27),2,1)="、"),REPLACEB(TRIM($A27),1,6,""),TRIM($A27)),'合并报表调整 '!$J$5:$J$65536)</f>
        <v>0</v>
      </c>
      <c r="H27" s="829">
        <f>SUMIF('合并报表调整 '!$I$5:$I$65536,IF(OR(MID(TRIM($A27),3,1)="：",MID(TRIM($A27),2,1)="、"),REPLACEB(TRIM($A27),1,6,""),TRIM($A27)),'合并报表调整 '!$J$5:$J$65536)</f>
        <v>0</v>
      </c>
      <c r="I27" s="814">
        <f t="shared" si="3"/>
        <v>0</v>
      </c>
      <c r="J27" s="814"/>
      <c r="K27" s="841">
        <f t="shared" si="0"/>
        <v>0</v>
      </c>
    </row>
    <row r="28" spans="1:11" ht="15" customHeight="1">
      <c r="A28" s="105" t="str">
        <f>报表格式!L27</f>
        <v xml:space="preserve">              利息收入</v>
      </c>
      <c r="B28" s="247">
        <f>合并PL汇总!B28</f>
        <v>0</v>
      </c>
      <c r="C28" s="829">
        <f>SUMIF(权益抵销!$F$5:$F$65537,IF(OR(MID(TRIM($A28),3,1)="：",MID(TRIM($A28),2,1)="、"),REPLACEB(TRIM($A28),1,6,""),TRIM($A28)),权益抵销!$J$5:$J$65537)</f>
        <v>0</v>
      </c>
      <c r="D28" s="829">
        <f>SUMIF(权益抵销!$I$5:$I$65537,IF(OR(MID(TRIM($A28),3,1)="：",MID(TRIM($A28),2,1)="、"),REPLACEB(TRIM($A28),1,6,""),TRIM($A28)),权益抵销!$J$5:$J$65537)</f>
        <v>0</v>
      </c>
      <c r="E28" s="829">
        <f>SUMIF(往来交易抵销!$F$5:$F$65536,IF(OR(MID(TRIM($A28),3,1)="：",MID(TRIM($A28),2,1)="、"),REPLACEB(TRIM($A28),1,6,""),TRIM($A28)),往来交易抵销!$J$5:$J$65536)</f>
        <v>0</v>
      </c>
      <c r="F28" s="829">
        <f>SUMIF(往来交易抵销!$I$5:$I$65536,IF(OR(MID(TRIM($A28),3,1)="：",MID(TRIM($A28),2,1)="、"),REPLACEB(TRIM($A28),1,6,""),TRIM($A28)),往来交易抵销!$J$5:$J$65536)</f>
        <v>0</v>
      </c>
      <c r="G28" s="829">
        <f>SUMIF('合并报表调整 '!$F$5:$F$65536,IF(OR(MID(TRIM($A28),3,1)="：",MID(TRIM($A28),2,1)="、"),REPLACEB(TRIM($A28),1,6,""),TRIM($A28)),'合并报表调整 '!$J$5:$J$65536)</f>
        <v>0</v>
      </c>
      <c r="H28" s="829">
        <f>SUMIF('合并报表调整 '!$I$5:$I$65536,IF(OR(MID(TRIM($A28),3,1)="：",MID(TRIM($A28),2,1)="、"),REPLACEB(TRIM($A28),1,6,""),TRIM($A28)),'合并报表调整 '!$J$5:$J$65536)</f>
        <v>0</v>
      </c>
      <c r="I28" s="814">
        <f>B28+E28+G28-F28-H28+C28-D28</f>
        <v>0</v>
      </c>
      <c r="J28" s="840"/>
      <c r="K28" s="841">
        <f t="shared" si="0"/>
        <v>0</v>
      </c>
    </row>
    <row r="29" spans="1:11" ht="15" customHeight="1">
      <c r="A29" s="105" t="str">
        <f>报表格式!L28</f>
        <v xml:space="preserve">    加：其他收益</v>
      </c>
      <c r="B29" s="247">
        <f>合并PL汇总!B29</f>
        <v>0</v>
      </c>
      <c r="C29" s="829">
        <f>SUMIF(权益抵销!$E$5:$E$65537,IF(OR(MID(TRIM($A29),2,1)="：",MID(TRIM($A29),2,1)="、"),REPLACEB(TRIM($A29),1,4,""),TRIM($A29)),权益抵销!$J$5:$J$65537)</f>
        <v>0</v>
      </c>
      <c r="D29" s="829">
        <f>SUMIF(权益抵销!$H$5:$H$65537,IF(OR(MID(TRIM($A29),2,1)="：",MID(TRIM($A29),2,1)="、"),REPLACEB(TRIM($A29),1,4,""),TRIM($A29)),权益抵销!$J$5:$J$65537)</f>
        <v>0</v>
      </c>
      <c r="E29" s="829">
        <f>SUMIF(往来交易抵销!$E$5:$E$65536,IF(OR(MID(TRIM($A29),2,1)="：",MID(TRIM($A29),2,1)="、"),REPLACEB(TRIM($A29),1,4,""),TRIM($A29)),往来交易抵销!$J$5:$J$65536)</f>
        <v>0</v>
      </c>
      <c r="F29" s="829">
        <f>SUMIF(往来交易抵销!$H$5:$H$65536,IF(OR(MID(TRIM($A29),2,1)="：",MID(TRIM($A29),2,1)="、"),REPLACEB(TRIM($A29),1,4,""),TRIM($A29)),往来交易抵销!$J$5:$J$65536)</f>
        <v>0</v>
      </c>
      <c r="G29" s="829">
        <f>SUMIF('合并报表调整 '!$E$5:$E$65536,IF(OR(MID(TRIM($A29),2,1)="：",MID(TRIM($A29),2,1)="、"),REPLACEB(TRIM($A29),1,4,""),TRIM($A29)),'合并报表调整 '!$J$5:$J$65536)</f>
        <v>0</v>
      </c>
      <c r="H29" s="829">
        <f>SUMIF('合并报表调整 '!$H$5:$H$65536,IF(OR(MID(TRIM($A29),2,1)="：",MID(TRIM($A29),2,1)="、"),REPLACEB(TRIM($A29),1,4,""),TRIM($A29)),'合并报表调整 '!$J$5:$J$65536)</f>
        <v>0</v>
      </c>
      <c r="I29" s="829">
        <f t="shared" ref="I29:I36" si="6">B29-E29-G29+F29+H29-C29+D29</f>
        <v>0</v>
      </c>
      <c r="J29" s="814"/>
      <c r="K29" s="841">
        <f t="shared" si="0"/>
        <v>0</v>
      </c>
    </row>
    <row r="30" spans="1:11" ht="15" customHeight="1">
      <c r="A30" s="105" t="str">
        <f>报表格式!L29</f>
        <v xml:space="preserve">        投资收益（损失以“－”号填列）</v>
      </c>
      <c r="B30" s="247">
        <f>合并PL汇总!B30</f>
        <v>0</v>
      </c>
      <c r="C30" s="829">
        <f>SUMIF(权益抵销!$E$5:$E$65537,LEFT(IF(OR(MID(TRIM($A30),3,1)="：",MID(TRIM($A30),2,1)="、"),REPLACEB(TRIM($A30),1,6,""),TRIM($A30)),4),权益抵销!$J$5:$J$65537)</f>
        <v>0</v>
      </c>
      <c r="D30" s="829">
        <f>SUMIF(权益抵销!$H$5:$H$65537,LEFT(IF(OR(MID(TRIM($A30),3,1)="：",MID(TRIM($A30),2,1)="、"),REPLACEB(TRIM($A30),1,6,""),TRIM($A30)),4),权益抵销!$J$5:$J$65537)</f>
        <v>0</v>
      </c>
      <c r="E30" s="829">
        <f>SUMIF(往来交易抵销!$E$5:$E$65536,LEFT(IF(OR(MID(TRIM($A30),3,1)="：",MID(TRIM($A30),2,1)="、"),REPLACEB(TRIM($A30),1,6,""),TRIM($A30)),4),往来交易抵销!$J$5:$J$65536)</f>
        <v>0</v>
      </c>
      <c r="F30" s="829">
        <f>SUMIF(往来交易抵销!$H$5:$H$65536,LEFT(IF(OR(MID(TRIM($A30),3,1)="：",MID(TRIM($A30),2,1)="、"),REPLACEB(TRIM($A30),1,6,""),TRIM($A30)),4),往来交易抵销!$J$5:$J$65536)</f>
        <v>0</v>
      </c>
      <c r="G30" s="829">
        <f>SUMIF('合并报表调整 '!$E$5:$E$65536,LEFT(IF(OR(MID(TRIM($A30),3,1)="：",MID(TRIM($A30),2,1)="、"),REPLACEB(TRIM($A30),1,6,""),TRIM($A30)),4),'合并报表调整 '!$J$5:$J$65536)</f>
        <v>0</v>
      </c>
      <c r="H30" s="829">
        <f>SUMIF('合并报表调整 '!$H$5:$H$65536,LEFT(IF(OR(MID(TRIM($A30),3,1)="：",MID(TRIM($A30),2,1)="、"),REPLACEB(TRIM($A30),1,6,""),TRIM($A30)),4),'合并报表调整 '!$J$5:$J$65536)</f>
        <v>0</v>
      </c>
      <c r="I30" s="829">
        <f t="shared" si="6"/>
        <v>0</v>
      </c>
      <c r="J30" s="814"/>
      <c r="K30" s="841">
        <f t="shared" si="0"/>
        <v>0</v>
      </c>
    </row>
    <row r="31" spans="1:11" ht="15" customHeight="1">
      <c r="A31" s="105" t="str">
        <f>报表格式!L30</f>
        <v xml:space="preserve">        其中：对联营企业和合营企业的投资收益</v>
      </c>
      <c r="B31" s="247">
        <f>合并PL汇总!B31</f>
        <v>0</v>
      </c>
      <c r="C31" s="829">
        <f>SUMIF(权益抵销!$F$5:$F$65537,IF(OR(MID(TRIM($A31),3,1)="：",MID(TRIM($A31),2,1)="、"),REPLACEB(TRIM($A31),1,6,""),TRIM($A31)),权益抵销!$J$5:$J$65537)</f>
        <v>0</v>
      </c>
      <c r="D31" s="829">
        <f>SUMIF(权益抵销!$I$5:$I$65537,IF(OR(MID(TRIM($A31),3,1)="：",MID(TRIM($A31),2,1)="、"),REPLACEB(TRIM($A31),1,6,""),TRIM($A31)),权益抵销!$J$5:$J$65537)</f>
        <v>0</v>
      </c>
      <c r="E31" s="829">
        <f>SUMIF(往来交易抵销!$F$5:$F$65536,IF(OR(MID(TRIM($A31),3,1)="：",MID(TRIM($A31),2,1)="、"),REPLACEB(TRIM($A31),1,6,""),TRIM($A31)),往来交易抵销!$J$5:$J$65536)</f>
        <v>0</v>
      </c>
      <c r="F31" s="829">
        <f>SUMIF(往来交易抵销!$I$5:$I$65536,IF(OR(MID(TRIM($A31),3,1)="：",MID(TRIM($A31),2,1)="、"),REPLACEB(TRIM($A31),1,6,""),TRIM($A31)),往来交易抵销!$J$5:$J$65536)</f>
        <v>0</v>
      </c>
      <c r="G31" s="829">
        <f>SUMIF('合并报表调整 '!$F$5:$F$65536,IF(OR(MID(TRIM($A31),3,1)="：",MID(TRIM($A31),2,1)="、"),REPLACEB(TRIM($A31),1,6,""),TRIM($A31)),'合并报表调整 '!$J$5:$J$65536)</f>
        <v>0</v>
      </c>
      <c r="H31" s="829">
        <f>SUMIF('合并报表调整 '!$I$5:$I$65536,IF(OR(MID(TRIM($A31),3,1)="：",MID(TRIM($A31),2,1)="、"),REPLACEB(TRIM($A31),1,6,""),TRIM($A31)),'合并报表调整 '!$J$5:$J$65536)</f>
        <v>0</v>
      </c>
      <c r="I31" s="829">
        <f t="shared" si="6"/>
        <v>0</v>
      </c>
      <c r="J31" s="814"/>
      <c r="K31" s="841">
        <f t="shared" si="0"/>
        <v>0</v>
      </c>
    </row>
    <row r="32" spans="1:11" ht="15" customHeight="1">
      <c r="A32" s="105" t="str">
        <f>报表格式!L31</f>
        <v xml:space="preserve">              以摊余成本计量的金融资产终止确认收益（损失以“-”号填列）</v>
      </c>
      <c r="B32" s="247">
        <f>合并PL汇总!B32</f>
        <v>0</v>
      </c>
      <c r="C32" s="829">
        <f>SUMIF(权益抵销!$F$5:$F$65537,LEFT(IF(OR(MID(TRIM($A32),3,1)="：",MID(TRIM($A32),2,1)="、"),REPLACEB(TRIM($A32),1,6,""),TRIM($A32)),18),权益抵销!$J$5:$J$65537)</f>
        <v>0</v>
      </c>
      <c r="D32" s="829">
        <f>SUMIF(权益抵销!$I$5:$I$65537,LEFT(IF(OR(MID(TRIM($A32),3,1)="：",MID(TRIM($A32),2,1)="、"),REPLACEB(TRIM($A32),1,6,""),TRIM($A32)),18),权益抵销!$J$5:$J$65537)</f>
        <v>0</v>
      </c>
      <c r="E32" s="829">
        <f>SUMIF(往来交易抵销!$F$5:$F$65536,LEFT(IF(OR(MID(TRIM($A32),3,1)="：",MID(TRIM($A32),2,1)="、"),REPLACEB(TRIM($A32),1,6,""),TRIM($A32)),18),往来交易抵销!$J$5:$J$65536)</f>
        <v>0</v>
      </c>
      <c r="F32" s="829">
        <f>SUMIF(往来交易抵销!$I$5:$I$65536,LEFT(IF(OR(MID(TRIM($A32),3,1)="：",MID(TRIM($A32),2,1)="、"),REPLACEB(TRIM($A32),1,6,""),TRIM($A32)),18),往来交易抵销!$J$5:$J$65536)</f>
        <v>0</v>
      </c>
      <c r="G32" s="829">
        <f>SUMIF('合并报表调整 '!$F$5:$F$65536,LEFT(IF(OR(MID(TRIM($A32),3,1)="：",MID(TRIM($A32),2,1)="、"),REPLACEB(TRIM($A32),1,6,""),TRIM($A32)),18),'合并报表调整 '!$J$5:$J$65536)</f>
        <v>0</v>
      </c>
      <c r="H32" s="829">
        <f>SUMIF('合并报表调整 '!$I$5:$I$65536,LEFT(IF(OR(MID(TRIM($A32),3,1)="：",MID(TRIM($A32),2,1)="、"),REPLACEB(TRIM($A32),1,6,""),TRIM($A32)),18),'合并报表调整 '!$J$5:$J$65536)</f>
        <v>0</v>
      </c>
      <c r="I32" s="829">
        <f t="shared" si="6"/>
        <v>0</v>
      </c>
      <c r="J32" s="814"/>
      <c r="K32" s="841">
        <f t="shared" si="0"/>
        <v>0</v>
      </c>
    </row>
    <row r="33" spans="1:14" ht="15" customHeight="1">
      <c r="A33" s="105" t="str">
        <f>报表格式!L32</f>
        <v xml:space="preserve">        净敞口套期收益（损失以“-”号填列）</v>
      </c>
      <c r="B33" s="247">
        <f>合并PL汇总!B33</f>
        <v>0</v>
      </c>
      <c r="C33" s="829">
        <f>SUMIF(权益抵销!$E$5:$E$65537,LEFT(IF(OR(MID(TRIM($A33),3,1)="：",MID(TRIM($A33),2,1)="、"),REPLACEB(TRIM($A33),1,6,""),TRIM($A33)),7),权益抵销!$J$5:$J$65537)</f>
        <v>0</v>
      </c>
      <c r="D33" s="829">
        <f>SUMIF(权益抵销!$H$5:$H$65537,LEFT(IF(OR(MID(TRIM($A33),3,1)="：",MID(TRIM($A33),2,1)="、"),REPLACEB(TRIM($A33),1,6,""),TRIM($A33)),7),权益抵销!$J$5:$J$65537)</f>
        <v>0</v>
      </c>
      <c r="E33" s="829">
        <f>SUMIF(往来交易抵销!$E$5:$E$65536,LEFT(IF(OR(MID(TRIM($A33),3,1)="：",MID(TRIM($A33),2,1)="、"),REPLACEB(TRIM($A33),1,6,""),TRIM($A33)),7),往来交易抵销!$J$5:$J$65536)</f>
        <v>0</v>
      </c>
      <c r="F33" s="829">
        <f>SUMIF(往来交易抵销!$H$5:$H$65536,LEFT(IF(OR(MID(TRIM($A33),3,1)="：",MID(TRIM($A33),2,1)="、"),REPLACEB(TRIM($A33),1,6,""),TRIM($A33)),7),往来交易抵销!$J$5:$J$65536)</f>
        <v>0</v>
      </c>
      <c r="G33" s="829">
        <f>SUMIF('合并报表调整 '!$E$5:$E$65536,LEFT(IF(OR(MID(TRIM($A33),3,1)="：",MID(TRIM($A33),2,1)="、"),REPLACEB(TRIM($A33),1,6,""),TRIM($A33)),7),'合并报表调整 '!$J$5:$J$65536)</f>
        <v>0</v>
      </c>
      <c r="H33" s="829">
        <f>SUMIF('合并报表调整 '!$H$5:$H$65536,LEFT(IF(OR(MID(TRIM($A33),3,1)="：",MID(TRIM($A33),2,1)="、"),REPLACEB(TRIM($A33),1,6,""),TRIM($A33)),7),'合并报表调整 '!$J$5:$J$65536)</f>
        <v>0</v>
      </c>
      <c r="I33" s="829">
        <f t="shared" si="6"/>
        <v>0</v>
      </c>
      <c r="J33" s="814"/>
      <c r="K33" s="841">
        <f t="shared" si="0"/>
        <v>0</v>
      </c>
    </row>
    <row r="34" spans="1:14" ht="15" customHeight="1">
      <c r="A34" s="105" t="str">
        <f>报表格式!L33</f>
        <v xml:space="preserve">        公允价值变动收益（损失以“－”号填列）</v>
      </c>
      <c r="B34" s="247">
        <f>合并PL汇总!B34</f>
        <v>0</v>
      </c>
      <c r="C34" s="829">
        <f>SUMIF(权益抵销!$E$5:$E$65537,LEFT(IF(OR(MID(TRIM($A34),3,1)="：",MID(TRIM($A34),2,1)="、"),REPLACEB(TRIM($A34),1,6,""),TRIM($A34)),8),权益抵销!$J$5:$J$65537)</f>
        <v>0</v>
      </c>
      <c r="D34" s="829">
        <f>SUMIF(权益抵销!$H$5:$H$65537,LEFT(IF(OR(MID(TRIM($A34),3,1)="：",MID(TRIM($A34),2,1)="、"),REPLACEB(TRIM($A34),1,6,""),TRIM($A34)),8),权益抵销!$J$5:$J$65537)</f>
        <v>0</v>
      </c>
      <c r="E34" s="829">
        <f>SUMIF(往来交易抵销!$E$5:$E$65536,LEFT(IF(OR(MID(TRIM($A34),3,1)="：",MID(TRIM($A34),2,1)="、"),REPLACEB(TRIM($A34),1,6,""),TRIM($A34)),8),往来交易抵销!$J$5:$J$65536)</f>
        <v>0</v>
      </c>
      <c r="F34" s="829">
        <f>SUMIF(往来交易抵销!$H$5:$H$65536,LEFT(IF(OR(MID(TRIM($A34),3,1)="：",MID(TRIM($A34),2,1)="、"),REPLACEB(TRIM($A34),1,6,""),TRIM($A34)),8),往来交易抵销!$J$5:$J$65536)</f>
        <v>0</v>
      </c>
      <c r="G34" s="829">
        <f>SUMIF('合并报表调整 '!$E$5:$E$65536,LEFT(IF(OR(MID(TRIM($A34),3,1)="：",MID(TRIM($A34),2,1)="、"),REPLACEB(TRIM($A34),1,6,""),TRIM($A34)),8),'合并报表调整 '!$J$5:$J$65536)</f>
        <v>0</v>
      </c>
      <c r="H34" s="829">
        <f>SUMIF('合并报表调整 '!$H$5:$H$65536,LEFT(IF(OR(MID(TRIM($A34),3,1)="：",MID(TRIM($A34),2,1)="、"),REPLACEB(TRIM($A34),1,6,""),TRIM($A34)),8),'合并报表调整 '!$J$5:$J$65536)</f>
        <v>0</v>
      </c>
      <c r="I34" s="829">
        <f t="shared" si="6"/>
        <v>0</v>
      </c>
      <c r="J34" s="814"/>
      <c r="K34" s="841">
        <f t="shared" si="0"/>
        <v>0</v>
      </c>
    </row>
    <row r="35" spans="1:14" ht="15" customHeight="1">
      <c r="A35" s="105" t="str">
        <f>报表格式!L34</f>
        <v xml:space="preserve">        信用减值损失(损失以“-”号填列）</v>
      </c>
      <c r="B35" s="247">
        <f>合并PL汇总!B35</f>
        <v>0</v>
      </c>
      <c r="C35" s="829">
        <f>SUMIF(权益抵销!$E$5:$E$65537,LEFT(IF(OR(MID(TRIM($A35),3,1)="：",MID(TRIM($A35),2,1)="、"),REPLACEB(TRIM($A35),1,6,""),TRIM($A35)),6),权益抵销!$J$5:$J$65537)</f>
        <v>0</v>
      </c>
      <c r="D35" s="829">
        <f>SUMIF(权益抵销!$H$5:$H$65537,LEFT(IF(OR(MID(TRIM($A35),3,1)="：",MID(TRIM($A35),2,1)="、"),REPLACEB(TRIM($A35),1,6,""),TRIM($A35)),6),权益抵销!$J$5:$J$65537)</f>
        <v>0</v>
      </c>
      <c r="E35" s="829">
        <f>SUMIF(往来交易抵销!$E$5:$E$65536,LEFT(IF(OR(MID(TRIM($A35),3,1)="：",MID(TRIM($A35),2,1)="、"),REPLACEB(TRIM($A35),1,6,""),TRIM($A35)),6),往来交易抵销!$J$5:$J$65536)</f>
        <v>0</v>
      </c>
      <c r="F35" s="829">
        <f>SUMIF(往来交易抵销!$H$5:$H$65536,LEFT(IF(OR(MID(TRIM($A35),3,1)="：",MID(TRIM($A35),2,1)="、"),REPLACEB(TRIM($A35),1,6,""),TRIM($A35)),6),往来交易抵销!$J$5:$J$65536)</f>
        <v>0</v>
      </c>
      <c r="G35" s="829">
        <f>SUMIF('合并报表调整 '!$E$5:$E$65536,LEFT(IF(OR(MID(TRIM($A35),3,1)="：",MID(TRIM($A35),2,1)="、"),REPLACEB(TRIM($A35),1,6,""),TRIM($A35)),6),'合并报表调整 '!$J$5:$J$65536)</f>
        <v>0</v>
      </c>
      <c r="H35" s="829">
        <f>SUMIF('合并报表调整 '!$H$5:$H$65536,LEFT(IF(OR(MID(TRIM($A35),3,1)="：",MID(TRIM($A35),2,1)="、"),REPLACEB(TRIM($A35),1,6,""),TRIM($A35)),6),'合并报表调整 '!$J$5:$J$65536)</f>
        <v>0</v>
      </c>
      <c r="I35" s="829">
        <f t="shared" si="6"/>
        <v>0</v>
      </c>
      <c r="J35" s="829"/>
      <c r="K35" s="841">
        <f t="shared" ref="K35:K36" si="7">SUM(I35:J35)</f>
        <v>0</v>
      </c>
    </row>
    <row r="36" spans="1:14" ht="15" customHeight="1">
      <c r="A36" s="105" t="str">
        <f>报表格式!L35</f>
        <v xml:space="preserve">        资产减值损失(损失以“-”号填列）</v>
      </c>
      <c r="B36" s="247">
        <f>合并PL汇总!B36</f>
        <v>0</v>
      </c>
      <c r="C36" s="829">
        <f>SUMIF(权益抵销!$E$5:$E$65537,LEFT(IF(OR(MID(TRIM($A36),3,1)="：",MID(TRIM($A36),2,1)="、"),REPLACEB(TRIM($A36),1,6,""),TRIM($A36)),6),权益抵销!$J$5:$J$65537)</f>
        <v>0</v>
      </c>
      <c r="D36" s="829">
        <f>SUMIF(权益抵销!$H$5:$H$65537,LEFT(IF(OR(MID(TRIM($A36),3,1)="：",MID(TRIM($A36),2,1)="、"),REPLACEB(TRIM($A36),1,6,""),TRIM($A36)),6),权益抵销!$J$5:$J$65537)</f>
        <v>0</v>
      </c>
      <c r="E36" s="829">
        <f>SUMIF(往来交易抵销!$E$5:$E$65536,LEFT(IF(OR(MID(TRIM($A36),3,1)="：",MID(TRIM($A36),2,1)="、"),REPLACEB(TRIM($A36),1,6,""),TRIM($A36)),6),往来交易抵销!$J$5:$J$65536)</f>
        <v>0</v>
      </c>
      <c r="F36" s="829">
        <f>SUMIF(往来交易抵销!$H$5:$H$65536,LEFT(IF(OR(MID(TRIM($A36),3,1)="：",MID(TRIM($A36),2,1)="、"),REPLACEB(TRIM($A36),1,6,""),TRIM($A36)),6),往来交易抵销!$J$5:$J$65536)</f>
        <v>0</v>
      </c>
      <c r="G36" s="829">
        <f>SUMIF('合并报表调整 '!$E$5:$E$65536,LEFT(IF(OR(MID(TRIM($A36),3,1)="：",MID(TRIM($A36),2,1)="、"),REPLACEB(TRIM($A36),1,6,""),TRIM($A36)),6),'合并报表调整 '!$J$5:$J$65536)</f>
        <v>0</v>
      </c>
      <c r="H36" s="829">
        <f>SUMIF('合并报表调整 '!$H$5:$H$65536,LEFT(IF(OR(MID(TRIM($A36),3,1)="：",MID(TRIM($A36),2,1)="、"),REPLACEB(TRIM($A36),1,6,""),TRIM($A36)),6),'合并报表调整 '!$J$5:$J$65536)</f>
        <v>0</v>
      </c>
      <c r="I36" s="829">
        <f t="shared" si="6"/>
        <v>0</v>
      </c>
      <c r="J36" s="829"/>
      <c r="K36" s="841">
        <f t="shared" si="7"/>
        <v>0</v>
      </c>
    </row>
    <row r="37" spans="1:14" ht="15" customHeight="1">
      <c r="A37" s="105" t="str">
        <f>报表格式!L36</f>
        <v xml:space="preserve">        资产处置收益(损失以“-”号填列）</v>
      </c>
      <c r="B37" s="247">
        <f>合并PL汇总!B37</f>
        <v>0</v>
      </c>
      <c r="C37" s="829">
        <f>SUMIF(权益抵销!$E$5:$E$65537,LEFT(IF(OR(MID(TRIM($A37),3,1)="：",MID(TRIM($A37),2,1)="、"),REPLACEB(TRIM($A37),1,6,""),TRIM($A37)),6),权益抵销!$J$5:$J$65537)</f>
        <v>0</v>
      </c>
      <c r="D37" s="829">
        <f>SUMIF(权益抵销!$H$5:$H$65537,LEFT(IF(OR(MID(TRIM($A37),3,1)="：",MID(TRIM($A37),2,1)="、"),REPLACEB(TRIM($A37),1,6,""),TRIM($A37)),6),权益抵销!$J$5:$J$65537)</f>
        <v>0</v>
      </c>
      <c r="E37" s="829">
        <f>SUMIF(往来交易抵销!$E$5:$E$65536,LEFT(IF(OR(MID(TRIM($A37),3,1)="：",MID(TRIM($A37),2,1)="、"),REPLACEB(TRIM($A37),1,6,""),TRIM($A37)),6),往来交易抵销!$J$5:$J$65536)</f>
        <v>0</v>
      </c>
      <c r="F37" s="829">
        <f>SUMIF(往来交易抵销!$H$5:$H$65536,LEFT(IF(OR(MID(TRIM($A37),3,1)="：",MID(TRIM($A37),2,1)="、"),REPLACEB(TRIM($A37),1,6,""),TRIM($A37)),6),往来交易抵销!$J$5:$J$65536)</f>
        <v>0</v>
      </c>
      <c r="G37" s="829">
        <f>SUMIF('合并报表调整 '!$E$5:$E$65536,LEFT(IF(OR(MID(TRIM($A37),3,1)="：",MID(TRIM($A37),2,1)="、"),REPLACEB(TRIM($A37),1,6,""),TRIM($A37)),6),'合并报表调整 '!$J$5:$J$65536)</f>
        <v>0</v>
      </c>
      <c r="H37" s="829">
        <f>SUMIF('合并报表调整 '!$H$5:$H$65536,LEFT(IF(OR(MID(TRIM($A37),3,1)="：",MID(TRIM($A37),2,1)="、"),REPLACEB(TRIM($A37),1,6,""),TRIM($A37)),6),'合并报表调整 '!$J$5:$J$65536)</f>
        <v>0</v>
      </c>
      <c r="I37" s="829">
        <f t="shared" ref="I37" si="8">B37-E37-G37+F37+H37-C37+D37</f>
        <v>0</v>
      </c>
      <c r="J37" s="829"/>
      <c r="K37" s="841">
        <f t="shared" si="0"/>
        <v>0</v>
      </c>
    </row>
    <row r="38" spans="1:14" s="647" customFormat="1" ht="15" customHeight="1">
      <c r="A38" s="94" t="str">
        <f>报表格式!L37</f>
        <v>二、营业利润（亏损以“－”号填列）</v>
      </c>
      <c r="B38" s="246">
        <f>SUM(B6)-SUM(B12,B22:B26)+SUM(B29:B30)+SUM(B33:B37)</f>
        <v>0</v>
      </c>
      <c r="C38" s="246">
        <f>SUM(C6)-SUM(C12,C22:C26)+SUM(C29:C30)+SUM(C33:C37)</f>
        <v>0</v>
      </c>
      <c r="D38" s="246">
        <f t="shared" ref="D38:J38" si="9">SUM(D6)-SUM(D12,D22:D26)+SUM(D29:D30)+SUM(D33:D37)</f>
        <v>0</v>
      </c>
      <c r="E38" s="246">
        <f t="shared" si="9"/>
        <v>0</v>
      </c>
      <c r="F38" s="246">
        <f t="shared" si="9"/>
        <v>0</v>
      </c>
      <c r="G38" s="246">
        <f t="shared" si="9"/>
        <v>0</v>
      </c>
      <c r="H38" s="246">
        <f t="shared" si="9"/>
        <v>0</v>
      </c>
      <c r="I38" s="246">
        <f t="shared" si="9"/>
        <v>0</v>
      </c>
      <c r="J38" s="246">
        <f t="shared" si="9"/>
        <v>0</v>
      </c>
      <c r="K38" s="842">
        <f t="shared" si="0"/>
        <v>0</v>
      </c>
    </row>
    <row r="39" spans="1:14" ht="15" customHeight="1">
      <c r="A39" s="105" t="str">
        <f>报表格式!L38</f>
        <v xml:space="preserve">    加：营业外收入</v>
      </c>
      <c r="B39" s="247">
        <f>合并PL汇总!B39</f>
        <v>0</v>
      </c>
      <c r="C39" s="829">
        <f>SUMIF(权益抵销!$E$5:$E$65537,IF(OR(MID(TRIM($A39),2,1)="：",MID(TRIM($A39),2,1)="、"),REPLACEB(TRIM($A39),1,4,""),TRIM($A39)),权益抵销!$J$5:$J$65537)</f>
        <v>0</v>
      </c>
      <c r="D39" s="829">
        <f>SUMIF(权益抵销!$H$5:$H$65537,IF(OR(MID(TRIM($A39),2,1)="：",MID(TRIM($A39),2,1)="、"),REPLACEB(TRIM($A39),1,4,""),TRIM($A39)),权益抵销!$J$5:$J$65537)</f>
        <v>0</v>
      </c>
      <c r="E39" s="814">
        <f>SUMIF(往来交易抵销!$E$5:$E$65536,IF(OR(MID(TRIM($A39),2,1)="：",MID(TRIM($A39),2,1)="、"),REPLACEB(TRIM($A39),1,4,""),TRIM($A39)),往来交易抵销!$J$5:$J$65536)</f>
        <v>0</v>
      </c>
      <c r="F39" s="814">
        <f>SUMIF(往来交易抵销!$H$5:$H$65536,IF(OR(MID(TRIM($A39),2,1)="：",MID(TRIM($A39),2,1)="、"),REPLACEB(TRIM($A39),1,4,""),TRIM($A39)),往来交易抵销!$J$5:$J$65536)</f>
        <v>0</v>
      </c>
      <c r="G39" s="814">
        <f>SUMIF('合并报表调整 '!$E$5:$E$65536,IF(OR(MID(TRIM($A39),2,1)="：",MID(TRIM($A39),2,1)="、"),REPLACEB(TRIM($A39),1,4,""),TRIM($A39)),'合并报表调整 '!$J$5:$J$65536)</f>
        <v>0</v>
      </c>
      <c r="H39" s="814">
        <f>SUMIF('合并报表调整 '!$H$5:$H$65536,IF(OR(MID(TRIM($A39),2,1)="：",MID(TRIM($A39),2,1)="、"),REPLACEB(TRIM($A39),1,4,""),TRIM($A39)),'合并报表调整 '!$J$5:$J$65536)</f>
        <v>0</v>
      </c>
      <c r="I39" s="814">
        <f>B39-E39-G39+F39+H39-C39+D39</f>
        <v>0</v>
      </c>
      <c r="J39" s="814"/>
      <c r="K39" s="841">
        <f t="shared" si="0"/>
        <v>0</v>
      </c>
      <c r="N39" s="34"/>
    </row>
    <row r="40" spans="1:14" ht="15" customHeight="1">
      <c r="A40" s="105" t="str">
        <f>报表格式!L39</f>
        <v xml:space="preserve">    减：营业外支出</v>
      </c>
      <c r="B40" s="247">
        <f>合并PL汇总!B40</f>
        <v>0</v>
      </c>
      <c r="C40" s="829">
        <f>SUMIF(权益抵销!$E$5:$E$65537,IF(OR(MID(TRIM($A40),2,1)="：",MID(TRIM($A40),2,1)="、"),REPLACEB(TRIM($A40),1,4,""),TRIM($A40)),权益抵销!$J$5:$J$65537)</f>
        <v>0</v>
      </c>
      <c r="D40" s="829">
        <f>SUMIF(权益抵销!$H$5:$H$65537,IF(OR(MID(TRIM($A40),2,1)="：",MID(TRIM($A40),2,1)="、"),REPLACEB(TRIM($A40),1,4,""),TRIM($A40)),权益抵销!$J$5:$J$65537)</f>
        <v>0</v>
      </c>
      <c r="E40" s="829">
        <f>SUMIF(往来交易抵销!$E$5:$E$65536,IF(OR(MID(TRIM($A40),2,1)="：",MID(TRIM($A40),2,1)="、"),REPLACEB(TRIM($A40),1,4,""),TRIM($A40)),往来交易抵销!$J$5:$J$65536)</f>
        <v>0</v>
      </c>
      <c r="F40" s="829">
        <f>SUMIF(往来交易抵销!$H$5:$H$65536,IF(OR(MID(TRIM($A40),2,1)="：",MID(TRIM($A40),2,1)="、"),REPLACEB(TRIM($A40),1,4,""),TRIM($A40)),往来交易抵销!$J$5:$J$65536)</f>
        <v>0</v>
      </c>
      <c r="G40" s="829">
        <f>SUMIF('合并报表调整 '!$E$5:$E$65536,IF(OR(MID(TRIM($A40),2,1)="：",MID(TRIM($A40),2,1)="、"),REPLACEB(TRIM($A40),1,4,""),TRIM($A40)),'合并报表调整 '!$J$5:$J$65536)</f>
        <v>0</v>
      </c>
      <c r="H40" s="829">
        <f>SUMIF('合并报表调整 '!$H$5:$H$65536,IF(OR(MID(TRIM($A40),2,1)="：",MID(TRIM($A40),2,1)="、"),REPLACEB(TRIM($A40),1,4,""),TRIM($A40)),'合并报表调整 '!$J$5:$J$65536)</f>
        <v>0</v>
      </c>
      <c r="I40" s="829">
        <f>B40+E40+G40-F40-H40+C40-D40</f>
        <v>0</v>
      </c>
      <c r="J40" s="814"/>
      <c r="K40" s="841">
        <f t="shared" si="0"/>
        <v>0</v>
      </c>
    </row>
    <row r="41" spans="1:14" s="647" customFormat="1" ht="15" customHeight="1">
      <c r="A41" s="94" t="str">
        <f>报表格式!L40</f>
        <v>三、利润总额（亏损总额以“－”号填列）</v>
      </c>
      <c r="B41" s="246">
        <f t="shared" ref="B41:J41" si="10">SUM(B38)+SUM(B39)-SUM(B40)</f>
        <v>0</v>
      </c>
      <c r="C41" s="830">
        <f t="shared" si="10"/>
        <v>0</v>
      </c>
      <c r="D41" s="830">
        <f t="shared" si="10"/>
        <v>0</v>
      </c>
      <c r="E41" s="830">
        <f t="shared" si="10"/>
        <v>0</v>
      </c>
      <c r="F41" s="830">
        <f t="shared" si="10"/>
        <v>0</v>
      </c>
      <c r="G41" s="830">
        <f t="shared" si="10"/>
        <v>0</v>
      </c>
      <c r="H41" s="830">
        <f t="shared" si="10"/>
        <v>0</v>
      </c>
      <c r="I41" s="830">
        <f t="shared" si="10"/>
        <v>0</v>
      </c>
      <c r="J41" s="830">
        <f t="shared" si="10"/>
        <v>0</v>
      </c>
      <c r="K41" s="842">
        <f t="shared" si="0"/>
        <v>0</v>
      </c>
    </row>
    <row r="42" spans="1:14" ht="15" customHeight="1">
      <c r="A42" s="105" t="str">
        <f>报表格式!L41</f>
        <v xml:space="preserve">    减：所得税费用</v>
      </c>
      <c r="B42" s="247">
        <f>合并PL汇总!B42</f>
        <v>0</v>
      </c>
      <c r="C42" s="829">
        <f>SUMIF(权益抵销!$E$5:$E$65537,IF(OR(MID(TRIM($A42),2,1)="：",MID(TRIM($A42),2,1)="、"),REPLACEB(TRIM($A42),1,4,""),TRIM($A42)),权益抵销!$J$5:$J$65537)</f>
        <v>0</v>
      </c>
      <c r="D42" s="829">
        <f>SUMIF(权益抵销!$H$5:$H$65537,IF(OR(MID(TRIM($A42),2,1)="：",MID(TRIM($A42),2,1)="、"),REPLACEB(TRIM($A42),1,4,""),TRIM($A42)),权益抵销!$J$5:$J$65537)</f>
        <v>0</v>
      </c>
      <c r="E42" s="829">
        <f>SUMIF(往来交易抵销!$E$5:$E$65536,IF(OR(MID(TRIM($A42),2,1)="：",MID(TRIM($A42),2,1)="、"),REPLACEB(TRIM($A42),1,4,""),TRIM($A42)),往来交易抵销!$J$5:$J$65536)</f>
        <v>0</v>
      </c>
      <c r="F42" s="829">
        <f>SUMIF(往来交易抵销!$H$5:$H$65536,IF(OR(MID(TRIM($A42),2,1)="：",MID(TRIM($A42),2,1)="、"),REPLACEB(TRIM($A42),1,4,""),TRIM($A42)),往来交易抵销!$J$5:$J$65536)</f>
        <v>0</v>
      </c>
      <c r="G42" s="829">
        <f>SUMIF('合并报表调整 '!$E$5:$E$65536,IF(OR(MID(TRIM($A42),2,1)="：",MID(TRIM($A42),2,1)="、"),REPLACEB(TRIM($A42),1,4,""),TRIM($A42)),'合并报表调整 '!$J$5:$J$65536)</f>
        <v>0</v>
      </c>
      <c r="H42" s="829">
        <f>SUMIF('合并报表调整 '!$H$5:$H$65536,IF(OR(MID(TRIM($A42),2,1)="：",MID(TRIM($A42),2,1)="、"),REPLACEB(TRIM($A42),1,4,""),TRIM($A42)),'合并报表调整 '!$J$5:$J$65536)</f>
        <v>0</v>
      </c>
      <c r="I42" s="829">
        <f>B42+E42+G42-F42-H42+C42-D42</f>
        <v>0</v>
      </c>
      <c r="J42" s="814"/>
      <c r="K42" s="841">
        <f t="shared" si="0"/>
        <v>0</v>
      </c>
    </row>
    <row r="43" spans="1:14" ht="15" customHeight="1">
      <c r="A43" s="105">
        <f>报表格式!L42</f>
        <v>0</v>
      </c>
      <c r="B43" s="247">
        <f>合并PL汇总!B43</f>
        <v>0</v>
      </c>
      <c r="C43" s="829">
        <f>SUMIF(权益抵销!$E$5:$E$65537,IF(OR(MID(TRIM($A43),2,1)="：",MID(TRIM($A43),2,1)="、"),REPLACEB(TRIM($A43),1,4,""),TRIM($A43)),权益抵销!$J$5:$J$65537)</f>
        <v>0</v>
      </c>
      <c r="D43" s="829">
        <f>SUMIF(权益抵销!$H$5:$H$65537,IF(OR(MID(TRIM($A43),2,1)="：",MID(TRIM($A43),2,1)="、"),REPLACEB(TRIM($A43),1,4,""),TRIM($A43)),权益抵销!$J$5:$J$65537)</f>
        <v>0</v>
      </c>
      <c r="E43" s="829">
        <f>SUMIF(往来交易抵销!$E$5:$E$65536,IF(OR(MID(TRIM($A43),2,1)="：",MID(TRIM($A43),2,1)="、"),REPLACEB(TRIM($A43),1,4,""),TRIM($A43)),往来交易抵销!$J$5:$J$65536)</f>
        <v>0</v>
      </c>
      <c r="F43" s="829">
        <f>SUMIF(往来交易抵销!$H$5:$H$65536,IF(OR(MID(TRIM($A43),2,1)="：",MID(TRIM($A43),2,1)="、"),REPLACEB(TRIM($A43),1,4,""),TRIM($A43)),往来交易抵销!$J$5:$J$65536)</f>
        <v>0</v>
      </c>
      <c r="G43" s="829">
        <f>SUMIF('合并报表调整 '!$E$5:$E$65536,IF(OR(MID(TRIM($A43),2,1)="：",MID(TRIM($A43),2,1)="、"),REPLACEB(TRIM($A43),1,4,""),TRIM($A43)),'合并报表调整 '!$J$5:$J$65536)</f>
        <v>0</v>
      </c>
      <c r="H43" s="829">
        <f>SUMIF('合并报表调整 '!$H$5:$H$65536,IF(OR(MID(TRIM($A43),2,1)="：",MID(TRIM($A43),2,1)="、"),REPLACEB(TRIM($A43),1,4,""),TRIM($A43)),'合并报表调整 '!$J$5:$J$65536)</f>
        <v>0</v>
      </c>
      <c r="I43" s="829">
        <f>B43+E43+G43-F43-H43+C43-D43</f>
        <v>0</v>
      </c>
      <c r="J43" s="814"/>
      <c r="K43" s="841">
        <f>SUM(I43:J43)</f>
        <v>0</v>
      </c>
    </row>
    <row r="44" spans="1:14" s="647" customFormat="1" ht="15" customHeight="1">
      <c r="A44" s="94" t="str">
        <f>报表格式!L43</f>
        <v>四、净利润（净亏损以“－”号填列）</v>
      </c>
      <c r="B44" s="246">
        <f t="shared" ref="B44:J44" si="11">B41-B42-B43</f>
        <v>0</v>
      </c>
      <c r="C44" s="830">
        <f t="shared" si="11"/>
        <v>0</v>
      </c>
      <c r="D44" s="830">
        <f t="shared" si="11"/>
        <v>0</v>
      </c>
      <c r="E44" s="830">
        <f t="shared" si="11"/>
        <v>0</v>
      </c>
      <c r="F44" s="830">
        <f t="shared" si="11"/>
        <v>0</v>
      </c>
      <c r="G44" s="830">
        <f t="shared" si="11"/>
        <v>0</v>
      </c>
      <c r="H44" s="830">
        <f t="shared" si="11"/>
        <v>0</v>
      </c>
      <c r="I44" s="830">
        <f t="shared" si="11"/>
        <v>0</v>
      </c>
      <c r="J44" s="830">
        <f t="shared" si="11"/>
        <v>0</v>
      </c>
      <c r="K44" s="842">
        <f>SUM(I44:J44)</f>
        <v>0</v>
      </c>
    </row>
    <row r="45" spans="1:14" ht="15" customHeight="1">
      <c r="A45" s="105" t="str">
        <f>报表格式!L44</f>
        <v xml:space="preserve"> （一）按经营持续性分类</v>
      </c>
      <c r="B45" s="247"/>
      <c r="C45" s="829"/>
      <c r="D45" s="829"/>
      <c r="E45" s="829"/>
      <c r="F45" s="829"/>
      <c r="G45" s="829"/>
      <c r="H45" s="829"/>
      <c r="I45" s="829"/>
      <c r="J45" s="814"/>
      <c r="K45" s="841"/>
    </row>
    <row r="46" spans="1:14" ht="15" customHeight="1">
      <c r="A46" s="105" t="str">
        <f>报表格式!L45</f>
        <v xml:space="preserve">     其中：持续经营净利润（净亏损以“-”号填列）</v>
      </c>
      <c r="B46" s="247">
        <f>合并PL汇总!B46</f>
        <v>0</v>
      </c>
      <c r="C46" s="829"/>
      <c r="D46" s="829"/>
      <c r="E46" s="829"/>
      <c r="F46" s="829"/>
      <c r="G46" s="829"/>
      <c r="H46" s="829"/>
      <c r="I46" s="829">
        <f>B46-E46-G46+F46+H46-C46+D46</f>
        <v>0</v>
      </c>
      <c r="J46" s="814"/>
      <c r="K46" s="841">
        <f>SUM(I46:J46)</f>
        <v>0</v>
      </c>
    </row>
    <row r="47" spans="1:14" ht="15" customHeight="1">
      <c r="A47" s="105" t="str">
        <f>报表格式!L46</f>
        <v xml:space="preserve">                 终止经营净利润（净亏损以“-”号填列）</v>
      </c>
      <c r="B47" s="247">
        <f>合并PL汇总!B47</f>
        <v>0</v>
      </c>
      <c r="C47" s="829"/>
      <c r="D47" s="829"/>
      <c r="E47" s="829"/>
      <c r="F47" s="829"/>
      <c r="G47" s="829"/>
      <c r="H47" s="829"/>
      <c r="I47" s="829">
        <f>B47-E47-G47+F47+H47-C47+D47</f>
        <v>0</v>
      </c>
      <c r="J47" s="814"/>
      <c r="K47" s="841">
        <f>SUM(I47:J47)</f>
        <v>0</v>
      </c>
    </row>
    <row r="48" spans="1:14" ht="15" customHeight="1">
      <c r="A48" s="105" t="str">
        <f>报表格式!L47</f>
        <v xml:space="preserve"> （二）按所有权归属分类</v>
      </c>
      <c r="B48" s="247"/>
      <c r="C48" s="829"/>
      <c r="D48" s="829"/>
      <c r="E48" s="829"/>
      <c r="F48" s="829"/>
      <c r="G48" s="829"/>
      <c r="H48" s="829"/>
      <c r="I48" s="829"/>
      <c r="J48" s="814"/>
      <c r="K48" s="841"/>
    </row>
    <row r="49" spans="1:11" ht="15" customHeight="1">
      <c r="A49" s="105" t="str">
        <f>报表格式!L48</f>
        <v xml:space="preserve">     其中：归属于母公司股东的净利润（净亏损以“-”号填列）</v>
      </c>
      <c r="B49" s="247">
        <f>合并PL汇总!B49</f>
        <v>0</v>
      </c>
      <c r="C49" s="829">
        <f>C44-C50</f>
        <v>0</v>
      </c>
      <c r="D49" s="829">
        <f t="shared" ref="D49:H49" si="12">D44-D50</f>
        <v>0</v>
      </c>
      <c r="E49" s="829">
        <f t="shared" si="12"/>
        <v>0</v>
      </c>
      <c r="F49" s="829">
        <f t="shared" si="12"/>
        <v>0</v>
      </c>
      <c r="G49" s="829">
        <f t="shared" si="12"/>
        <v>0</v>
      </c>
      <c r="H49" s="829">
        <f t="shared" si="12"/>
        <v>0</v>
      </c>
      <c r="I49" s="829">
        <f>I44-I50</f>
        <v>0</v>
      </c>
      <c r="J49" s="814"/>
      <c r="K49" s="841">
        <f>SUM(I49:J49)</f>
        <v>0</v>
      </c>
    </row>
    <row r="50" spans="1:11" s="647" customFormat="1" ht="15" customHeight="1">
      <c r="A50" s="105" t="str">
        <f>报表格式!L49</f>
        <v xml:space="preserve">                少数股东损益（净亏损以“-”号填列）</v>
      </c>
      <c r="B50" s="247">
        <f>合并PL汇总!B50</f>
        <v>0</v>
      </c>
      <c r="C50" s="829">
        <f>SUMIF(权益抵销!$E$5:$E$65537,LEFT(IF(OR(MID(TRIM($A50),3,1)="：",MID(TRIM($A50),2,1)="、"),REPLACEB(TRIM($A50),1,6,""),TRIM($A50)),6),权益抵销!$J$5:$J$65537)</f>
        <v>0</v>
      </c>
      <c r="D50" s="829">
        <f>SUMIF(权益抵销!$H$5:$H$65537,LEFT(IF(OR(MID(TRIM($A50),3,1)="：",MID(TRIM($A50),2,1)="、"),REPLACEB(TRIM($A50),1,6,""),TRIM($A50)),6),权益抵销!$J$5:$J$65537)</f>
        <v>0</v>
      </c>
      <c r="E50" s="829">
        <f>SUMIF(往来交易抵销!$E$5:$E$65536,LEFT(IF(OR(MID(TRIM($A50),3,1)="：",MID(TRIM($A50),2,1)="、"),REPLACEB(TRIM($A50),1,6,""),TRIM($A50)),6),往来交易抵销!$J$5:$J$65536)</f>
        <v>0</v>
      </c>
      <c r="F50" s="829">
        <f>SUMIF(往来交易抵销!$H$5:$H$65536,LEFT(IF(OR(MID(TRIM($A50),3,1)="：",MID(TRIM($A50),2,1)="、"),REPLACEB(TRIM($A50),1,6,""),TRIM($A50)),6),往来交易抵销!$J$5:$J$65536)</f>
        <v>0</v>
      </c>
      <c r="G50" s="829">
        <f>SUMIF('合并报表调整 '!$E$5:$E$65536,LEFT(IF(OR(MID(TRIM($A50),3,1)="：",MID(TRIM($A50),2,1)="、"),REPLACEB(TRIM($A50),1,6,""),TRIM($A50)),6),'合并报表调整 '!$J$5:$J$65536)</f>
        <v>0</v>
      </c>
      <c r="H50" s="829">
        <f>SUMIF('合并报表调整 '!$H$5:$H$65536,LEFT(IF(OR(MID(TRIM($A50),3,1)="：",MID(TRIM($A50),2,1)="、"),REPLACEB(TRIM($A50),1,6,""),TRIM($A50)),6),'合并报表调整 '!$J$5:$J$65536)</f>
        <v>0</v>
      </c>
      <c r="I50" s="829">
        <f t="shared" ref="I50:I74" si="13">B50-E50-G50+F50+H50-C50+D50</f>
        <v>0</v>
      </c>
      <c r="J50" s="814"/>
      <c r="K50" s="841">
        <f>SUM(I50:J50)</f>
        <v>0</v>
      </c>
    </row>
    <row r="51" spans="1:11" ht="15" customHeight="1">
      <c r="A51" s="94" t="str">
        <f>报表格式!L50</f>
        <v>五、其他综合收益的税后净额</v>
      </c>
      <c r="B51" s="242">
        <f>合并PL汇总!B51</f>
        <v>0</v>
      </c>
      <c r="C51" s="830">
        <f t="shared" ref="C51:H51" si="14">C52+C71</f>
        <v>0</v>
      </c>
      <c r="D51" s="830">
        <f t="shared" si="14"/>
        <v>0</v>
      </c>
      <c r="E51" s="830">
        <f t="shared" si="14"/>
        <v>0</v>
      </c>
      <c r="F51" s="830">
        <f t="shared" si="14"/>
        <v>0</v>
      </c>
      <c r="G51" s="830">
        <f t="shared" si="14"/>
        <v>0</v>
      </c>
      <c r="H51" s="830">
        <f t="shared" si="14"/>
        <v>0</v>
      </c>
      <c r="I51" s="830">
        <f t="shared" si="13"/>
        <v>0</v>
      </c>
      <c r="J51" s="837"/>
      <c r="K51" s="842">
        <f>SUM(I51:J51)</f>
        <v>0</v>
      </c>
    </row>
    <row r="52" spans="1:11" ht="15" customHeight="1">
      <c r="A52" s="105" t="str">
        <f>报表格式!L51</f>
        <v>归属于母公司股东的其他综合收益的税后净额</v>
      </c>
      <c r="B52" s="236">
        <f>B45+B51</f>
        <v>0</v>
      </c>
      <c r="C52" s="829">
        <f t="shared" ref="C52:H52" si="15">C53+C59</f>
        <v>0</v>
      </c>
      <c r="D52" s="829">
        <f t="shared" si="15"/>
        <v>0</v>
      </c>
      <c r="E52" s="829">
        <f t="shared" si="15"/>
        <v>0</v>
      </c>
      <c r="F52" s="829">
        <f t="shared" si="15"/>
        <v>0</v>
      </c>
      <c r="G52" s="829">
        <f t="shared" si="15"/>
        <v>0</v>
      </c>
      <c r="H52" s="829">
        <f t="shared" si="15"/>
        <v>0</v>
      </c>
      <c r="I52" s="829">
        <f t="shared" si="13"/>
        <v>0</v>
      </c>
      <c r="J52" s="814"/>
      <c r="K52" s="841">
        <f t="shared" ref="K52:K66" si="16">SUM(I52:J52)</f>
        <v>0</v>
      </c>
    </row>
    <row r="53" spans="1:11" ht="15" customHeight="1">
      <c r="A53" s="105" t="str">
        <f>报表格式!L52</f>
        <v xml:space="preserve">  （一）不能重分类进损益的其他综合收益</v>
      </c>
      <c r="B53" s="236">
        <f>合并PL汇总!B53</f>
        <v>0</v>
      </c>
      <c r="C53" s="829">
        <f t="shared" ref="C53:H53" si="17">SUM(C54:C58)</f>
        <v>0</v>
      </c>
      <c r="D53" s="829">
        <f t="shared" si="17"/>
        <v>0</v>
      </c>
      <c r="E53" s="829">
        <f t="shared" si="17"/>
        <v>0</v>
      </c>
      <c r="F53" s="829">
        <f t="shared" si="17"/>
        <v>0</v>
      </c>
      <c r="G53" s="829">
        <f t="shared" si="17"/>
        <v>0</v>
      </c>
      <c r="H53" s="829">
        <f t="shared" si="17"/>
        <v>0</v>
      </c>
      <c r="I53" s="829">
        <f t="shared" si="13"/>
        <v>0</v>
      </c>
      <c r="J53" s="814"/>
      <c r="K53" s="841">
        <f t="shared" si="16"/>
        <v>0</v>
      </c>
    </row>
    <row r="54" spans="1:11" ht="15" customHeight="1">
      <c r="A54" s="784" t="str">
        <f>报表格式!L53</f>
        <v>1.重新计量设定受益计划变动额</v>
      </c>
      <c r="B54" s="236">
        <f>合并PL汇总!B54</f>
        <v>0</v>
      </c>
      <c r="C54" s="829">
        <f>SUMIF(权益抵销!$E$5:$E$65537,IF(OR(MID(TRIM($A54),2,1)="：",MID(TRIM($A54),2,1)="、"),REPLACEB(TRIM($A54),1,4,""),TRIM($A54)),权益抵销!$J$5:$J$65537)</f>
        <v>0</v>
      </c>
      <c r="D54" s="829">
        <f>SUMIF(权益抵销!$H$5:$H$65537,IF(OR(MID(TRIM($A54),2,1)="：",MID(TRIM($A54),2,1)="、"),REPLACEB(TRIM($A54),1,4,""),TRIM($A54)),权益抵销!$J$5:$J$65537)</f>
        <v>0</v>
      </c>
      <c r="E54" s="814">
        <f>SUMIF(往来交易抵销!$E$5:$E$65536,IF(OR(MID(TRIM($A54),2,1)="：",MID(TRIM($A54),2,1)="、"),REPLACEB(TRIM($A54),1,4,""),TRIM($A54)),往来交易抵销!$J$5:$J$65536)</f>
        <v>0</v>
      </c>
      <c r="F54" s="814">
        <f>SUMIF(往来交易抵销!$H$5:$H$65536,IF(OR(MID(TRIM($A54),2,1)="：",MID(TRIM($A54),2,1)="、"),REPLACEB(TRIM($A54),1,4,""),TRIM($A54)),往来交易抵销!$J$5:$J$65536)</f>
        <v>0</v>
      </c>
      <c r="G54" s="814">
        <f>SUMIF('合并报表调整 '!$E$5:$E$65536,IF(OR(MID(TRIM($A54),2,1)="：",MID(TRIM($A54),2,1)="、"),REPLACEB(TRIM($A54),1,4,""),TRIM($A54)),'合并报表调整 '!$J$5:$J$65536)</f>
        <v>0</v>
      </c>
      <c r="H54" s="814">
        <f>SUMIF('合并报表调整 '!$H$5:$H$65536,IF(OR(MID(TRIM($A54),2,1)="：",MID(TRIM($A54),2,1)="、"),REPLACEB(TRIM($A54),1,4,""),TRIM($A54)),'合并报表调整 '!$J$5:$J$65536)</f>
        <v>0</v>
      </c>
      <c r="I54" s="829">
        <f t="shared" si="13"/>
        <v>0</v>
      </c>
      <c r="J54" s="814"/>
      <c r="K54" s="841">
        <f t="shared" si="16"/>
        <v>0</v>
      </c>
    </row>
    <row r="55" spans="1:11" ht="15" customHeight="1">
      <c r="A55" s="784" t="str">
        <f>报表格式!L54</f>
        <v>2.权益法下不能转损益的其他综合收益</v>
      </c>
      <c r="B55" s="236">
        <f>合并PL汇总!B55</f>
        <v>0</v>
      </c>
      <c r="C55" s="829">
        <f>SUMIF(权益抵销!$E$5:$E$65537,IF(OR(MID(TRIM($A55),2,1)="：",MID(TRIM($A55),2,1)="、"),REPLACEB(TRIM($A55),1,4,""),TRIM($A55)),权益抵销!$J$5:$J$65537)</f>
        <v>0</v>
      </c>
      <c r="D55" s="829">
        <f>SUMIF(权益抵销!$H$5:$H$65537,IF(OR(MID(TRIM($A55),2,1)="：",MID(TRIM($A55),2,1)="、"),REPLACEB(TRIM($A55),1,4,""),TRIM($A55)),权益抵销!$J$5:$J$65537)</f>
        <v>0</v>
      </c>
      <c r="E55" s="814">
        <f>SUMIF(往来交易抵销!$E$5:$E$65536,IF(OR(MID(TRIM($A55),2,1)="：",MID(TRIM($A55),2,1)="、"),REPLACEB(TRIM($A55),1,4,""),TRIM($A55)),往来交易抵销!$J$5:$J$65536)</f>
        <v>0</v>
      </c>
      <c r="F55" s="814">
        <f>SUMIF(往来交易抵销!$H$5:$H$65536,IF(OR(MID(TRIM($A55),2,1)="：",MID(TRIM($A55),2,1)="、"),REPLACEB(TRIM($A55),1,4,""),TRIM($A55)),往来交易抵销!$J$5:$J$65536)</f>
        <v>0</v>
      </c>
      <c r="G55" s="814">
        <f>SUMIF('合并报表调整 '!$E$5:$E$65536,IF(OR(MID(TRIM($A55),2,1)="：",MID(TRIM($A55),2,1)="、"),REPLACEB(TRIM($A55),1,4,""),TRIM($A55)),'合并报表调整 '!$J$5:$J$65536)</f>
        <v>0</v>
      </c>
      <c r="H55" s="814">
        <f>SUMIF('合并报表调整 '!$H$5:$H$65536,IF(OR(MID(TRIM($A55),2,1)="：",MID(TRIM($A55),2,1)="、"),REPLACEB(TRIM($A55),1,4,""),TRIM($A55)),'合并报表调整 '!$J$5:$J$65536)</f>
        <v>0</v>
      </c>
      <c r="I55" s="829">
        <f t="shared" si="13"/>
        <v>0</v>
      </c>
      <c r="J55" s="814"/>
      <c r="K55" s="841">
        <f t="shared" si="16"/>
        <v>0</v>
      </c>
    </row>
    <row r="56" spans="1:11" ht="15" customHeight="1">
      <c r="A56" s="784" t="str">
        <f>报表格式!L55</f>
        <v xml:space="preserve">3.其他权益工具投资公允价值变动 </v>
      </c>
      <c r="B56" s="236">
        <f>合并PL汇总!B56</f>
        <v>0</v>
      </c>
      <c r="C56" s="829">
        <f>SUMIF(权益抵销!$E$5:$E$65537,IF(OR(MID(TRIM($A56),2,1)="：",MID(TRIM($A56),2,1)="、"),REPLACEB(TRIM($A56),1,4,""),TRIM($A56)),权益抵销!$J$5:$J$65537)</f>
        <v>0</v>
      </c>
      <c r="D56" s="829">
        <f>SUMIF(权益抵销!$H$5:$H$65537,IF(OR(MID(TRIM($A56),2,1)="：",MID(TRIM($A56),2,1)="、"),REPLACEB(TRIM($A56),1,4,""),TRIM($A56)),权益抵销!$J$5:$J$65537)</f>
        <v>0</v>
      </c>
      <c r="E56" s="814">
        <f>SUMIF(往来交易抵销!$E$5:$E$65536,IF(OR(MID(TRIM($A56),2,1)="：",MID(TRIM($A56),2,1)="、"),REPLACEB(TRIM($A56),1,4,""),TRIM($A56)),往来交易抵销!$J$5:$J$65536)</f>
        <v>0</v>
      </c>
      <c r="F56" s="814">
        <f>SUMIF(往来交易抵销!$H$5:$H$65536,IF(OR(MID(TRIM($A56),2,1)="：",MID(TRIM($A56),2,1)="、"),REPLACEB(TRIM($A56),1,4,""),TRIM($A56)),往来交易抵销!$J$5:$J$65536)</f>
        <v>0</v>
      </c>
      <c r="G56" s="814">
        <f>SUMIF('合并报表调整 '!$E$5:$E$65536,IF(OR(MID(TRIM($A56),2,1)="：",MID(TRIM($A56),2,1)="、"),REPLACEB(TRIM($A56),1,4,""),TRIM($A56)),'合并报表调整 '!$J$5:$J$65536)</f>
        <v>0</v>
      </c>
      <c r="H56" s="814">
        <f>SUMIF('合并报表调整 '!$H$5:$H$65536,IF(OR(MID(TRIM($A56),2,1)="：",MID(TRIM($A56),2,1)="、"),REPLACEB(TRIM($A56),1,4,""),TRIM($A56)),'合并报表调整 '!$J$5:$J$65536)</f>
        <v>0</v>
      </c>
      <c r="I56" s="829">
        <f>B56-E56-G56+F56+H56-C56+D56</f>
        <v>0</v>
      </c>
      <c r="J56" s="814"/>
      <c r="K56" s="841">
        <f>SUM(I56:J56)</f>
        <v>0</v>
      </c>
    </row>
    <row r="57" spans="1:11" ht="15" customHeight="1">
      <c r="A57" s="784" t="str">
        <f>报表格式!L56</f>
        <v xml:space="preserve">4.企业自身信用风险公允价值变动 </v>
      </c>
      <c r="B57" s="236">
        <f>合并PL汇总!B57</f>
        <v>0</v>
      </c>
      <c r="C57" s="829">
        <f>SUMIF(权益抵销!$E$5:$E$65537,IF(OR(MID(TRIM($A57),2,1)="：",MID(TRIM($A57),2,1)="、"),REPLACEB(TRIM($A57),1,4,""),TRIM($A57)),权益抵销!$J$5:$J$65537)</f>
        <v>0</v>
      </c>
      <c r="D57" s="829">
        <f>SUMIF(权益抵销!$H$5:$H$65537,IF(OR(MID(TRIM($A57),2,1)="：",MID(TRIM($A57),2,1)="、"),REPLACEB(TRIM($A57),1,4,""),TRIM($A57)),权益抵销!$J$5:$J$65537)</f>
        <v>0</v>
      </c>
      <c r="E57" s="814">
        <f>SUMIF(往来交易抵销!$E$5:$E$65536,IF(OR(MID(TRIM($A57),2,1)="：",MID(TRIM($A57),2,1)="、"),REPLACEB(TRIM($A57),1,4,""),TRIM($A57)),往来交易抵销!$J$5:$J$65536)</f>
        <v>0</v>
      </c>
      <c r="F57" s="814">
        <f>SUMIF(往来交易抵销!$H$5:$H$65536,IF(OR(MID(TRIM($A57),2,1)="：",MID(TRIM($A57),2,1)="、"),REPLACEB(TRIM($A57),1,4,""),TRIM($A57)),往来交易抵销!$J$5:$J$65536)</f>
        <v>0</v>
      </c>
      <c r="G57" s="814">
        <f>SUMIF('合并报表调整 '!$E$5:$E$65536,IF(OR(MID(TRIM($A57),2,1)="：",MID(TRIM($A57),2,1)="、"),REPLACEB(TRIM($A57),1,4,""),TRIM($A57)),'合并报表调整 '!$J$5:$J$65536)</f>
        <v>0</v>
      </c>
      <c r="H57" s="814">
        <f>SUMIF('合并报表调整 '!$H$5:$H$65536,IF(OR(MID(TRIM($A57),2,1)="：",MID(TRIM($A57),2,1)="、"),REPLACEB(TRIM($A57),1,4,""),TRIM($A57)),'合并报表调整 '!$J$5:$J$65536)</f>
        <v>0</v>
      </c>
      <c r="I57" s="829">
        <f>B57-E57-G57+F57+H57-C57+D57</f>
        <v>0</v>
      </c>
      <c r="J57" s="814"/>
      <c r="K57" s="841">
        <f>SUM(I57:J57)</f>
        <v>0</v>
      </c>
    </row>
    <row r="58" spans="1:11" ht="15" customHeight="1">
      <c r="A58" s="784" t="str">
        <f>报表格式!L57</f>
        <v>5.其他</v>
      </c>
      <c r="B58" s="236">
        <f>合并PL汇总!B58</f>
        <v>0</v>
      </c>
      <c r="C58" s="829">
        <f>SUMIF(权益抵销!$E$5:$E$65537,IF(OR(MID(TRIM($A58),2,1)="：",MID(TRIM($A58),2,1)="、"),REPLACEB(TRIM($A58),1,4,""),TRIM($A58)),权益抵销!$J$5:$J$65537)</f>
        <v>0</v>
      </c>
      <c r="D58" s="829">
        <f>SUMIF(权益抵销!$H$5:$H$65537,IF(OR(MID(TRIM($A58),2,1)="：",MID(TRIM($A58),2,1)="、"),REPLACEB(TRIM($A58),1,4,""),TRIM($A58)),权益抵销!$J$5:$J$65537)</f>
        <v>0</v>
      </c>
      <c r="E58" s="814">
        <f>SUMIF(往来交易抵销!$E$5:$E$65536,IF(OR(MID(TRIM($A58),2,1)="：",MID(TRIM($A58),2,1)="、"),REPLACEB(TRIM($A58),1,4,""),TRIM($A58)),往来交易抵销!$J$5:$J$65536)</f>
        <v>0</v>
      </c>
      <c r="F58" s="814">
        <f>SUMIF(往来交易抵销!$H$5:$H$65536,IF(OR(MID(TRIM($A58),2,1)="：",MID(TRIM($A58),2,1)="、"),REPLACEB(TRIM($A58),1,4,""),TRIM($A58)),往来交易抵销!$J$5:$J$65536)</f>
        <v>0</v>
      </c>
      <c r="G58" s="814">
        <f>SUMIF('合并报表调整 '!$E$5:$E$65536,IF(OR(MID(TRIM($A58),2,1)="：",MID(TRIM($A58),2,1)="、"),REPLACEB(TRIM($A58),1,4,""),TRIM($A58)),'合并报表调整 '!$J$5:$J$65536)</f>
        <v>0</v>
      </c>
      <c r="H58" s="814">
        <f>SUMIF('合并报表调整 '!$H$5:$H$65536,IF(OR(MID(TRIM($A58),2,1)="：",MID(TRIM($A58),2,1)="、"),REPLACEB(TRIM($A58),1,4,""),TRIM($A58)),'合并报表调整 '!$J$5:$J$65536)</f>
        <v>0</v>
      </c>
      <c r="I58" s="829">
        <f t="shared" si="13"/>
        <v>0</v>
      </c>
      <c r="J58" s="814"/>
      <c r="K58" s="841">
        <f t="shared" si="16"/>
        <v>0</v>
      </c>
    </row>
    <row r="59" spans="1:11" ht="15" customHeight="1">
      <c r="A59" s="105" t="str">
        <f>报表格式!L58</f>
        <v xml:space="preserve">  （二）将重分类进损益的其他综合收益</v>
      </c>
      <c r="B59" s="236">
        <f>合并PL汇总!B59</f>
        <v>0</v>
      </c>
      <c r="C59" s="829">
        <f t="shared" ref="C59:H59" si="18">SUM(C60:C70)</f>
        <v>0</v>
      </c>
      <c r="D59" s="829">
        <f t="shared" si="18"/>
        <v>0</v>
      </c>
      <c r="E59" s="829">
        <f t="shared" si="18"/>
        <v>0</v>
      </c>
      <c r="F59" s="829">
        <f t="shared" si="18"/>
        <v>0</v>
      </c>
      <c r="G59" s="829">
        <f t="shared" si="18"/>
        <v>0</v>
      </c>
      <c r="H59" s="829">
        <f t="shared" si="18"/>
        <v>0</v>
      </c>
      <c r="I59" s="829">
        <f t="shared" si="13"/>
        <v>0</v>
      </c>
      <c r="J59" s="814"/>
      <c r="K59" s="841">
        <f t="shared" si="16"/>
        <v>0</v>
      </c>
    </row>
    <row r="60" spans="1:11" ht="15" customHeight="1">
      <c r="A60" s="784" t="str">
        <f>报表格式!L59</f>
        <v>1.权益法下可转损益的其他综合收益</v>
      </c>
      <c r="B60" s="236">
        <f>合并PL汇总!B60</f>
        <v>0</v>
      </c>
      <c r="C60" s="829">
        <f>SUMIF(权益抵销!$E$5:$E$65537,IF(OR(MID(TRIM($A60),2,1)="：",MID(TRIM($A60),2,1)="、"),REPLACEB(TRIM($A60),1,4,""),TRIM($A60)),权益抵销!$J$5:$J$65537)</f>
        <v>0</v>
      </c>
      <c r="D60" s="829">
        <f>SUMIF(权益抵销!$H$5:$H$65537,IF(OR(MID(TRIM($A60),2,1)="：",MID(TRIM($A60),2,1)="、"),REPLACEB(TRIM($A60),1,4,""),TRIM($A60)),权益抵销!$J$5:$J$65537)</f>
        <v>0</v>
      </c>
      <c r="E60" s="814">
        <f>SUMIF(往来交易抵销!$E$5:$E$65536,IF(OR(MID(TRIM($A60),2,1)="：",MID(TRIM($A60),2,1)="、"),REPLACEB(TRIM($A60),1,4,""),TRIM($A60)),往来交易抵销!$J$5:$J$65536)</f>
        <v>0</v>
      </c>
      <c r="F60" s="814">
        <f>SUMIF(往来交易抵销!$H$5:$H$65536,IF(OR(MID(TRIM($A60),2,1)="：",MID(TRIM($A60),2,1)="、"),REPLACEB(TRIM($A60),1,4,""),TRIM($A60)),往来交易抵销!$J$5:$J$65536)</f>
        <v>0</v>
      </c>
      <c r="G60" s="814">
        <f>SUMIF('合并报表调整 '!$E$5:$E$65536,IF(OR(MID(TRIM($A60),2,1)="：",MID(TRIM($A60),2,1)="、"),REPLACEB(TRIM($A60),1,4,""),TRIM($A60)),'合并报表调整 '!$J$5:$J$65536)</f>
        <v>0</v>
      </c>
      <c r="H60" s="814">
        <f>SUMIF('合并报表调整 '!$H$5:$H$65536,IF(OR(MID(TRIM($A60),2,1)="：",MID(TRIM($A60),2,1)="、"),REPLACEB(TRIM($A60),1,4,""),TRIM($A60)),'合并报表调整 '!$J$5:$J$65536)</f>
        <v>0</v>
      </c>
      <c r="I60" s="829">
        <f t="shared" si="13"/>
        <v>0</v>
      </c>
      <c r="J60" s="814"/>
      <c r="K60" s="841">
        <f t="shared" si="16"/>
        <v>0</v>
      </c>
    </row>
    <row r="61" spans="1:11" ht="15" customHeight="1">
      <c r="A61" s="784" t="str">
        <f>报表格式!L60</f>
        <v xml:space="preserve">2.其他债权投资公允价值变动 </v>
      </c>
      <c r="B61" s="236">
        <f>合并PL汇总!B61</f>
        <v>0</v>
      </c>
      <c r="C61" s="829">
        <f>SUMIF(权益抵销!$E$5:$E$65537,IF(OR(MID(TRIM($A61),2,1)="：",MID(TRIM($A61),2,1)="、"),REPLACEB(TRIM($A61),1,4,""),TRIM($A61)),权益抵销!$J$5:$J$65537)</f>
        <v>0</v>
      </c>
      <c r="D61" s="829">
        <f>SUMIF(权益抵销!$H$5:$H$65537,IF(OR(MID(TRIM($A61),2,1)="：",MID(TRIM($A61),2,1)="、"),REPLACEB(TRIM($A61),1,4,""),TRIM($A61)),权益抵销!$J$5:$J$65537)</f>
        <v>0</v>
      </c>
      <c r="E61" s="814">
        <f>SUMIF(往来交易抵销!$E$5:$E$65536,IF(OR(MID(TRIM($A61),2,1)="：",MID(TRIM($A61),2,1)="、"),REPLACEB(TRIM($A61),1,4,""),TRIM($A61)),往来交易抵销!$J$5:$J$65536)</f>
        <v>0</v>
      </c>
      <c r="F61" s="814">
        <f>SUMIF(往来交易抵销!$H$5:$H$65536,IF(OR(MID(TRIM($A61),2,1)="：",MID(TRIM($A61),2,1)="、"),REPLACEB(TRIM($A61),1,4,""),TRIM($A61)),往来交易抵销!$J$5:$J$65536)</f>
        <v>0</v>
      </c>
      <c r="G61" s="814">
        <f>SUMIF('合并报表调整 '!$E$5:$E$65536,IF(OR(MID(TRIM($A61),2,1)="：",MID(TRIM($A61),2,1)="、"),REPLACEB(TRIM($A61),1,4,""),TRIM($A61)),'合并报表调整 '!$J$5:$J$65536)</f>
        <v>0</v>
      </c>
      <c r="H61" s="814">
        <f>SUMIF('合并报表调整 '!$H$5:$H$65536,IF(OR(MID(TRIM($A61),2,1)="：",MID(TRIM($A61),2,1)="、"),REPLACEB(TRIM($A61),1,4,""),TRIM($A61)),'合并报表调整 '!$J$5:$J$65536)</f>
        <v>0</v>
      </c>
      <c r="I61" s="829">
        <f t="shared" ref="I61:I64" si="19">B61-E61-G61+F61+H61-C61+D61</f>
        <v>0</v>
      </c>
      <c r="J61" s="814"/>
      <c r="K61" s="841">
        <f t="shared" ref="K61:K64" si="20">SUM(I61:J61)</f>
        <v>0</v>
      </c>
    </row>
    <row r="62" spans="1:11" ht="15" customHeight="1">
      <c r="A62" s="784" t="str">
        <f>报表格式!L61</f>
        <v>3.可供出售金融资产公允价值变动损益</v>
      </c>
      <c r="B62" s="236">
        <f>合并PL汇总!B62</f>
        <v>0</v>
      </c>
      <c r="C62" s="829">
        <f>SUMIF(权益抵销!$E$5:$E$65537,IF(OR(MID(TRIM($A62),2,1)="：",MID(TRIM($A62),2,1)="、"),REPLACEB(TRIM($A62),1,4,""),TRIM($A62)),权益抵销!$J$5:$J$65537)</f>
        <v>0</v>
      </c>
      <c r="D62" s="829">
        <f>SUMIF(权益抵销!$H$5:$H$65537,IF(OR(MID(TRIM($A62),2,1)="：",MID(TRIM($A62),2,1)="、"),REPLACEB(TRIM($A62),1,4,""),TRIM($A62)),权益抵销!$J$5:$J$65537)</f>
        <v>0</v>
      </c>
      <c r="E62" s="814">
        <f>SUMIF(往来交易抵销!$E$5:$E$65536,IF(OR(MID(TRIM($A62),2,1)="：",MID(TRIM($A62),2,1)="、"),REPLACEB(TRIM($A62),1,4,""),TRIM($A62)),往来交易抵销!$J$5:$J$65536)</f>
        <v>0</v>
      </c>
      <c r="F62" s="814">
        <f>SUMIF(往来交易抵销!$H$5:$H$65536,IF(OR(MID(TRIM($A62),2,1)="：",MID(TRIM($A62),2,1)="、"),REPLACEB(TRIM($A62),1,4,""),TRIM($A62)),往来交易抵销!$J$5:$J$65536)</f>
        <v>0</v>
      </c>
      <c r="G62" s="814">
        <f>SUMIF('合并报表调整 '!$E$5:$E$65536,IF(OR(MID(TRIM($A62),2,1)="：",MID(TRIM($A62),2,1)="、"),REPLACEB(TRIM($A62),1,4,""),TRIM($A62)),'合并报表调整 '!$J$5:$J$65536)</f>
        <v>0</v>
      </c>
      <c r="H62" s="814">
        <f>SUMIF('合并报表调整 '!$H$5:$H$65536,IF(OR(MID(TRIM($A62),2,1)="：",MID(TRIM($A62),2,1)="、"),REPLACEB(TRIM($A62),1,4,""),TRIM($A62)),'合并报表调整 '!$J$5:$J$65536)</f>
        <v>0</v>
      </c>
      <c r="I62" s="829">
        <f t="shared" si="19"/>
        <v>0</v>
      </c>
      <c r="J62" s="814"/>
      <c r="K62" s="841">
        <f t="shared" si="20"/>
        <v>0</v>
      </c>
    </row>
    <row r="63" spans="1:11" ht="15" customHeight="1">
      <c r="A63" s="784" t="str">
        <f>报表格式!L62</f>
        <v xml:space="preserve">4.金融资产重分类计入其他综合收益的金额 </v>
      </c>
      <c r="B63" s="236">
        <f>合并PL汇总!B63</f>
        <v>0</v>
      </c>
      <c r="C63" s="829">
        <f>SUMIF(权益抵销!$E$5:$E$65537,IF(OR(MID(TRIM($A63),2,1)="：",MID(TRIM($A63),2,1)="、"),REPLACEB(TRIM($A63),1,4,""),TRIM($A63)),权益抵销!$J$5:$J$65537)</f>
        <v>0</v>
      </c>
      <c r="D63" s="829">
        <f>SUMIF(权益抵销!$H$5:$H$65537,IF(OR(MID(TRIM($A63),2,1)="：",MID(TRIM($A63),2,1)="、"),REPLACEB(TRIM($A63),1,4,""),TRIM($A63)),权益抵销!$J$5:$J$65537)</f>
        <v>0</v>
      </c>
      <c r="E63" s="814">
        <f>SUMIF(往来交易抵销!$E$5:$E$65536,IF(OR(MID(TRIM($A63),2,1)="：",MID(TRIM($A63),2,1)="、"),REPLACEB(TRIM($A63),1,4,""),TRIM($A63)),往来交易抵销!$J$5:$J$65536)</f>
        <v>0</v>
      </c>
      <c r="F63" s="814">
        <f>SUMIF(往来交易抵销!$H$5:$H$65536,IF(OR(MID(TRIM($A63),2,1)="：",MID(TRIM($A63),2,1)="、"),REPLACEB(TRIM($A63),1,4,""),TRIM($A63)),往来交易抵销!$J$5:$J$65536)</f>
        <v>0</v>
      </c>
      <c r="G63" s="814">
        <f>SUMIF('合并报表调整 '!$E$5:$E$65536,IF(OR(MID(TRIM($A63),2,1)="：",MID(TRIM($A63),2,1)="、"),REPLACEB(TRIM($A63),1,4,""),TRIM($A63)),'合并报表调整 '!$J$5:$J$65536)</f>
        <v>0</v>
      </c>
      <c r="H63" s="814">
        <f>SUMIF('合并报表调整 '!$H$5:$H$65536,IF(OR(MID(TRIM($A63),2,1)="：",MID(TRIM($A63),2,1)="、"),REPLACEB(TRIM($A63),1,4,""),TRIM($A63)),'合并报表调整 '!$J$5:$J$65536)</f>
        <v>0</v>
      </c>
      <c r="I63" s="829">
        <f t="shared" si="19"/>
        <v>0</v>
      </c>
      <c r="J63" s="814"/>
      <c r="K63" s="841">
        <f t="shared" si="20"/>
        <v>0</v>
      </c>
    </row>
    <row r="64" spans="1:11" ht="15" customHeight="1">
      <c r="A64" s="784" t="str">
        <f>报表格式!L63</f>
        <v>5.持有至到期投资重分类为可供出售金融资产损益</v>
      </c>
      <c r="B64" s="236">
        <f>合并PL汇总!B64</f>
        <v>0</v>
      </c>
      <c r="C64" s="829">
        <f>SUMIF(权益抵销!$E$5:$E$65537,IF(OR(MID(TRIM($A64),2,1)="：",MID(TRIM($A64),2,1)="、"),REPLACEB(TRIM($A64),1,4,""),TRIM($A64)),权益抵销!$J$5:$J$65537)</f>
        <v>0</v>
      </c>
      <c r="D64" s="829">
        <f>SUMIF(权益抵销!$H$5:$H$65537,IF(OR(MID(TRIM($A64),2,1)="：",MID(TRIM($A64),2,1)="、"),REPLACEB(TRIM($A64),1,4,""),TRIM($A64)),权益抵销!$J$5:$J$65537)</f>
        <v>0</v>
      </c>
      <c r="E64" s="814">
        <f>SUMIF(往来交易抵销!$E$5:$E$65536,IF(OR(MID(TRIM($A64),2,1)="：",MID(TRIM($A64),2,1)="、"),REPLACEB(TRIM($A64),1,4,""),TRIM($A64)),往来交易抵销!$J$5:$J$65536)</f>
        <v>0</v>
      </c>
      <c r="F64" s="814">
        <f>SUMIF(往来交易抵销!$H$5:$H$65536,IF(OR(MID(TRIM($A64),2,1)="：",MID(TRIM($A64),2,1)="、"),REPLACEB(TRIM($A64),1,4,""),TRIM($A64)),往来交易抵销!$J$5:$J$65536)</f>
        <v>0</v>
      </c>
      <c r="G64" s="814">
        <f>SUMIF('合并报表调整 '!$E$5:$E$65536,IF(OR(MID(TRIM($A64),2,1)="：",MID(TRIM($A64),2,1)="、"),REPLACEB(TRIM($A64),1,4,""),TRIM($A64)),'合并报表调整 '!$J$5:$J$65536)</f>
        <v>0</v>
      </c>
      <c r="H64" s="814">
        <f>SUMIF('合并报表调整 '!$H$5:$H$65536,IF(OR(MID(TRIM($A64),2,1)="：",MID(TRIM($A64),2,1)="、"),REPLACEB(TRIM($A64),1,4,""),TRIM($A64)),'合并报表调整 '!$J$5:$J$65536)</f>
        <v>0</v>
      </c>
      <c r="I64" s="829">
        <f t="shared" si="19"/>
        <v>0</v>
      </c>
      <c r="J64" s="814"/>
      <c r="K64" s="841">
        <f t="shared" si="20"/>
        <v>0</v>
      </c>
    </row>
    <row r="65" spans="1:11" ht="15" customHeight="1">
      <c r="A65" s="784" t="str">
        <f>报表格式!L64</f>
        <v>6.其他债权投资信用减值准备</v>
      </c>
      <c r="B65" s="236">
        <f>合并PL汇总!B65</f>
        <v>0</v>
      </c>
      <c r="C65" s="829">
        <f>SUMIF(权益抵销!$E$5:$E$65537,IF(OR(MID(TRIM($A65),2,1)="：",MID(TRIM($A65),2,1)="、"),REPLACEB(TRIM($A65),1,4,""),TRIM($A65)),权益抵销!$J$5:$J$65537)</f>
        <v>0</v>
      </c>
      <c r="D65" s="829">
        <f>SUMIF(权益抵销!$H$5:$H$65537,IF(OR(MID(TRIM($A65),2,1)="：",MID(TRIM($A65),2,1)="、"),REPLACEB(TRIM($A65),1,4,""),TRIM($A65)),权益抵销!$J$5:$J$65537)</f>
        <v>0</v>
      </c>
      <c r="E65" s="814">
        <f>SUMIF(往来交易抵销!$E$5:$E$65536,IF(OR(MID(TRIM($A65),2,1)="：",MID(TRIM($A65),2,1)="、"),REPLACEB(TRIM($A65),1,4,""),TRIM($A65)),往来交易抵销!$J$5:$J$65536)</f>
        <v>0</v>
      </c>
      <c r="F65" s="814">
        <f>SUMIF(往来交易抵销!$H$5:$H$65536,IF(OR(MID(TRIM($A65),2,1)="：",MID(TRIM($A65),2,1)="、"),REPLACEB(TRIM($A65),1,4,""),TRIM($A65)),往来交易抵销!$J$5:$J$65536)</f>
        <v>0</v>
      </c>
      <c r="G65" s="814">
        <f>SUMIF('合并报表调整 '!$E$5:$E$65536,IF(OR(MID(TRIM($A65),2,1)="：",MID(TRIM($A65),2,1)="、"),REPLACEB(TRIM($A65),1,4,""),TRIM($A65)),'合并报表调整 '!$J$5:$J$65536)</f>
        <v>0</v>
      </c>
      <c r="H65" s="814">
        <f>SUMIF('合并报表调整 '!$H$5:$H$65536,IF(OR(MID(TRIM($A65),2,1)="：",MID(TRIM($A65),2,1)="、"),REPLACEB(TRIM($A65),1,4,""),TRIM($A65)),'合并报表调整 '!$J$5:$J$65536)</f>
        <v>0</v>
      </c>
      <c r="I65" s="829">
        <f>B65-E65-G65+F65+H65-C65+D65</f>
        <v>0</v>
      </c>
      <c r="J65" s="814"/>
      <c r="K65" s="841">
        <f>SUM(I65:J65)</f>
        <v>0</v>
      </c>
    </row>
    <row r="66" spans="1:11" ht="15" customHeight="1">
      <c r="A66" s="784" t="str">
        <f>报表格式!L65</f>
        <v>7.现金流量套期储备</v>
      </c>
      <c r="B66" s="236">
        <f>合并PL汇总!B66</f>
        <v>0</v>
      </c>
      <c r="C66" s="829">
        <f>SUMIF(权益抵销!$E$5:$E$65537,IF(OR(MID(TRIM($A66),2,1)="：",MID(TRIM($A66),2,1)="、"),REPLACEB(TRIM($A66),1,4,""),TRIM($A66)),权益抵销!$J$5:$J$65537)</f>
        <v>0</v>
      </c>
      <c r="D66" s="829">
        <f>SUMIF(权益抵销!$H$5:$H$65537,IF(OR(MID(TRIM($A66),2,1)="：",MID(TRIM($A66),2,1)="、"),REPLACEB(TRIM($A66),1,4,""),TRIM($A66)),权益抵销!$J$5:$J$65537)</f>
        <v>0</v>
      </c>
      <c r="E66" s="814">
        <f>SUMIF(往来交易抵销!$E$5:$E$65536,IF(OR(MID(TRIM($A66),2,1)="：",MID(TRIM($A66),2,1)="、"),REPLACEB(TRIM($A66),1,4,""),TRIM($A66)),往来交易抵销!$J$5:$J$65536)</f>
        <v>0</v>
      </c>
      <c r="F66" s="814">
        <f>SUMIF(往来交易抵销!$H$5:$H$65536,IF(OR(MID(TRIM($A66),2,1)="：",MID(TRIM($A66),2,1)="、"),REPLACEB(TRIM($A66),1,4,""),TRIM($A66)),往来交易抵销!$J$5:$J$65536)</f>
        <v>0</v>
      </c>
      <c r="G66" s="814">
        <f>SUMIF('合并报表调整 '!$E$5:$E$65536,IF(OR(MID(TRIM($A66),2,1)="：",MID(TRIM($A66),2,1)="、"),REPLACEB(TRIM($A66),1,4,""),TRIM($A66)),'合并报表调整 '!$J$5:$J$65536)</f>
        <v>0</v>
      </c>
      <c r="H66" s="814">
        <f>SUMIF('合并报表调整 '!$H$5:$H$65536,IF(OR(MID(TRIM($A66),2,1)="：",MID(TRIM($A66),2,1)="、"),REPLACEB(TRIM($A66),1,4,""),TRIM($A66)),'合并报表调整 '!$J$5:$J$65536)</f>
        <v>0</v>
      </c>
      <c r="I66" s="829">
        <f t="shared" si="13"/>
        <v>0</v>
      </c>
      <c r="J66" s="814"/>
      <c r="K66" s="841">
        <f t="shared" si="16"/>
        <v>0</v>
      </c>
    </row>
    <row r="67" spans="1:11" ht="15" customHeight="1">
      <c r="A67" s="784" t="str">
        <f>报表格式!L66</f>
        <v>8.外币财务报表折算差额</v>
      </c>
      <c r="B67" s="236">
        <f>合并PL汇总!B67</f>
        <v>0</v>
      </c>
      <c r="C67" s="829">
        <f>SUMIF(权益抵销!$E$5:$E$65537,IF(OR(MID(TRIM($A67),2,1)="：",MID(TRIM($A67),2,1)="、"),REPLACEB(TRIM($A67),1,4,""),TRIM($A67)),权益抵销!$J$5:$J$65537)</f>
        <v>0</v>
      </c>
      <c r="D67" s="829">
        <f>SUMIF(权益抵销!$H$5:$H$65537,IF(OR(MID(TRIM($A67),2,1)="：",MID(TRIM($A67),2,1)="、"),REPLACEB(TRIM($A67),1,4,""),TRIM($A67)),权益抵销!$J$5:$J$65537)</f>
        <v>0</v>
      </c>
      <c r="E67" s="814">
        <f>SUMIF(往来交易抵销!$E$5:$E$65536,IF(OR(MID(TRIM($A67),2,1)="：",MID(TRIM($A67),2,1)="、"),REPLACEB(TRIM($A67),1,4,""),TRIM($A67)),往来交易抵销!$J$5:$J$65536)</f>
        <v>0</v>
      </c>
      <c r="F67" s="814">
        <f>SUMIF(往来交易抵销!$H$5:$H$65536,IF(OR(MID(TRIM($A67),2,1)="：",MID(TRIM($A67),2,1)="、"),REPLACEB(TRIM($A67),1,4,""),TRIM($A67)),往来交易抵销!$J$5:$J$65536)</f>
        <v>0</v>
      </c>
      <c r="G67" s="814">
        <f>SUMIF('合并报表调整 '!$E$5:$E$65536,IF(OR(MID(TRIM($A67),2,1)="：",MID(TRIM($A67),2,1)="、"),REPLACEB(TRIM($A67),1,4,""),TRIM($A67)),'合并报表调整 '!$J$5:$J$65536)</f>
        <v>0</v>
      </c>
      <c r="H67" s="814">
        <f>SUMIF('合并报表调整 '!$H$5:$H$65536,IF(OR(MID(TRIM($A67),2,1)="：",MID(TRIM($A67),2,1)="、"),REPLACEB(TRIM($A67),1,4,""),TRIM($A67)),'合并报表调整 '!$J$5:$J$65536)</f>
        <v>0</v>
      </c>
      <c r="I67" s="829">
        <f t="shared" si="13"/>
        <v>0</v>
      </c>
      <c r="J67" s="814"/>
      <c r="K67" s="841">
        <f t="shared" ref="K67:K73" si="21">SUM(I67:J67)</f>
        <v>0</v>
      </c>
    </row>
    <row r="68" spans="1:11" ht="15" customHeight="1">
      <c r="A68" s="784" t="str">
        <f>报表格式!L67</f>
        <v>9.自用房地产或作为存货的房地产转换为以公允价值计量的投资性房地产在转换日公允价值大于账面价值部分</v>
      </c>
      <c r="B68" s="236">
        <f>合并PL汇总!B68</f>
        <v>0</v>
      </c>
      <c r="C68" s="829">
        <f>SUMIF(权益抵销!$E$5:$E$65537,IF(OR(MID(TRIM($A68),2,1)="：",MID(TRIM($A68),2,1)="、"),REPLACEB(TRIM($A68),1,4,""),TRIM($A68)),权益抵销!$J$5:$J$65537)</f>
        <v>0</v>
      </c>
      <c r="D68" s="829">
        <f>SUMIF(权益抵销!$H$5:$H$65537,IF(OR(MID(TRIM($A68),2,1)="：",MID(TRIM($A68),2,1)="、"),REPLACEB(TRIM($A68),1,4,""),TRIM($A68)),权益抵销!$J$5:$J$65537)</f>
        <v>0</v>
      </c>
      <c r="E68" s="814">
        <f>SUMIF(往来交易抵销!$E$5:$E$65536,IF(OR(MID(TRIM($A68),2,1)="：",MID(TRIM($A68),2,1)="、"),REPLACEB(TRIM($A68),1,4,""),TRIM($A68)),往来交易抵销!$J$5:$J$65536)</f>
        <v>0</v>
      </c>
      <c r="F68" s="814">
        <f>SUMIF(往来交易抵销!$H$5:$H$65536,IF(OR(MID(TRIM($A68),2,1)="：",MID(TRIM($A68),2,1)="、"),REPLACEB(TRIM($A68),1,4,""),TRIM($A68)),往来交易抵销!$J$5:$J$65536)</f>
        <v>0</v>
      </c>
      <c r="G68" s="814">
        <f>SUMIF('合并报表调整 '!$E$5:$E$65536,IF(OR(MID(TRIM($A68),2,1)="：",MID(TRIM($A68),2,1)="、"),REPLACEB(TRIM($A68),1,4,""),TRIM($A68)),'合并报表调整 '!$J$5:$J$65536)</f>
        <v>0</v>
      </c>
      <c r="H68" s="814">
        <f>SUMIF('合并报表调整 '!$H$5:$H$65536,IF(OR(MID(TRIM($A68),2,1)="：",MID(TRIM($A68),2,1)="、"),REPLACEB(TRIM($A68),1,4,""),TRIM($A68)),'合并报表调整 '!$J$5:$J$65536)</f>
        <v>0</v>
      </c>
      <c r="I68" s="829">
        <f t="shared" si="13"/>
        <v>0</v>
      </c>
      <c r="J68" s="814"/>
      <c r="K68" s="841">
        <f t="shared" si="21"/>
        <v>0</v>
      </c>
    </row>
    <row r="69" spans="1:11" ht="15" customHeight="1">
      <c r="A69" s="784" t="str">
        <f>报表格式!L68</f>
        <v>10.多次交易分步处置子公司股权构成一揽子交易的，丧失控制权之前各次交易处置价款与对应净资产账面价值份额的差额</v>
      </c>
      <c r="B69" s="236">
        <f>合并PL汇总!B69</f>
        <v>0</v>
      </c>
      <c r="C69" s="829">
        <f>SUMIF(权益抵销!$E$5:$E$65537,IF(OR(MID(TRIM($A69),2,1)="：",MID(TRIM($A69),2,1)="、"),REPLACEB(TRIM($A69),1,4,""),TRIM($A69)),权益抵销!$J$5:$J$65537)</f>
        <v>0</v>
      </c>
      <c r="D69" s="829">
        <f>SUMIF(权益抵销!$H$5:$H$65537,IF(OR(MID(TRIM($A69),2,1)="：",MID(TRIM($A69),2,1)="、"),REPLACEB(TRIM($A69),1,4,""),TRIM($A69)),权益抵销!$J$5:$J$65537)</f>
        <v>0</v>
      </c>
      <c r="E69" s="814">
        <f>SUMIF(往来交易抵销!$E$5:$E$65536,IF(OR(MID(TRIM($A69),2,1)="：",MID(TRIM($A69),2,1)="、"),REPLACEB(TRIM($A69),1,4,""),TRIM($A69)),往来交易抵销!$J$5:$J$65536)</f>
        <v>0</v>
      </c>
      <c r="F69" s="814">
        <f>SUMIF(往来交易抵销!$H$5:$H$65536,IF(OR(MID(TRIM($A69),2,1)="：",MID(TRIM($A69),2,1)="、"),REPLACEB(TRIM($A69),1,4,""),TRIM($A69)),往来交易抵销!$J$5:$J$65536)</f>
        <v>0</v>
      </c>
      <c r="G69" s="814">
        <f>SUMIF('合并报表调整 '!$E$5:$E$65536,IF(OR(MID(TRIM($A69),2,1)="：",MID(TRIM($A69),2,1)="、"),REPLACEB(TRIM($A69),1,4,""),TRIM($A69)),'合并报表调整 '!$J$5:$J$65536)</f>
        <v>0</v>
      </c>
      <c r="H69" s="814">
        <f>SUMIF('合并报表调整 '!$H$5:$H$65536,IF(OR(MID(TRIM($A69),2,1)="：",MID(TRIM($A69),2,1)="、"),REPLACEB(TRIM($A69),1,4,""),TRIM($A69)),'合并报表调整 '!$J$5:$J$65536)</f>
        <v>0</v>
      </c>
      <c r="I69" s="829">
        <f t="shared" si="13"/>
        <v>0</v>
      </c>
      <c r="J69" s="814"/>
      <c r="K69" s="841">
        <f t="shared" si="21"/>
        <v>0</v>
      </c>
    </row>
    <row r="70" spans="1:11" ht="15" customHeight="1">
      <c r="A70" s="784" t="str">
        <f>报表格式!L69</f>
        <v>11.其他</v>
      </c>
      <c r="B70" s="236">
        <f>合并PL汇总!B70</f>
        <v>0</v>
      </c>
      <c r="C70" s="829">
        <f>SUMIF(权益抵销!$E$5:$E$65537,IF(OR(MID(TRIM($A70),2,1)="：",MID(TRIM($A70),2,1)="、"),REPLACEB(TRIM($A70),1,4,""),TRIM($A70)),权益抵销!$J$5:$J$65537)</f>
        <v>0</v>
      </c>
      <c r="D70" s="829">
        <f>SUMIF(权益抵销!$H$5:$H$65537,IF(OR(MID(TRIM($A70),2,1)="：",MID(TRIM($A70),2,1)="、"),REPLACEB(TRIM($A70),1,4,""),TRIM($A70)),权益抵销!$J$5:$J$65537)</f>
        <v>0</v>
      </c>
      <c r="E70" s="814">
        <f>SUMIF(往来交易抵销!$E$5:$E$65536,IF(OR(MID(TRIM($A70),2,1)="：",MID(TRIM($A70),2,1)="、"),REPLACEB(TRIM($A70),1,4,""),TRIM($A70)),往来交易抵销!$J$5:$J$65536)</f>
        <v>0</v>
      </c>
      <c r="F70" s="814">
        <f>SUMIF(往来交易抵销!$H$5:$H$65536,IF(OR(MID(TRIM($A70),2,1)="：",MID(TRIM($A70),2,1)="、"),REPLACEB(TRIM($A70),1,4,""),TRIM($A70)),往来交易抵销!$J$5:$J$65536)</f>
        <v>0</v>
      </c>
      <c r="G70" s="814">
        <f>SUMIF('合并报表调整 '!$E$5:$E$65536,IF(OR(MID(TRIM($A70),2,1)="：",MID(TRIM($A70),2,1)="、"),REPLACEB(TRIM($A70),1,4,""),TRIM($A70)),'合并报表调整 '!$J$5:$J$65536)</f>
        <v>0</v>
      </c>
      <c r="H70" s="814">
        <f>SUMIF('合并报表调整 '!$H$5:$H$65536,IF(OR(MID(TRIM($A70),2,1)="：",MID(TRIM($A70),2,1)="、"),REPLACEB(TRIM($A70),1,4,""),TRIM($A70)),'合并报表调整 '!$J$5:$J$65536)</f>
        <v>0</v>
      </c>
      <c r="I70" s="829">
        <f t="shared" si="13"/>
        <v>0</v>
      </c>
      <c r="J70" s="814"/>
      <c r="K70" s="841">
        <f t="shared" si="21"/>
        <v>0</v>
      </c>
    </row>
    <row r="71" spans="1:11" ht="15" customHeight="1">
      <c r="A71" s="105" t="str">
        <f>报表格式!L70</f>
        <v>归属于少数股东的其他综合收益的税后净额</v>
      </c>
      <c r="B71" s="236">
        <f>合并PL汇总!B71</f>
        <v>0</v>
      </c>
      <c r="C71" s="829">
        <f>SUMIF(权益抵销!$E$5:$E$65537,IF(OR(MID(TRIM($A71),2,1)="：",MID(TRIM($A71),2,1)="、"),REPLACEB(TRIM($A71),1,4,""),TRIM($A71)),权益抵销!$J$5:$J$65537)</f>
        <v>0</v>
      </c>
      <c r="D71" s="829">
        <f>SUMIF(权益抵销!$H$5:$H$65537,IF(OR(MID(TRIM($A71),2,1)="：",MID(TRIM($A71),2,1)="、"),REPLACEB(TRIM($A71),1,4,""),TRIM($A71)),权益抵销!$J$5:$J$65537)</f>
        <v>0</v>
      </c>
      <c r="E71" s="814">
        <f>SUMIF(往来交易抵销!$E$5:$E$65536,IF(OR(MID(TRIM($A71),2,1)="：",MID(TRIM($A71),2,1)="、"),REPLACEB(TRIM($A71),1,4,""),TRIM($A71)),往来交易抵销!$J$5:$J$65536)</f>
        <v>0</v>
      </c>
      <c r="F71" s="814">
        <f>SUMIF(往来交易抵销!$H$5:$H$65536,IF(OR(MID(TRIM($A71),2,1)="：",MID(TRIM($A71),2,1)="、"),REPLACEB(TRIM($A71),1,4,""),TRIM($A71)),往来交易抵销!$J$5:$J$65536)</f>
        <v>0</v>
      </c>
      <c r="G71" s="814">
        <f>SUMIF('合并报表调整 '!$E$5:$E$65536,IF(OR(MID(TRIM($A71),2,1)="：",MID(TRIM($A71),2,1)="、"),REPLACEB(TRIM($A71),1,4,""),TRIM($A71)),'合并报表调整 '!$J$5:$J$65536)</f>
        <v>0</v>
      </c>
      <c r="H71" s="814">
        <f>SUMIF('合并报表调整 '!$H$5:$H$65536,IF(OR(MID(TRIM($A71),2,1)="：",MID(TRIM($A71),2,1)="、"),REPLACEB(TRIM($A71),1,4,""),TRIM($A71)),'合并报表调整 '!$J$5:$J$65536)</f>
        <v>0</v>
      </c>
      <c r="I71" s="829">
        <f t="shared" si="13"/>
        <v>0</v>
      </c>
      <c r="J71" s="814"/>
      <c r="K71" s="841">
        <f t="shared" si="21"/>
        <v>0</v>
      </c>
    </row>
    <row r="72" spans="1:11" ht="15" customHeight="1">
      <c r="A72" s="94" t="str">
        <f>报表格式!L71</f>
        <v>六、综合收益总额</v>
      </c>
      <c r="B72" s="242">
        <f>合并PL汇总!B72</f>
        <v>0</v>
      </c>
      <c r="C72" s="830">
        <f t="shared" ref="C72:H72" si="22">C44+C51</f>
        <v>0</v>
      </c>
      <c r="D72" s="830">
        <f t="shared" si="22"/>
        <v>0</v>
      </c>
      <c r="E72" s="830">
        <f t="shared" si="22"/>
        <v>0</v>
      </c>
      <c r="F72" s="830">
        <f t="shared" si="22"/>
        <v>0</v>
      </c>
      <c r="G72" s="830">
        <f t="shared" si="22"/>
        <v>0</v>
      </c>
      <c r="H72" s="830">
        <f t="shared" si="22"/>
        <v>0</v>
      </c>
      <c r="I72" s="830">
        <f t="shared" si="13"/>
        <v>0</v>
      </c>
      <c r="J72" s="837"/>
      <c r="K72" s="842">
        <f t="shared" si="21"/>
        <v>0</v>
      </c>
    </row>
    <row r="73" spans="1:11" ht="15" customHeight="1">
      <c r="A73" s="105" t="str">
        <f>报表格式!L72</f>
        <v xml:space="preserve">     归属于母公司股东的综合收益总额</v>
      </c>
      <c r="B73" s="236">
        <f>合并PL汇总!B73</f>
        <v>0</v>
      </c>
      <c r="C73" s="829">
        <f t="shared" ref="C73:H73" si="23">C49+C52</f>
        <v>0</v>
      </c>
      <c r="D73" s="829">
        <f t="shared" si="23"/>
        <v>0</v>
      </c>
      <c r="E73" s="829">
        <f t="shared" si="23"/>
        <v>0</v>
      </c>
      <c r="F73" s="829">
        <f t="shared" si="23"/>
        <v>0</v>
      </c>
      <c r="G73" s="829">
        <f t="shared" si="23"/>
        <v>0</v>
      </c>
      <c r="H73" s="829">
        <f t="shared" si="23"/>
        <v>0</v>
      </c>
      <c r="I73" s="829">
        <f t="shared" si="13"/>
        <v>0</v>
      </c>
      <c r="J73" s="814"/>
      <c r="K73" s="841">
        <f t="shared" si="21"/>
        <v>0</v>
      </c>
    </row>
    <row r="74" spans="1:11" ht="15" customHeight="1">
      <c r="A74" s="105" t="str">
        <f>报表格式!L73</f>
        <v xml:space="preserve">     归属于少数股东的综合收益总额</v>
      </c>
      <c r="B74" s="236">
        <f>合并PL汇总!B74</f>
        <v>0</v>
      </c>
      <c r="C74" s="829">
        <f t="shared" ref="C74:H74" si="24">C50+C71</f>
        <v>0</v>
      </c>
      <c r="D74" s="829">
        <f t="shared" si="24"/>
        <v>0</v>
      </c>
      <c r="E74" s="829">
        <f t="shared" si="24"/>
        <v>0</v>
      </c>
      <c r="F74" s="829">
        <f t="shared" si="24"/>
        <v>0</v>
      </c>
      <c r="G74" s="829">
        <f t="shared" si="24"/>
        <v>0</v>
      </c>
      <c r="H74" s="829">
        <f t="shared" si="24"/>
        <v>0</v>
      </c>
      <c r="I74" s="829">
        <f t="shared" si="13"/>
        <v>0</v>
      </c>
      <c r="J74" s="814"/>
      <c r="K74" s="841">
        <f>SUM(I74:J74)</f>
        <v>0</v>
      </c>
    </row>
    <row r="75" spans="1:11" ht="15" customHeight="1">
      <c r="A75" s="94" t="str">
        <f>报表格式!L74</f>
        <v>七、每股收益</v>
      </c>
      <c r="B75" s="236"/>
      <c r="C75" s="829"/>
      <c r="D75" s="829"/>
      <c r="E75" s="829"/>
      <c r="F75" s="829"/>
      <c r="G75" s="829"/>
      <c r="H75" s="829"/>
      <c r="I75" s="829"/>
      <c r="J75" s="814"/>
      <c r="K75" s="841"/>
    </row>
    <row r="76" spans="1:11" ht="15" customHeight="1">
      <c r="A76" s="105" t="str">
        <f>报表格式!L75</f>
        <v xml:space="preserve">   （一）基本每股收益</v>
      </c>
      <c r="B76" s="236">
        <f>合并PL汇总!B76</f>
        <v>0</v>
      </c>
      <c r="C76" s="829">
        <f>SUMIF(权益抵销!$E$5:$E$65537,IF(OR(MID(TRIM($A76),1,1)="（",MID(TRIM($A76),2,1)="."),REPLACEB(TRIM($A76),1,6,""),TRIM($A76)),权益抵销!$J$5:$J$65537)</f>
        <v>0</v>
      </c>
      <c r="D76" s="829">
        <f>SUMIF(权益抵销!$H$5:$H$65537,IF(OR(MID(TRIM($A76),1,1)="（",MID(TRIM($A76),2,1)="."),REPLACEB(TRIM($A76),1,6,""),TRIM($A76)),权益抵销!$J$5:$J$65537)</f>
        <v>0</v>
      </c>
      <c r="E76" s="829">
        <f>SUMIF(往来交易抵销!$E$5:$E$65536,IF(OR(MID(TRIM($A76),1,1)="（",MID(TRIM($A76),2,1)="."),REPLACEB(TRIM($A76),1,6,""),TRIM($A76)),往来交易抵销!$J$5:$J$65536)</f>
        <v>0</v>
      </c>
      <c r="F76" s="829">
        <f>SUMIF(往来交易抵销!$H$5:$H$65536,IF(OR(MID(TRIM($A76),1,1)="（",MID(TRIM($A76),2,1)="."),REPLACEB(TRIM($A76),1,6,""),TRIM($A76)),往来交易抵销!$J$5:$J$65536)</f>
        <v>0</v>
      </c>
      <c r="G76" s="829">
        <f>SUMIF('合并报表调整 '!$E$5:$E$65536,IF(OR(MID(TRIM($A76),1,1)="（",MID(TRIM($A76),2,1)="."),REPLACEB(TRIM($A76),1,6,""),TRIM($A76)),'合并报表调整 '!$J$5:$J$65536)</f>
        <v>0</v>
      </c>
      <c r="H76" s="829">
        <f>SUMIF('合并报表调整 '!$H$5:$H$65536,IF(OR(MID(TRIM($A76),1,1)="（",MID(TRIM($A76),2,1)="."),REPLACEB(TRIM($A76),1,6,""),TRIM($A76)),'合并报表调整 '!$J$5:$J$65536)</f>
        <v>0</v>
      </c>
      <c r="I76" s="829">
        <f>B76-E76-G76+F76+H76-C76+D76</f>
        <v>0</v>
      </c>
      <c r="J76" s="814"/>
      <c r="K76" s="841">
        <f>SUM(I76:J76)</f>
        <v>0</v>
      </c>
    </row>
    <row r="77" spans="1:11" ht="15" customHeight="1">
      <c r="A77" s="800" t="str">
        <f>报表格式!L76</f>
        <v xml:space="preserve">   （二）稀释每股收益</v>
      </c>
      <c r="B77" s="236">
        <f>合并PL汇总!B77</f>
        <v>0</v>
      </c>
      <c r="C77" s="829">
        <f>SUMIF(权益抵销!$E$5:$E$65537,IF(OR(MID(TRIM($A77),1,1)="（",MID(TRIM($A77),2,1)="."),REPLACEB(TRIM($A77),1,6,""),TRIM($A77)),权益抵销!$J$5:$J$65537)</f>
        <v>0</v>
      </c>
      <c r="D77" s="829">
        <f>SUMIF(权益抵销!$H$5:$H$65537,IF(OR(MID(TRIM($A77),1,1)="（",MID(TRIM($A77),2,1)="."),REPLACEB(TRIM($A77),1,6,""),TRIM($A77)),权益抵销!$J$5:$J$65537)</f>
        <v>0</v>
      </c>
      <c r="E77" s="829">
        <f>SUMIF(往来交易抵销!$E$5:$E$65536,IF(OR(MID(TRIM($A77),1,1)="（",MID(TRIM($A77),2,1)="."),REPLACEB(TRIM($A77),1,6,""),TRIM($A77)),往来交易抵销!$J$5:$J$65536)</f>
        <v>0</v>
      </c>
      <c r="F77" s="829">
        <f>SUMIF(往来交易抵销!$H$5:$H$65536,IF(OR(MID(TRIM($A77),1,1)="（",MID(TRIM($A77),2,1)="."),REPLACEB(TRIM($A77),1,6,""),TRIM($A77)),往来交易抵销!$J$5:$J$65536)</f>
        <v>0</v>
      </c>
      <c r="G77" s="829">
        <f>SUMIF('合并报表调整 '!$E$5:$E$65536,IF(OR(MID(TRIM($A77),1,1)="（",MID(TRIM($A77),2,1)="."),REPLACEB(TRIM($A77),1,6,""),TRIM($A77)),'合并报表调整 '!$J$5:$J$65536)</f>
        <v>0</v>
      </c>
      <c r="H77" s="829">
        <f>SUMIF('合并报表调整 '!$H$5:$H$65536,IF(OR(MID(TRIM($A77),1,1)="（",MID(TRIM($A77),2,1)="."),REPLACEB(TRIM($A77),1,6,""),TRIM($A77)),'合并报表调整 '!$J$5:$J$65536)</f>
        <v>0</v>
      </c>
      <c r="I77" s="829">
        <f>B77-E77-G77+F77+H77-C77+D77</f>
        <v>0</v>
      </c>
      <c r="J77" s="814"/>
      <c r="K77" s="841">
        <f>SUM(I77:J77)</f>
        <v>0</v>
      </c>
    </row>
    <row r="78" spans="1:11" ht="15" customHeight="1">
      <c r="A78" s="801" t="str">
        <f>报表格式!L77</f>
        <v>八、利润分配</v>
      </c>
      <c r="B78" s="236">
        <f>合并PL汇总!B78</f>
        <v>0</v>
      </c>
      <c r="C78" s="814"/>
      <c r="D78" s="814"/>
      <c r="E78" s="814"/>
      <c r="F78" s="814"/>
      <c r="G78" s="814"/>
      <c r="H78" s="814"/>
      <c r="I78" s="814"/>
      <c r="J78" s="814"/>
      <c r="K78" s="841"/>
    </row>
    <row r="79" spans="1:11" ht="15" customHeight="1">
      <c r="A79" s="800" t="str">
        <f>报表格式!L78</f>
        <v xml:space="preserve">   （一）年初未分配利润</v>
      </c>
      <c r="B79" s="236">
        <f>合并PL汇总!B79</f>
        <v>0</v>
      </c>
      <c r="C79" s="814">
        <f>SUMIF(权益抵销!$E$5:$E$65537,IF(OR(MID(TRIM($A79),1,1)="（",MID(TRIM($A79),2,1)="."),REPLACEB(TRIM($A79),1,6,""),TRIM($A79)),权益抵销!$J$5:$J$65537)</f>
        <v>0</v>
      </c>
      <c r="D79" s="814">
        <f>SUMIF(权益抵销!$H$5:$H$65537,IF(OR(MID(TRIM($A79),1,1)="（",MID(TRIM($A79),2,1)="."),REPLACEB(TRIM($A79),1,6,""),TRIM($A79)),权益抵销!$J$5:$J$65537)</f>
        <v>0</v>
      </c>
      <c r="E79" s="814">
        <f>SUMIF(往来交易抵销!$E$5:$E$65536,IF(OR(MID(TRIM($A79),1,1)="（",MID(TRIM($A79),2,1)="."),REPLACEB(TRIM($A79),1,6,""),TRIM($A79)),往来交易抵销!$J$5:$J$65536)</f>
        <v>0</v>
      </c>
      <c r="F79" s="814">
        <f>SUMIF(往来交易抵销!$H$5:$H$65536,IF(OR(MID(TRIM($A79),1,1)="（",MID(TRIM($A79),2,1)="."),REPLACEB(TRIM($A79),1,6,""),TRIM($A79)),往来交易抵销!$J$5:$J$65536)</f>
        <v>0</v>
      </c>
      <c r="G79" s="814">
        <f>SUMIF('合并报表调整 '!$E$5:$E$65536,IF(OR(MID(TRIM($A79),1,1)="（",MID(TRIM($A79),2,1)="."),REPLACEB(TRIM($A79),1,6,""),TRIM($A79)),'合并报表调整 '!$J$5:$J$65536)</f>
        <v>0</v>
      </c>
      <c r="H79" s="814">
        <f>SUMIF('合并报表调整 '!$H$5:$H$65536,IF(OR(MID(TRIM($A79),1,1)="（",MID(TRIM($A79),2,1)="."),REPLACEB(TRIM($A79),1,6,""),TRIM($A79)),'合并报表调整 '!$J$5:$J$65536)</f>
        <v>0</v>
      </c>
      <c r="I79" s="829">
        <f>B79-E79-G79+F79+H79-C79+D79</f>
        <v>0</v>
      </c>
      <c r="J79" s="814"/>
      <c r="K79" s="841">
        <f t="shared" ref="K79:K89" si="25">SUM(I79:J79)</f>
        <v>0</v>
      </c>
    </row>
    <row r="80" spans="1:11" ht="15" customHeight="1">
      <c r="A80" s="800" t="str">
        <f>报表格式!L79</f>
        <v xml:space="preserve">   （二）可供分配的利润</v>
      </c>
      <c r="B80" s="236">
        <f>合并PL汇总!B80</f>
        <v>0</v>
      </c>
      <c r="C80" s="814">
        <f>SUMIF(权益抵销!$E$5:$E$65537,IF(OR(MID(TRIM($A80),1,1)="（",MID(TRIM($A80),2,1)="."),REPLACEB(TRIM($A80),1,6,""),TRIM($A80)),权益抵销!$J$5:$J$65537)</f>
        <v>0</v>
      </c>
      <c r="D80" s="814">
        <f>SUMIF(权益抵销!$H$5:$H$65537,IF(OR(MID(TRIM($A80),1,1)="（",MID(TRIM($A80),2,1)="."),REPLACEB(TRIM($A80),1,6,""),TRIM($A80)),权益抵销!$J$5:$J$65537)</f>
        <v>0</v>
      </c>
      <c r="E80" s="814">
        <f>SUMIF(往来交易抵销!$E$5:$E$65536,IF(OR(MID(TRIM($A80),1,1)="（",MID(TRIM($A80),2,1)="."),REPLACEB(TRIM($A80),1,6,""),TRIM($A80)),往来交易抵销!$J$5:$J$65536)</f>
        <v>0</v>
      </c>
      <c r="F80" s="814">
        <f>SUMIF(往来交易抵销!$H$5:$H$65536,IF(OR(MID(TRIM($A80),1,1)="（",MID(TRIM($A80),2,1)="."),REPLACEB(TRIM($A80),1,6,""),TRIM($A80)),往来交易抵销!$J$5:$J$65536)</f>
        <v>0</v>
      </c>
      <c r="G80" s="814">
        <f>SUMIF('合并报表调整 '!$E$5:$E$65536,IF(OR(MID(TRIM($A80),1,1)="（",MID(TRIM($A80),2,1)="."),REPLACEB(TRIM($A80),1,6,""),TRIM($A80)),'合并报表调整 '!$J$5:$J$65536)</f>
        <v>0</v>
      </c>
      <c r="H80" s="814">
        <f>SUMIF('合并报表调整 '!$H$5:$H$65536,IF(OR(MID(TRIM($A80),1,1)="（",MID(TRIM($A80),2,1)="."),REPLACEB(TRIM($A80),1,6,""),TRIM($A80)),'合并报表调整 '!$J$5:$J$65536)</f>
        <v>0</v>
      </c>
      <c r="I80" s="814">
        <f t="shared" ref="I80:J80" si="26">I49+I79</f>
        <v>0</v>
      </c>
      <c r="J80" s="814">
        <f t="shared" si="26"/>
        <v>0</v>
      </c>
      <c r="K80" s="841">
        <f t="shared" si="25"/>
        <v>0</v>
      </c>
    </row>
    <row r="81" spans="1:11" ht="15" customHeight="1">
      <c r="A81" s="800" t="str">
        <f>报表格式!L80</f>
        <v xml:space="preserve">    1、提取法定盈余公积</v>
      </c>
      <c r="B81" s="236">
        <f>合并PL汇总!B81</f>
        <v>0</v>
      </c>
      <c r="C81" s="829">
        <f>SUMIF(权益抵销!$E$5:$E$65537,IF(OR(MID(TRIM($A81),2,1)="：",MID(TRIM($A81),2,1)="."),REPLACEB(TRIM($A81),1,4,""),TRIM($A81)),权益抵销!$J$5:$J$65537)</f>
        <v>0</v>
      </c>
      <c r="D81" s="829">
        <f>SUMIF(权益抵销!$H$5:$H$65537,IF(OR(MID(TRIM($A81),2,1)="：",MID(TRIM($A81),2,1)="."),REPLACEB(TRIM($A81),1,4,""),TRIM($A81)),权益抵销!$J$5:$J$65537)</f>
        <v>0</v>
      </c>
      <c r="E81" s="814">
        <f>SUMIF(往来交易抵销!$E$5:$E$65536,IF(OR(MID(TRIM($A81),2,1)="：",MID(TRIM($A81),2,1)="."),REPLACEB(TRIM($A81),1,4,""),TRIM($A81)),往来交易抵销!$J$5:$J$65536)</f>
        <v>0</v>
      </c>
      <c r="F81" s="814">
        <f>SUMIF(往来交易抵销!$H$5:$H$65536,IF(OR(MID(TRIM($A81),2,1)="：",MID(TRIM($A81),2,1)="."),REPLACEB(TRIM($A81),1,4,""),TRIM($A81)),往来交易抵销!$J$5:$J$65536)</f>
        <v>0</v>
      </c>
      <c r="G81" s="814">
        <f>SUMIF('合并报表调整 '!$E$5:$E$65536,IF(OR(MID(TRIM($A81),2,1)="：",MID(TRIM($A81),2,1)="."),REPLACEB(TRIM($A81),1,4,""),TRIM($A81)),'合并报表调整 '!$J$5:$J$65536)</f>
        <v>0</v>
      </c>
      <c r="H81" s="814">
        <f>SUMIF('合并报表调整 '!$H$5:$H$65536,IF(OR(MID(TRIM($A81),2,1)="：",MID(TRIM($A81),2,1)="."),REPLACEB(TRIM($A81),1,4,""),TRIM($A81)),'合并报表调整 '!$J$5:$J$65536)</f>
        <v>0</v>
      </c>
      <c r="I81" s="829">
        <f>B81-E81-G81+F81+H81-C81+D81</f>
        <v>0</v>
      </c>
      <c r="J81" s="814"/>
      <c r="K81" s="841">
        <f t="shared" si="25"/>
        <v>0</v>
      </c>
    </row>
    <row r="82" spans="1:11" ht="15" customHeight="1">
      <c r="A82" s="800" t="str">
        <f>报表格式!L81</f>
        <v xml:space="preserve">    2、其他</v>
      </c>
      <c r="B82" s="236">
        <f>合并PL汇总!B82</f>
        <v>0</v>
      </c>
      <c r="C82" s="829">
        <f>SUMIF(权益抵销!$E$5:$E$65537,IF(OR(MID(TRIM($A82),2,1)="：",MID(TRIM($A82),2,1)="."),REPLACEB(TRIM($A82),1,4,""),TRIM($A82)),权益抵销!$J$5:$J$65537)</f>
        <v>0</v>
      </c>
      <c r="D82" s="829">
        <f>SUMIF(权益抵销!$H$5:$H$65537,IF(OR(MID(TRIM($A82),2,1)="：",MID(TRIM($A82),2,1)="."),REPLACEB(TRIM($A82),1,4,""),TRIM($A82)),权益抵销!$J$5:$J$65537)</f>
        <v>0</v>
      </c>
      <c r="E82" s="814">
        <f>SUMIF(往来交易抵销!$E$5:$E$65536,IF(OR(MID(TRIM($A82),2,1)="：",MID(TRIM($A82),2,1)="."),REPLACEB(TRIM($A82),1,4,""),TRIM($A82)),往来交易抵销!$J$5:$J$65536)</f>
        <v>0</v>
      </c>
      <c r="F82" s="814">
        <f>SUMIF(往来交易抵销!$H$5:$H$65536,IF(OR(MID(TRIM($A82),2,1)="：",MID(TRIM($A82),2,1)="."),REPLACEB(TRIM($A82),1,4,""),TRIM($A82)),往来交易抵销!$J$5:$J$65536)</f>
        <v>0</v>
      </c>
      <c r="G82" s="814">
        <f>SUMIF('合并报表调整 '!$E$5:$E$65536,IF(OR(MID(TRIM($A82),2,1)="：",MID(TRIM($A82),2,1)="."),REPLACEB(TRIM($A82),1,4,""),TRIM($A82)),'合并报表调整 '!$J$5:$J$65536)</f>
        <v>0</v>
      </c>
      <c r="H82" s="814">
        <f>SUMIF('合并报表调整 '!$H$5:$H$65536,IF(OR(MID(TRIM($A82),2,1)="：",MID(TRIM($A82),2,1)="."),REPLACEB(TRIM($A82),1,4,""),TRIM($A82)),'合并报表调整 '!$J$5:$J$65536)</f>
        <v>0</v>
      </c>
      <c r="I82" s="829">
        <f>B82-E82-G82+F82+H82-C82+D82</f>
        <v>0</v>
      </c>
      <c r="J82" s="814"/>
      <c r="K82" s="841">
        <f t="shared" si="25"/>
        <v>0</v>
      </c>
    </row>
    <row r="83" spans="1:11" ht="15" customHeight="1">
      <c r="A83" s="800" t="str">
        <f>报表格式!L82</f>
        <v xml:space="preserve">   （三）可供投资者分配的利润</v>
      </c>
      <c r="B83" s="236">
        <f>合并PL汇总!B83</f>
        <v>0</v>
      </c>
      <c r="C83" s="814">
        <f>C80-C81-C82</f>
        <v>0</v>
      </c>
      <c r="D83" s="814">
        <f t="shared" ref="D83:J83" si="27">D80-D81-D82</f>
        <v>0</v>
      </c>
      <c r="E83" s="814">
        <f t="shared" si="27"/>
        <v>0</v>
      </c>
      <c r="F83" s="814">
        <f t="shared" si="27"/>
        <v>0</v>
      </c>
      <c r="G83" s="814">
        <f t="shared" si="27"/>
        <v>0</v>
      </c>
      <c r="H83" s="814">
        <f t="shared" si="27"/>
        <v>0</v>
      </c>
      <c r="I83" s="814">
        <f t="shared" si="27"/>
        <v>0</v>
      </c>
      <c r="J83" s="814">
        <f t="shared" si="27"/>
        <v>0</v>
      </c>
      <c r="K83" s="841">
        <f t="shared" si="25"/>
        <v>0</v>
      </c>
    </row>
    <row r="84" spans="1:11" ht="15" customHeight="1">
      <c r="A84" s="800" t="str">
        <f>报表格式!L83</f>
        <v xml:space="preserve">    1、应付优先股股利</v>
      </c>
      <c r="B84" s="236">
        <f>合并PL汇总!B84</f>
        <v>0</v>
      </c>
      <c r="C84" s="829">
        <f>SUMIF(权益抵销!$E$5:$E$65537,IF(OR(MID(TRIM($A84),2,1)="：",MID(TRIM($A84),2,1)="."),REPLACEB(TRIM($A84),1,4,""),TRIM($A84)),权益抵销!$J$5:$J$65537)</f>
        <v>0</v>
      </c>
      <c r="D84" s="829">
        <f>SUMIF(权益抵销!$H$5:$H$65537,IF(OR(MID(TRIM($A84),2,1)="：",MID(TRIM($A84),2,1)="."),REPLACEB(TRIM($A84),1,4,""),TRIM($A84)),权益抵销!$J$5:$J$65537)</f>
        <v>0</v>
      </c>
      <c r="E84" s="814">
        <f>SUMIF(往来交易抵销!$E$5:$E$65536,IF(OR(MID(TRIM($A84),2,1)="：",MID(TRIM($A84),2,1)="."),REPLACEB(TRIM($A84),1,4,""),TRIM($A84)),往来交易抵销!$J$5:$J$65536)</f>
        <v>0</v>
      </c>
      <c r="F84" s="814">
        <f>SUMIF(往来交易抵销!$H$5:$H$65536,IF(OR(MID(TRIM($A84),2,1)="：",MID(TRIM($A84),2,1)="."),REPLACEB(TRIM($A84),1,4,""),TRIM($A84)),往来交易抵销!$J$5:$J$65536)</f>
        <v>0</v>
      </c>
      <c r="G84" s="814">
        <f>SUMIF('合并报表调整 '!$E$5:$E$65536,IF(OR(MID(TRIM($A84),2,1)="：",MID(TRIM($A84),2,1)="."),REPLACEB(TRIM($A84),1,4,""),TRIM($A84)),'合并报表调整 '!$J$5:$J$65536)</f>
        <v>0</v>
      </c>
      <c r="H84" s="814">
        <f>SUMIF('合并报表调整 '!$H$5:$H$65536,IF(OR(MID(TRIM($A84),2,1)="：",MID(TRIM($A84),2,1)="."),REPLACEB(TRIM($A84),1,4,""),TRIM($A84)),'合并报表调整 '!$J$5:$J$65536)</f>
        <v>0</v>
      </c>
      <c r="I84" s="829">
        <f t="shared" ref="I84:I88" si="28">B84-E84-G84+F84+H84-C84+D84</f>
        <v>0</v>
      </c>
      <c r="J84" s="814"/>
      <c r="K84" s="841">
        <f t="shared" si="25"/>
        <v>0</v>
      </c>
    </row>
    <row r="85" spans="1:11" ht="15" customHeight="1">
      <c r="A85" s="800" t="str">
        <f>报表格式!L84</f>
        <v xml:space="preserve">    2、提取任意盈余公积</v>
      </c>
      <c r="B85" s="236">
        <f>合并PL汇总!B85</f>
        <v>0</v>
      </c>
      <c r="C85" s="829">
        <f>SUMIF(权益抵销!$E$5:$E$65537,IF(OR(MID(TRIM($A85),2,1)="：",MID(TRIM($A85),2,1)="."),REPLACEB(TRIM($A85),1,4,""),TRIM($A85)),权益抵销!$J$5:$J$65537)</f>
        <v>0</v>
      </c>
      <c r="D85" s="829">
        <f>SUMIF(权益抵销!$H$5:$H$65537,IF(OR(MID(TRIM($A85),2,1)="：",MID(TRIM($A85),2,1)="."),REPLACEB(TRIM($A85),1,4,""),TRIM($A85)),权益抵销!$J$5:$J$65537)</f>
        <v>0</v>
      </c>
      <c r="E85" s="814">
        <f>SUMIF(往来交易抵销!$E$5:$E$65536,IF(OR(MID(TRIM($A85),2,1)="：",MID(TRIM($A85),2,1)="."),REPLACEB(TRIM($A85),1,4,""),TRIM($A85)),往来交易抵销!$J$5:$J$65536)</f>
        <v>0</v>
      </c>
      <c r="F85" s="814">
        <f>SUMIF(往来交易抵销!$H$5:$H$65536,IF(OR(MID(TRIM($A85),2,1)="：",MID(TRIM($A85),2,1)="."),REPLACEB(TRIM($A85),1,4,""),TRIM($A85)),往来交易抵销!$J$5:$J$65536)</f>
        <v>0</v>
      </c>
      <c r="G85" s="814">
        <f>SUMIF('合并报表调整 '!$E$5:$E$65536,IF(OR(MID(TRIM($A85),2,1)="：",MID(TRIM($A85),2,1)="."),REPLACEB(TRIM($A85),1,4,""),TRIM($A85)),'合并报表调整 '!$J$5:$J$65536)</f>
        <v>0</v>
      </c>
      <c r="H85" s="814">
        <f>SUMIF('合并报表调整 '!$H$5:$H$65536,IF(OR(MID(TRIM($A85),2,1)="：",MID(TRIM($A85),2,1)="."),REPLACEB(TRIM($A85),1,4,""),TRIM($A85)),'合并报表调整 '!$J$5:$J$65536)</f>
        <v>0</v>
      </c>
      <c r="I85" s="829">
        <f t="shared" si="28"/>
        <v>0</v>
      </c>
      <c r="J85" s="814"/>
      <c r="K85" s="841">
        <f t="shared" si="25"/>
        <v>0</v>
      </c>
    </row>
    <row r="86" spans="1:11" ht="15" customHeight="1">
      <c r="A86" s="800" t="str">
        <f>报表格式!L85</f>
        <v xml:space="preserve">    3、应付普通股股利（应付利润）</v>
      </c>
      <c r="B86" s="236">
        <f>合并PL汇总!B86</f>
        <v>0</v>
      </c>
      <c r="C86" s="829">
        <f>SUMIF(权益抵销!$E$5:$E$65537,IF(OR(MID(TRIM($A86),2,1)="：",MID(TRIM($A86),2,1)="."),REPLACEB(TRIM($A86),1,4,""),TRIM($A86)),权益抵销!$J$5:$J$65537)</f>
        <v>0</v>
      </c>
      <c r="D86" s="829">
        <f>SUMIF(权益抵销!$H$5:$H$65537,IF(OR(MID(TRIM($A86),2,1)="：",MID(TRIM($A86),2,1)="."),REPLACEB(TRIM($A86),1,4,""),TRIM($A86)),权益抵销!$J$5:$J$65537)</f>
        <v>0</v>
      </c>
      <c r="E86" s="814">
        <f>SUMIF(往来交易抵销!$E$5:$E$65536,IF(OR(MID(TRIM($A86),2,1)="：",MID(TRIM($A86),2,1)="."),REPLACEB(TRIM($A86),1,4,""),TRIM($A86)),往来交易抵销!$J$5:$J$65536)</f>
        <v>0</v>
      </c>
      <c r="F86" s="814">
        <f>SUMIF(往来交易抵销!$H$5:$H$65536,IF(OR(MID(TRIM($A86),2,1)="：",MID(TRIM($A86),2,1)="."),REPLACEB(TRIM($A86),1,4,""),TRIM($A86)),往来交易抵销!$J$5:$J$65536)</f>
        <v>0</v>
      </c>
      <c r="G86" s="814">
        <f>SUMIF('合并报表调整 '!$E$5:$E$65536,IF(OR(MID(TRIM($A86),2,1)="：",MID(TRIM($A86),2,1)="."),REPLACEB(TRIM($A86),1,4,""),TRIM($A86)),'合并报表调整 '!$J$5:$J$65536)</f>
        <v>0</v>
      </c>
      <c r="H86" s="814">
        <f>SUMIF('合并报表调整 '!$H$5:$H$65536,IF(OR(MID(TRIM($A86),2,1)="：",MID(TRIM($A86),2,1)="."),REPLACEB(TRIM($A86),1,4,""),TRIM($A86)),'合并报表调整 '!$J$5:$J$65536)</f>
        <v>0</v>
      </c>
      <c r="I86" s="829">
        <f t="shared" si="28"/>
        <v>0</v>
      </c>
      <c r="J86" s="814"/>
      <c r="K86" s="841">
        <f t="shared" si="25"/>
        <v>0</v>
      </c>
    </row>
    <row r="87" spans="1:11" ht="15" customHeight="1">
      <c r="A87" s="800" t="str">
        <f>报表格式!L86</f>
        <v xml:space="preserve">    4、转作资本（或股本）的普通股股利</v>
      </c>
      <c r="B87" s="236">
        <f>合并PL汇总!B87</f>
        <v>0</v>
      </c>
      <c r="C87" s="829">
        <f>SUMIF(权益抵销!$E$5:$E$65537,IF(OR(MID(TRIM($A87),2,1)="：",MID(TRIM($A87),2,1)="."),REPLACEB(TRIM($A87),1,4,""),TRIM($A87)),权益抵销!$J$5:$J$65537)</f>
        <v>0</v>
      </c>
      <c r="D87" s="829">
        <f>SUMIF(权益抵销!$H$5:$H$65537,IF(OR(MID(TRIM($A87),2,1)="：",MID(TRIM($A87),2,1)="."),REPLACEB(TRIM($A87),1,4,""),TRIM($A87)),权益抵销!$J$5:$J$65537)</f>
        <v>0</v>
      </c>
      <c r="E87" s="814">
        <f>SUMIF(往来交易抵销!$E$5:$E$65536,IF(OR(MID(TRIM($A87),2,1)="：",MID(TRIM($A87),2,1)="."),REPLACEB(TRIM($A87),1,4,""),TRIM($A87)),往来交易抵销!$J$5:$J$65536)</f>
        <v>0</v>
      </c>
      <c r="F87" s="814">
        <f>SUMIF(往来交易抵销!$H$5:$H$65536,IF(OR(MID(TRIM($A87),2,1)="：",MID(TRIM($A87),2,1)="."),REPLACEB(TRIM($A87),1,4,""),TRIM($A87)),往来交易抵销!$J$5:$J$65536)</f>
        <v>0</v>
      </c>
      <c r="G87" s="814">
        <f>SUMIF('合并报表调整 '!$E$5:$E$65536,IF(OR(MID(TRIM($A87),2,1)="：",MID(TRIM($A87),2,1)="."),REPLACEB(TRIM($A87),1,4,""),TRIM($A87)),'合并报表调整 '!$J$5:$J$65536)</f>
        <v>0</v>
      </c>
      <c r="H87" s="814">
        <f>SUMIF('合并报表调整 '!$H$5:$H$65536,IF(OR(MID(TRIM($A87),2,1)="：",MID(TRIM($A87),2,1)="."),REPLACEB(TRIM($A87),1,4,""),TRIM($A87)),'合并报表调整 '!$J$5:$J$65536)</f>
        <v>0</v>
      </c>
      <c r="I87" s="829">
        <f t="shared" si="28"/>
        <v>0</v>
      </c>
      <c r="J87" s="814"/>
      <c r="K87" s="841">
        <f t="shared" si="25"/>
        <v>0</v>
      </c>
    </row>
    <row r="88" spans="1:11" ht="15" customHeight="1">
      <c r="A88" s="800" t="str">
        <f>报表格式!L87</f>
        <v xml:space="preserve">    5、其他</v>
      </c>
      <c r="B88" s="236">
        <f>合并PL汇总!B88</f>
        <v>0</v>
      </c>
      <c r="C88" s="829">
        <f>SUMIF(权益抵销!$E$5:$E$65537,IF(OR(MID(TRIM($A88),2,1)="：",MID(TRIM($A88),2,1)="."),REPLACEB(TRIM($A88),1,4,""),TRIM($A88)),权益抵销!$J$5:$J$65537)</f>
        <v>0</v>
      </c>
      <c r="D88" s="829">
        <f>SUMIF(权益抵销!$H$5:$H$65537,IF(OR(MID(TRIM($A88),2,1)="：",MID(TRIM($A88),2,1)="."),REPLACEB(TRIM($A88),1,4,""),TRIM($A88)),权益抵销!$J$5:$J$65537)</f>
        <v>0</v>
      </c>
      <c r="E88" s="814">
        <f>SUMIF(往来交易抵销!$E$5:$E$65536,IF(OR(MID(TRIM($A88),2,1)="：",MID(TRIM($A88),2,1)="."),REPLACEB(TRIM($A88),1,4,""),TRIM($A88)),往来交易抵销!$J$5:$J$65536)</f>
        <v>0</v>
      </c>
      <c r="F88" s="814">
        <f>SUMIF(往来交易抵销!$H$5:$H$65536,IF(OR(MID(TRIM($A88),2,1)="：",MID(TRIM($A88),2,1)="."),REPLACEB(TRIM($A88),1,4,""),TRIM($A88)),往来交易抵销!$J$5:$J$65536)</f>
        <v>0</v>
      </c>
      <c r="G88" s="814">
        <f>SUMIF('合并报表调整 '!$E$5:$E$65536,IF(OR(MID(TRIM($A88),2,1)="：",MID(TRIM($A88),2,1)="."),REPLACEB(TRIM($A88),1,4,""),TRIM($A88)),'合并报表调整 '!$J$5:$J$65536)</f>
        <v>0</v>
      </c>
      <c r="H88" s="814">
        <f>SUMIF('合并报表调整 '!$H$5:$H$65536,IF(OR(MID(TRIM($A88),2,1)="：",MID(TRIM($A88),2,1)="."),REPLACEB(TRIM($A88),1,4,""),TRIM($A88)),'合并报表调整 '!$J$5:$J$65536)</f>
        <v>0</v>
      </c>
      <c r="I88" s="829">
        <f t="shared" si="28"/>
        <v>0</v>
      </c>
      <c r="J88" s="814"/>
      <c r="K88" s="841">
        <f t="shared" si="25"/>
        <v>0</v>
      </c>
    </row>
    <row r="89" spans="1:11" s="647" customFormat="1" ht="15" customHeight="1">
      <c r="A89" s="802" t="str">
        <f>报表格式!L88</f>
        <v>九、未分配利润</v>
      </c>
      <c r="B89" s="936">
        <f>合并PL汇总!B89</f>
        <v>0</v>
      </c>
      <c r="C89" s="937">
        <f t="shared" ref="C89:I89" si="29">C83-SUM(C84:C88)</f>
        <v>0</v>
      </c>
      <c r="D89" s="937">
        <f t="shared" si="29"/>
        <v>0</v>
      </c>
      <c r="E89" s="937">
        <f t="shared" si="29"/>
        <v>0</v>
      </c>
      <c r="F89" s="937">
        <f t="shared" si="29"/>
        <v>0</v>
      </c>
      <c r="G89" s="937">
        <f t="shared" si="29"/>
        <v>0</v>
      </c>
      <c r="H89" s="937">
        <f t="shared" si="29"/>
        <v>0</v>
      </c>
      <c r="I89" s="937">
        <f t="shared" si="29"/>
        <v>0</v>
      </c>
      <c r="J89" s="937">
        <f>J83-SUM(J84:J88)</f>
        <v>0</v>
      </c>
      <c r="K89" s="938">
        <f t="shared" si="25"/>
        <v>0</v>
      </c>
    </row>
    <row r="90" spans="1:11">
      <c r="A90" s="379"/>
      <c r="B90" s="835">
        <f>合并TB负债!B58</f>
        <v>0</v>
      </c>
      <c r="C90" s="380">
        <f>SUM(C6,C12,C22:C26,C29:C30,C33:C37,C39:C40,C42:C43,C50,C54:C58,C60:C71,C76:C77,C79,C81:C82,C84:C88)</f>
        <v>0</v>
      </c>
      <c r="D90" s="380">
        <f t="shared" ref="D90:I90" si="30">SUM(D6,D12,D22:D26,D29:D30,D33:D37,D39:D40,D42:D43,D50,D54:D58,D60:D71,D76:D77,D79,D81:D82,D84:D88)</f>
        <v>0</v>
      </c>
      <c r="E90" s="380">
        <f t="shared" si="30"/>
        <v>0</v>
      </c>
      <c r="F90" s="380">
        <f t="shared" si="30"/>
        <v>0</v>
      </c>
      <c r="G90" s="380">
        <f t="shared" si="30"/>
        <v>0</v>
      </c>
      <c r="H90" s="380">
        <f t="shared" si="30"/>
        <v>0</v>
      </c>
      <c r="I90" s="380">
        <f t="shared" si="30"/>
        <v>0</v>
      </c>
      <c r="J90" s="380">
        <f>SUM(J6,J12,J22:J24,J26,J30,J31,J32:J33,J39,J40,J42:J43,J50,J54:J58,J60:J70,J71,J79,J81:J82,J84:J88)</f>
        <v>0</v>
      </c>
      <c r="K90" s="832">
        <f>合并TB负债!K58</f>
        <v>0</v>
      </c>
    </row>
    <row r="91" spans="1:11">
      <c r="A91" s="326"/>
      <c r="B91" s="831">
        <f>B90-B89</f>
        <v>0</v>
      </c>
      <c r="C91" s="831"/>
      <c r="D91" s="831"/>
      <c r="E91" s="843"/>
      <c r="F91" s="843"/>
      <c r="G91" s="843"/>
      <c r="H91" s="843"/>
      <c r="I91" s="831"/>
      <c r="J91" s="843"/>
      <c r="K91" s="831">
        <f>K90-K89</f>
        <v>0</v>
      </c>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3" priority="1" stopIfTrue="1" operator="equal">
      <formula>"报表未调平!"</formula>
    </cfRule>
  </conditionalFormatting>
  <printOptions horizontalCentered="1" verticalCentered="1"/>
  <pageMargins left="0.35433070866141736" right="0.35433070866141736" top="0.43307086614173229" bottom="0.31" header="0.19685039370078741" footer="0.19685039370078741"/>
  <pageSetup paperSize="9" scale="58"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9"/>
  <sheetViews>
    <sheetView workbookViewId="0"/>
  </sheetViews>
  <sheetFormatPr defaultRowHeight="12" customHeight="1" zeroHeight="1"/>
  <cols>
    <col min="1" max="3" width="17" customWidth="1"/>
    <col min="5" max="5" width="13.625" customWidth="1"/>
  </cols>
  <sheetData>
    <row r="1" spans="1:21" s="3" customFormat="1" ht="12" customHeight="1">
      <c r="A1" s="3" t="s">
        <v>351</v>
      </c>
      <c r="B1" s="3" t="s">
        <v>352</v>
      </c>
      <c r="C1" s="3" t="s">
        <v>353</v>
      </c>
      <c r="E1" s="4">
        <f ca="1">NOW()</f>
        <v>43830.515658796299</v>
      </c>
    </row>
    <row r="2" spans="1:21" s="3" customFormat="1" ht="12" hidden="1" customHeight="1"/>
    <row r="3" spans="1:21" s="3" customFormat="1" ht="12" hidden="1" customHeight="1">
      <c r="A3" s="5" t="e">
        <f>SUM(#REF!)+SUM(#REF!)+SUM(#REF!)+SUM(#REF!)+SUM(#REF!)+SUM(#REF!)</f>
        <v>#REF!</v>
      </c>
      <c r="B3" s="3" t="b">
        <f>ISERROR(A3)</f>
        <v>1</v>
      </c>
      <c r="C3" s="3" t="str">
        <f>IF(B3=TRUE,"您误使用了剪切或拖拽功能，请用撤销键撤销此操作!!",0)</f>
        <v>您误使用了剪切或拖拽功能，请用撤销键撤销此操作!!</v>
      </c>
    </row>
    <row r="4" spans="1:21" s="3" customFormat="1" ht="12" hidden="1" customHeight="1"/>
    <row r="5" spans="1:21" s="6" customFormat="1" ht="12" hidden="1" customHeight="1">
      <c r="A5" s="6" t="e">
        <f>IF(ABS(' '!E5)&gt;0.0049,"注意！报表项目栏有空格，试算平衡表将不能统计该栏数据！请填写报表项目名称。",IF(ABS(' '!F5)&lt;0.005,IF(ABS(' '!G5-' '!H5)&lt;0.005,IF(#REF!="调整金额合计",IF(ABS(#REF!)&lt;0.005,IF(ABS(#REF!)&lt;0.005,IF(ABS(#REF!)&lt;0.005,IF(#REF!-#REF!=0,"","                                       审计调整分录使本年净利润净增加："),"客户同意调整的分录不完整,使期初未分配利润与上期报表数不等。请继续调整！差额:"),"调整分录已使本年“年初未分配利润”和上年“末分配利润”不等。请作进一步调整。"),"调整分录错误！上年的报表项目不能与本年的报表项目套在一起出分录，请纠正；或者已输入的会计分录名称在“02报表格式”中已被修改，请手工作相应修改。"),""),"客户同意调整的分录不平，将导致客户报出会计报表不平，请检查!!差额为："),"“以前年度损益调整”应进一步结转入“年初未分配利润”等科目,借贷相抵后差额为："))</f>
        <v>#REF!</v>
      </c>
      <c r="B5" s="6" t="e">
        <f>IF(ABS(' '!E5)&gt;0.0049,"",IF(ABS(' '!F5)&lt;0.005,IF(ABS(' '!G5-' '!H5)&lt;0.005,IF(#REF!="调整金额合计",IF(ABS(#REF!)&lt;0.005,IF(ABS(#REF!)&lt;0.005,IF(ABS(#REF!)&lt;0.005,IF(#REF!-#REF!=0,"",#REF!-#REF!),#REF!),#REF!),#REF!),""),' '!G5-' '!H5),ABS(' '!F5)))</f>
        <v>#REF!</v>
      </c>
      <c r="C5" s="7" t="e">
        <f>SUMIF(#REF!,"",#REF!)</f>
        <v>#REF!</v>
      </c>
      <c r="D5" s="7" t="e">
        <f>SUMIF(#REF!,"",#REF!)</f>
        <v>#REF!</v>
      </c>
      <c r="E5" s="7" t="e">
        <f>ABS(' '!C5)+ABS(' '!D5)</f>
        <v>#REF!</v>
      </c>
      <c r="F5" s="7" t="e">
        <f>SUMIF(#REF!,"以前年度损益调整",#REF!)-SUMIF(#REF!,"以前年度损益调整",#REF!)</f>
        <v>#REF!</v>
      </c>
      <c r="G5" s="8" t="e">
        <f>SUMIF(#REF!,"Y",#REF!)</f>
        <v>#REF!</v>
      </c>
      <c r="H5" s="8" t="e">
        <f>SUMIF(#REF!,"Y",#REF!)</f>
        <v>#REF!</v>
      </c>
      <c r="K5" s="6" t="str">
        <f>CONCATENATE("被审计单位：",说明!E23)</f>
        <v>被审计单位：</v>
      </c>
      <c r="L5" s="6" t="e">
        <f>IF(A8=0,CONCATENATE(A5,B5),"请注意，您在第"&amp;(A7-1)&amp;"行之后输入了数据，本系统无法汇总到这些数据。请撤消此操作，然后在第"&amp;(A7-1)&amp;"行之前插入空白行，并在这些空白行中重新输入或粘贴数据。")</f>
        <v>#REF!</v>
      </c>
      <c r="Q5" s="9" t="e">
        <f>IF(ABS(#REF!-#REF!)&lt;0.005,"调整金额合计","调整金额借贷不等,请检查!差额为:")</f>
        <v>#REF!</v>
      </c>
      <c r="S5" s="6" t="e">
        <f>IF(#REF!=#REF!,"",#REF!-#REF!)</f>
        <v>#REF!</v>
      </c>
      <c r="U5" s="6" t="str">
        <f>CONCATENATE("会计期间：  ",说明!E30)</f>
        <v>会计期间：  2019年度</v>
      </c>
    </row>
    <row r="6" spans="1:21" s="3" customFormat="1" ht="12" hidden="1" customHeight="1">
      <c r="A6" s="1185" t="e">
        <f>IF(#REF!=0,IF(#REF!=0,IF(#REF!=0,IF(#REF!=0,"", "客户同意调整的分录不平，导致客户报出报表不平，请检查!!差额为："),"客户同意调整的分录不平，导致客户报出报表不平，请检查!!差额为："),"调整分录使试算平衡表中“现金及现金等价物净增加额”上下不等,差额为："),"调整分录使试算平衡表中“经营活动产生的现金流量”上下不等,差额为：")</f>
        <v>#REF!</v>
      </c>
      <c r="B6" s="1185"/>
      <c r="C6" s="1185"/>
      <c r="D6" s="1185"/>
      <c r="E6" s="1185"/>
      <c r="F6" s="1185"/>
      <c r="G6" s="1185"/>
      <c r="H6" s="10"/>
      <c r="I6" s="11" t="e">
        <f>IF(#REF!=0,IF(#REF!=0,IF(#REF!=0,IF(#REF!=0,"",#REF!),#REF!),#REF!),#REF!)</f>
        <v>#REF!</v>
      </c>
      <c r="J6" s="12" t="e">
        <f>CONCATENATE(A6,I6)</f>
        <v>#REF!</v>
      </c>
      <c r="K6" s="10"/>
      <c r="L6" s="10"/>
      <c r="M6" s="10"/>
      <c r="N6" s="13" t="e">
        <f>CONCATENATE("调整事项使现金净流量增加：",ROUND(#REF!-#REF!,2),"元。其中，","调增",ROUND(#REF!,2),"元，调减",ROUND(#REF!,2),"元。")</f>
        <v>#REF!</v>
      </c>
    </row>
    <row r="7" spans="1:21" s="3" customFormat="1" ht="12" hidden="1" customHeight="1">
      <c r="A7" t="e">
        <f>ROW(#REF!)</f>
        <v>#REF!</v>
      </c>
    </row>
    <row r="8" spans="1:21" s="3" customFormat="1" ht="12" hidden="1" customHeight="1">
      <c r="A8" t="e">
        <f>SUM(#REF!)</f>
        <v>#REF!</v>
      </c>
    </row>
    <row r="9" spans="1:21" s="3" customFormat="1" ht="12" hidden="1" customHeight="1"/>
  </sheetData>
  <mergeCells count="1">
    <mergeCell ref="A6:G6"/>
  </mergeCells>
  <phoneticPr fontId="3" type="noConversion"/>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I98"/>
  <sheetViews>
    <sheetView showZeros="0" workbookViewId="0">
      <pane xSplit="2" ySplit="5" topLeftCell="C6" activePane="bottomRight" state="frozen"/>
      <selection activeCell="H6" sqref="H6"/>
      <selection pane="topRight" activeCell="H6" sqref="H6"/>
      <selection pane="bottomLeft" activeCell="H6" sqref="H6"/>
      <selection pane="bottomRight" activeCell="J44" sqref="J44"/>
    </sheetView>
  </sheetViews>
  <sheetFormatPr defaultColWidth="7" defaultRowHeight="13.5" outlineLevelCol="1"/>
  <cols>
    <col min="1" max="1" width="45.625" style="33" customWidth="1"/>
    <col min="2" max="2" width="14.375" style="33" customWidth="1"/>
    <col min="3" max="3" width="15.25" style="33" customWidth="1"/>
    <col min="4" max="5" width="1" style="33" customWidth="1"/>
    <col min="6" max="6" width="14.875" style="33" customWidth="1"/>
    <col min="7" max="8" width="11.625" style="33" hidden="1" customWidth="1" outlineLevel="1"/>
    <col min="9" max="9" width="14.75" style="33" customWidth="1" collapsed="1"/>
    <col min="10" max="10" width="9.125" style="33" bestFit="1" customWidth="1"/>
    <col min="11" max="11" width="8" style="33" customWidth="1"/>
    <col min="12" max="12" width="6.75" style="33" bestFit="1" customWidth="1"/>
    <col min="13" max="16384" width="7" style="33"/>
  </cols>
  <sheetData>
    <row r="1" spans="1:9" s="32" customFormat="1" ht="19.5" customHeight="1">
      <c r="A1" s="29" t="s">
        <v>658</v>
      </c>
      <c r="B1" s="30"/>
      <c r="C1" s="30"/>
      <c r="D1" s="30"/>
      <c r="E1" s="30"/>
      <c r="F1" s="30"/>
      <c r="G1" s="30"/>
      <c r="H1" s="30"/>
      <c r="I1" s="30"/>
    </row>
    <row r="2" spans="1:9" s="32" customFormat="1" ht="15" customHeight="1">
      <c r="A2" s="88" t="str">
        <f>CONCATENATE("客户名称：",说明!E23)</f>
        <v>客户名称：</v>
      </c>
      <c r="B2" s="192" t="str">
        <f>CONCATENATE("编制：",说明!E36)</f>
        <v>编制：</v>
      </c>
      <c r="F2" s="88" t="str">
        <f>CONCATENATE("复核：",说明!E37)</f>
        <v>复核：</v>
      </c>
      <c r="G2" s="91"/>
      <c r="H2" s="92"/>
      <c r="I2" s="89" t="s">
        <v>294</v>
      </c>
    </row>
    <row r="3" spans="1:9" s="32" customFormat="1" ht="17.25" customHeight="1">
      <c r="A3" s="91" t="str">
        <f>CONCATENATE("会计时点：",TEXT(说明!E32,"yyyy.mm.dd"))</f>
        <v>会计时点：2019.12.31</v>
      </c>
      <c r="B3" s="194" t="str">
        <f ca="1">CONCATENATE("日期：",TEXT(NOW(),"yyyy.mm.dd"))</f>
        <v>日期：2019.12.31</v>
      </c>
      <c r="F3" s="89" t="s">
        <v>295</v>
      </c>
      <c r="G3" s="91"/>
      <c r="H3" s="91"/>
      <c r="I3" s="89" t="s">
        <v>296</v>
      </c>
    </row>
    <row r="4" spans="1:9" s="32" customFormat="1" ht="12.75" customHeight="1">
      <c r="A4" s="1183" t="str">
        <f>IF(AND((ROUND(I62,2)=ROUND(I98,2)),ROUND(I31,2)=ROUND(I85,2)),"报表项目","现金流量表未调平!")</f>
        <v>报表项目</v>
      </c>
      <c r="B4" s="1174" t="s">
        <v>146</v>
      </c>
      <c r="C4" s="1181" t="s">
        <v>656</v>
      </c>
      <c r="D4" s="1181"/>
      <c r="E4" s="1181"/>
      <c r="F4" s="1181" t="s">
        <v>298</v>
      </c>
      <c r="G4" s="1181" t="s">
        <v>299</v>
      </c>
      <c r="H4" s="1181" t="s">
        <v>300</v>
      </c>
      <c r="I4" s="1170" t="s">
        <v>570</v>
      </c>
    </row>
    <row r="5" spans="1:9" s="32" customFormat="1" ht="14.25" customHeight="1">
      <c r="A5" s="1184"/>
      <c r="B5" s="1175"/>
      <c r="C5" s="1182"/>
      <c r="D5" s="1182"/>
      <c r="E5" s="1182"/>
      <c r="F5" s="1182"/>
      <c r="G5" s="1182"/>
      <c r="H5" s="1182"/>
      <c r="I5" s="1171"/>
    </row>
    <row r="6" spans="1:9">
      <c r="A6" s="412" t="str">
        <f>报表格式!Q5</f>
        <v>一、经营活动产生的现金流量</v>
      </c>
      <c r="B6" s="414"/>
      <c r="C6" s="507"/>
      <c r="D6" s="507"/>
      <c r="E6" s="507"/>
      <c r="F6" s="507"/>
      <c r="G6" s="507"/>
      <c r="H6" s="507"/>
      <c r="I6" s="508"/>
    </row>
    <row r="7" spans="1:9">
      <c r="A7" s="463" t="str">
        <f>报表格式!Q6</f>
        <v xml:space="preserve">     销售商品、提供劳务收到的现金</v>
      </c>
      <c r="B7" s="393">
        <f>合并CF汇总!B7</f>
        <v>0</v>
      </c>
      <c r="C7" s="509"/>
      <c r="D7" s="509"/>
      <c r="E7" s="509"/>
      <c r="F7" s="509"/>
      <c r="G7" s="509">
        <f>SUM(B7:F7)</f>
        <v>0</v>
      </c>
      <c r="H7" s="509"/>
      <c r="I7" s="510">
        <f>SUM(G7:H7)</f>
        <v>0</v>
      </c>
    </row>
    <row r="8" spans="1:9">
      <c r="A8" s="914" t="str">
        <f>报表格式!Q7</f>
        <v xml:space="preserve">     客户存款和同业存放款项净增加额</v>
      </c>
      <c r="B8" s="393">
        <f>合并CF汇总!B8</f>
        <v>0</v>
      </c>
      <c r="C8" s="509"/>
      <c r="D8" s="509"/>
      <c r="E8" s="509"/>
      <c r="F8" s="509"/>
      <c r="G8" s="509">
        <f t="shared" ref="G8:G17" si="0">SUM(B8:F8)</f>
        <v>0</v>
      </c>
      <c r="H8" s="509"/>
      <c r="I8" s="510">
        <f t="shared" ref="I8:I17" si="1">SUM(G8:H8)</f>
        <v>0</v>
      </c>
    </row>
    <row r="9" spans="1:9">
      <c r="A9" s="914" t="str">
        <f>报表格式!Q8</f>
        <v xml:space="preserve">     向中央银行借款净增加额</v>
      </c>
      <c r="B9" s="393">
        <f>合并CF汇总!B9</f>
        <v>0</v>
      </c>
      <c r="C9" s="509"/>
      <c r="D9" s="509"/>
      <c r="E9" s="509"/>
      <c r="F9" s="509"/>
      <c r="G9" s="509">
        <f t="shared" si="0"/>
        <v>0</v>
      </c>
      <c r="H9" s="509"/>
      <c r="I9" s="510">
        <f t="shared" si="1"/>
        <v>0</v>
      </c>
    </row>
    <row r="10" spans="1:9">
      <c r="A10" s="914" t="str">
        <f>报表格式!Q9</f>
        <v xml:space="preserve">     向其他金融机构拆入资金净增加额</v>
      </c>
      <c r="B10" s="393">
        <f>合并CF汇总!B10</f>
        <v>0</v>
      </c>
      <c r="C10" s="509"/>
      <c r="D10" s="509"/>
      <c r="E10" s="509"/>
      <c r="F10" s="509"/>
      <c r="G10" s="509">
        <f t="shared" si="0"/>
        <v>0</v>
      </c>
      <c r="H10" s="509"/>
      <c r="I10" s="510">
        <f t="shared" si="1"/>
        <v>0</v>
      </c>
    </row>
    <row r="11" spans="1:9">
      <c r="A11" s="914" t="str">
        <f>报表格式!Q10</f>
        <v xml:space="preserve">     收到原保险合同保费取得的现金</v>
      </c>
      <c r="B11" s="393">
        <f>合并CF汇总!B11</f>
        <v>0</v>
      </c>
      <c r="C11" s="509"/>
      <c r="D11" s="509"/>
      <c r="E11" s="509"/>
      <c r="F11" s="509"/>
      <c r="G11" s="509">
        <f t="shared" si="0"/>
        <v>0</v>
      </c>
      <c r="H11" s="509"/>
      <c r="I11" s="510">
        <f t="shared" si="1"/>
        <v>0</v>
      </c>
    </row>
    <row r="12" spans="1:9">
      <c r="A12" s="914" t="str">
        <f>报表格式!Q11</f>
        <v xml:space="preserve">     收到再保险业务现金净额</v>
      </c>
      <c r="B12" s="393">
        <f>合并CF汇总!B12</f>
        <v>0</v>
      </c>
      <c r="C12" s="509"/>
      <c r="D12" s="509"/>
      <c r="E12" s="509"/>
      <c r="F12" s="509"/>
      <c r="G12" s="509">
        <f t="shared" si="0"/>
        <v>0</v>
      </c>
      <c r="H12" s="509"/>
      <c r="I12" s="510">
        <f t="shared" si="1"/>
        <v>0</v>
      </c>
    </row>
    <row r="13" spans="1:9">
      <c r="A13" s="914" t="str">
        <f>报表格式!Q12</f>
        <v xml:space="preserve">     保户储金及投资款净增加额</v>
      </c>
      <c r="B13" s="393">
        <f>合并CF汇总!B13</f>
        <v>0</v>
      </c>
      <c r="C13" s="509"/>
      <c r="D13" s="509"/>
      <c r="E13" s="509"/>
      <c r="F13" s="509"/>
      <c r="G13" s="509">
        <f t="shared" si="0"/>
        <v>0</v>
      </c>
      <c r="H13" s="509"/>
      <c r="I13" s="510">
        <f t="shared" si="1"/>
        <v>0</v>
      </c>
    </row>
    <row r="14" spans="1:9">
      <c r="A14" s="914" t="str">
        <f>报表格式!Q13</f>
        <v xml:space="preserve">     收取利息、手续费及佣金的现金</v>
      </c>
      <c r="B14" s="393">
        <f>合并CF汇总!B14</f>
        <v>0</v>
      </c>
      <c r="C14" s="509"/>
      <c r="D14" s="509"/>
      <c r="E14" s="509"/>
      <c r="F14" s="509"/>
      <c r="G14" s="509">
        <f t="shared" si="0"/>
        <v>0</v>
      </c>
      <c r="H14" s="509"/>
      <c r="I14" s="510">
        <f t="shared" si="1"/>
        <v>0</v>
      </c>
    </row>
    <row r="15" spans="1:9">
      <c r="A15" s="914" t="str">
        <f>报表格式!Q14</f>
        <v xml:space="preserve">     拆入资金净增加额</v>
      </c>
      <c r="B15" s="393">
        <f>合并CF汇总!B15</f>
        <v>0</v>
      </c>
      <c r="C15" s="509"/>
      <c r="D15" s="509"/>
      <c r="E15" s="509"/>
      <c r="F15" s="509"/>
      <c r="G15" s="509">
        <f t="shared" si="0"/>
        <v>0</v>
      </c>
      <c r="H15" s="509"/>
      <c r="I15" s="510">
        <f t="shared" si="1"/>
        <v>0</v>
      </c>
    </row>
    <row r="16" spans="1:9">
      <c r="A16" s="914" t="str">
        <f>报表格式!Q15</f>
        <v xml:space="preserve">     回购业务资金净增加额</v>
      </c>
      <c r="B16" s="393">
        <f>合并CF汇总!B16</f>
        <v>0</v>
      </c>
      <c r="C16" s="509"/>
      <c r="D16" s="509"/>
      <c r="E16" s="509"/>
      <c r="F16" s="509"/>
      <c r="G16" s="509">
        <f t="shared" si="0"/>
        <v>0</v>
      </c>
      <c r="H16" s="509"/>
      <c r="I16" s="510">
        <f t="shared" si="1"/>
        <v>0</v>
      </c>
    </row>
    <row r="17" spans="1:9">
      <c r="A17" s="914" t="str">
        <f>报表格式!Q16</f>
        <v xml:space="preserve">     收到的税费返还</v>
      </c>
      <c r="B17" s="393">
        <f>合并CF汇总!B17</f>
        <v>0</v>
      </c>
      <c r="C17" s="509"/>
      <c r="D17" s="509"/>
      <c r="E17" s="509"/>
      <c r="F17" s="509"/>
      <c r="G17" s="509">
        <f t="shared" si="0"/>
        <v>0</v>
      </c>
      <c r="H17" s="509"/>
      <c r="I17" s="510">
        <f t="shared" si="1"/>
        <v>0</v>
      </c>
    </row>
    <row r="18" spans="1:9">
      <c r="A18" s="463" t="str">
        <f>报表格式!Q17</f>
        <v xml:space="preserve">     收到的其他与经营活动有关的现金</v>
      </c>
      <c r="B18" s="393">
        <f>合并CF汇总!B18</f>
        <v>0</v>
      </c>
      <c r="C18" s="509"/>
      <c r="D18" s="509"/>
      <c r="E18" s="509"/>
      <c r="F18" s="509"/>
      <c r="G18" s="509">
        <f t="shared" ref="G18:G63" si="2">SUM(B18:F18)</f>
        <v>0</v>
      </c>
      <c r="H18" s="509"/>
      <c r="I18" s="510">
        <f t="shared" ref="I18:I64" si="3">SUM(G18:H18)</f>
        <v>0</v>
      </c>
    </row>
    <row r="19" spans="1:9">
      <c r="A19" s="463">
        <f>报表格式!Q18</f>
        <v>0</v>
      </c>
      <c r="B19" s="393">
        <f>合并CF汇总!B19</f>
        <v>0</v>
      </c>
      <c r="C19" s="509"/>
      <c r="D19" s="509"/>
      <c r="E19" s="509"/>
      <c r="F19" s="509"/>
      <c r="G19" s="509">
        <f t="shared" si="2"/>
        <v>0</v>
      </c>
      <c r="H19" s="509"/>
      <c r="I19" s="510">
        <f t="shared" si="3"/>
        <v>0</v>
      </c>
    </row>
    <row r="20" spans="1:9">
      <c r="A20" s="397" t="str">
        <f>报表格式!Q20</f>
        <v xml:space="preserve">     经营活动现金流入小计</v>
      </c>
      <c r="B20" s="393">
        <f>SUM(B7:B19)</f>
        <v>0</v>
      </c>
      <c r="C20" s="393">
        <f t="shared" ref="C20:H20" si="4">SUM(C7:C19)</f>
        <v>0</v>
      </c>
      <c r="D20" s="393">
        <f t="shared" si="4"/>
        <v>0</v>
      </c>
      <c r="E20" s="393">
        <f t="shared" si="4"/>
        <v>0</v>
      </c>
      <c r="F20" s="393">
        <f t="shared" si="4"/>
        <v>0</v>
      </c>
      <c r="G20" s="393">
        <f t="shared" si="4"/>
        <v>0</v>
      </c>
      <c r="H20" s="393">
        <f t="shared" si="4"/>
        <v>0</v>
      </c>
      <c r="I20" s="510">
        <f t="shared" si="3"/>
        <v>0</v>
      </c>
    </row>
    <row r="21" spans="1:9">
      <c r="A21" s="463" t="str">
        <f>报表格式!Q21</f>
        <v xml:space="preserve">     购买商品、接受劳务支付的现金</v>
      </c>
      <c r="B21" s="393">
        <f>合并CF汇总!B21</f>
        <v>0</v>
      </c>
      <c r="C21" s="509"/>
      <c r="D21" s="509"/>
      <c r="E21" s="509"/>
      <c r="F21" s="509"/>
      <c r="G21" s="509">
        <f t="shared" si="2"/>
        <v>0</v>
      </c>
      <c r="H21" s="509"/>
      <c r="I21" s="510">
        <f t="shared" si="3"/>
        <v>0</v>
      </c>
    </row>
    <row r="22" spans="1:9">
      <c r="A22" s="914" t="str">
        <f>报表格式!Q22</f>
        <v xml:space="preserve">     客户贷款及垫款净增加额</v>
      </c>
      <c r="B22" s="393">
        <f>合并CF汇总!B22</f>
        <v>0</v>
      </c>
      <c r="C22" s="509"/>
      <c r="D22" s="509"/>
      <c r="E22" s="509"/>
      <c r="F22" s="509"/>
      <c r="G22" s="509">
        <f t="shared" ref="G22:G26" si="5">SUM(B22:F22)</f>
        <v>0</v>
      </c>
      <c r="H22" s="509"/>
      <c r="I22" s="510">
        <f t="shared" ref="I22:I26" si="6">SUM(G22:H22)</f>
        <v>0</v>
      </c>
    </row>
    <row r="23" spans="1:9">
      <c r="A23" s="914" t="str">
        <f>报表格式!Q23</f>
        <v xml:space="preserve">     存放中央银行和同业款项净增加额</v>
      </c>
      <c r="B23" s="393">
        <f>合并CF汇总!B23</f>
        <v>0</v>
      </c>
      <c r="C23" s="509"/>
      <c r="D23" s="509"/>
      <c r="E23" s="509"/>
      <c r="F23" s="509"/>
      <c r="G23" s="509">
        <f t="shared" si="5"/>
        <v>0</v>
      </c>
      <c r="H23" s="509"/>
      <c r="I23" s="510">
        <f t="shared" si="6"/>
        <v>0</v>
      </c>
    </row>
    <row r="24" spans="1:9">
      <c r="A24" s="914" t="str">
        <f>报表格式!Q24</f>
        <v xml:space="preserve">     支付原保险合同赔付款项的现金</v>
      </c>
      <c r="B24" s="393">
        <f>合并CF汇总!B24</f>
        <v>0</v>
      </c>
      <c r="C24" s="509"/>
      <c r="D24" s="509"/>
      <c r="E24" s="509"/>
      <c r="F24" s="509"/>
      <c r="G24" s="509">
        <f t="shared" si="5"/>
        <v>0</v>
      </c>
      <c r="H24" s="509"/>
      <c r="I24" s="510">
        <f t="shared" si="6"/>
        <v>0</v>
      </c>
    </row>
    <row r="25" spans="1:9">
      <c r="A25" s="914" t="str">
        <f>报表格式!Q25</f>
        <v xml:space="preserve">     支付利息、手续费及佣金的现金</v>
      </c>
      <c r="B25" s="393">
        <f>合并CF汇总!B25</f>
        <v>0</v>
      </c>
      <c r="C25" s="509"/>
      <c r="D25" s="509"/>
      <c r="E25" s="509"/>
      <c r="F25" s="509"/>
      <c r="G25" s="509">
        <f t="shared" si="5"/>
        <v>0</v>
      </c>
      <c r="H25" s="509"/>
      <c r="I25" s="510">
        <f t="shared" si="6"/>
        <v>0</v>
      </c>
    </row>
    <row r="26" spans="1:9">
      <c r="A26" s="914" t="str">
        <f>报表格式!Q26</f>
        <v xml:space="preserve">     支付保单红利的现金</v>
      </c>
      <c r="B26" s="393">
        <f>合并CF汇总!B26</f>
        <v>0</v>
      </c>
      <c r="C26" s="509"/>
      <c r="D26" s="509"/>
      <c r="E26" s="509"/>
      <c r="F26" s="509"/>
      <c r="G26" s="509">
        <f t="shared" si="5"/>
        <v>0</v>
      </c>
      <c r="H26" s="509"/>
      <c r="I26" s="510">
        <f t="shared" si="6"/>
        <v>0</v>
      </c>
    </row>
    <row r="27" spans="1:9">
      <c r="A27" s="463" t="str">
        <f>报表格式!Q27</f>
        <v xml:space="preserve">     支付给职工以及为职工支付的现金</v>
      </c>
      <c r="B27" s="393">
        <f>合并CF汇总!B27</f>
        <v>0</v>
      </c>
      <c r="C27" s="509"/>
      <c r="D27" s="509"/>
      <c r="E27" s="509"/>
      <c r="F27" s="509"/>
      <c r="G27" s="509">
        <f t="shared" si="2"/>
        <v>0</v>
      </c>
      <c r="H27" s="509"/>
      <c r="I27" s="510">
        <f t="shared" si="3"/>
        <v>0</v>
      </c>
    </row>
    <row r="28" spans="1:9">
      <c r="A28" s="463" t="str">
        <f>报表格式!Q28</f>
        <v xml:space="preserve">     支付各项税费</v>
      </c>
      <c r="B28" s="393">
        <f>合并CF汇总!B28</f>
        <v>0</v>
      </c>
      <c r="C28" s="509"/>
      <c r="D28" s="509"/>
      <c r="E28" s="509"/>
      <c r="F28" s="509"/>
      <c r="G28" s="509">
        <f t="shared" si="2"/>
        <v>0</v>
      </c>
      <c r="H28" s="509"/>
      <c r="I28" s="510">
        <f t="shared" si="3"/>
        <v>0</v>
      </c>
    </row>
    <row r="29" spans="1:9">
      <c r="A29" s="463" t="str">
        <f>报表格式!Q29</f>
        <v xml:space="preserve">     支付的其他与经营活动有关的现金</v>
      </c>
      <c r="B29" s="393">
        <f>合并CF汇总!B29</f>
        <v>0</v>
      </c>
      <c r="C29" s="509"/>
      <c r="D29" s="509"/>
      <c r="E29" s="509"/>
      <c r="F29" s="509"/>
      <c r="G29" s="509">
        <f t="shared" si="2"/>
        <v>0</v>
      </c>
      <c r="H29" s="509"/>
      <c r="I29" s="510">
        <f t="shared" si="3"/>
        <v>0</v>
      </c>
    </row>
    <row r="30" spans="1:9">
      <c r="A30" s="397" t="str">
        <f>报表格式!Q31</f>
        <v xml:space="preserve">     经营活动现金流出小计</v>
      </c>
      <c r="B30" s="393">
        <f>SUM(B21:B29)</f>
        <v>0</v>
      </c>
      <c r="C30" s="393">
        <f t="shared" ref="C30:H30" si="7">SUM(C21:C29)</f>
        <v>0</v>
      </c>
      <c r="D30" s="393">
        <f t="shared" si="7"/>
        <v>0</v>
      </c>
      <c r="E30" s="393">
        <f t="shared" si="7"/>
        <v>0</v>
      </c>
      <c r="F30" s="393">
        <f t="shared" si="7"/>
        <v>0</v>
      </c>
      <c r="G30" s="393">
        <f t="shared" si="7"/>
        <v>0</v>
      </c>
      <c r="H30" s="393">
        <f t="shared" si="7"/>
        <v>0</v>
      </c>
      <c r="I30" s="510">
        <f t="shared" si="3"/>
        <v>0</v>
      </c>
    </row>
    <row r="31" spans="1:9" s="647" customFormat="1">
      <c r="A31" s="397" t="str">
        <f>报表格式!Q32</f>
        <v xml:space="preserve">     经营活动产生的现金流量净额</v>
      </c>
      <c r="B31" s="399">
        <f>B20-B30</f>
        <v>0</v>
      </c>
      <c r="C31" s="399">
        <f t="shared" ref="C31:H31" si="8">C20-C30</f>
        <v>0</v>
      </c>
      <c r="D31" s="399">
        <f t="shared" si="8"/>
        <v>0</v>
      </c>
      <c r="E31" s="399">
        <f t="shared" si="8"/>
        <v>0</v>
      </c>
      <c r="F31" s="399">
        <f t="shared" si="8"/>
        <v>0</v>
      </c>
      <c r="G31" s="399">
        <f t="shared" si="8"/>
        <v>0</v>
      </c>
      <c r="H31" s="399">
        <f t="shared" si="8"/>
        <v>0</v>
      </c>
      <c r="I31" s="649">
        <f t="shared" si="3"/>
        <v>0</v>
      </c>
    </row>
    <row r="32" spans="1:9">
      <c r="A32" s="502" t="str">
        <f>报表格式!Q33</f>
        <v>二、投资活动产生的现金流量</v>
      </c>
      <c r="B32" s="393"/>
      <c r="C32" s="509"/>
      <c r="D32" s="509"/>
      <c r="E32" s="509"/>
      <c r="F32" s="509"/>
      <c r="G32" s="509"/>
      <c r="H32" s="509"/>
      <c r="I32" s="510"/>
    </row>
    <row r="33" spans="1:9">
      <c r="A33" s="463" t="str">
        <f>报表格式!Q34</f>
        <v xml:space="preserve">     收回投资所收到的现金</v>
      </c>
      <c r="B33" s="393">
        <f>合并CF汇总!B33</f>
        <v>0</v>
      </c>
      <c r="C33" s="509"/>
      <c r="D33" s="509"/>
      <c r="E33" s="509"/>
      <c r="F33" s="509"/>
      <c r="G33" s="509">
        <f t="shared" si="2"/>
        <v>0</v>
      </c>
      <c r="H33" s="509"/>
      <c r="I33" s="510">
        <f t="shared" si="3"/>
        <v>0</v>
      </c>
    </row>
    <row r="34" spans="1:9">
      <c r="A34" s="463" t="str">
        <f>报表格式!Q35</f>
        <v xml:space="preserve">     取得投资收益所收到的现金</v>
      </c>
      <c r="B34" s="393">
        <f>合并CF汇总!B34</f>
        <v>0</v>
      </c>
      <c r="C34" s="509"/>
      <c r="D34" s="509"/>
      <c r="E34" s="509"/>
      <c r="F34" s="509"/>
      <c r="G34" s="509">
        <f t="shared" si="2"/>
        <v>0</v>
      </c>
      <c r="H34" s="509"/>
      <c r="I34" s="510">
        <f t="shared" si="3"/>
        <v>0</v>
      </c>
    </row>
    <row r="35" spans="1:9">
      <c r="A35" s="463" t="str">
        <f>报表格式!Q36</f>
        <v xml:space="preserve">     处置固定资产、无形资产和其他长期资产而收到的现金净额</v>
      </c>
      <c r="B35" s="393">
        <f>合并CF汇总!B35</f>
        <v>0</v>
      </c>
      <c r="C35" s="509"/>
      <c r="D35" s="509"/>
      <c r="E35" s="509"/>
      <c r="F35" s="509"/>
      <c r="G35" s="509">
        <f t="shared" si="2"/>
        <v>0</v>
      </c>
      <c r="H35" s="509"/>
      <c r="I35" s="510">
        <f t="shared" si="3"/>
        <v>0</v>
      </c>
    </row>
    <row r="36" spans="1:9">
      <c r="A36" s="463" t="str">
        <f>报表格式!Q37</f>
        <v xml:space="preserve">     处置子公司及其他营业单位收到的现金净额</v>
      </c>
      <c r="B36" s="393">
        <f>合并CF汇总!B36</f>
        <v>0</v>
      </c>
      <c r="C36" s="509"/>
      <c r="D36" s="509"/>
      <c r="E36" s="509"/>
      <c r="F36" s="509"/>
      <c r="G36" s="509">
        <f t="shared" si="2"/>
        <v>0</v>
      </c>
      <c r="H36" s="509"/>
      <c r="I36" s="510">
        <f t="shared" si="3"/>
        <v>0</v>
      </c>
    </row>
    <row r="37" spans="1:9">
      <c r="A37" s="463" t="str">
        <f>报表格式!Q38</f>
        <v xml:space="preserve">     收到其他与投资活动有关的现金</v>
      </c>
      <c r="B37" s="393">
        <f>合并CF汇总!B37</f>
        <v>0</v>
      </c>
      <c r="C37" s="509"/>
      <c r="D37" s="509"/>
      <c r="E37" s="509"/>
      <c r="F37" s="509"/>
      <c r="G37" s="509">
        <f t="shared" si="2"/>
        <v>0</v>
      </c>
      <c r="H37" s="509"/>
      <c r="I37" s="510">
        <f t="shared" si="3"/>
        <v>0</v>
      </c>
    </row>
    <row r="38" spans="1:9">
      <c r="A38" s="397" t="str">
        <f>报表格式!Q40</f>
        <v xml:space="preserve">     投资活动现金流入小计</v>
      </c>
      <c r="B38" s="393">
        <f>SUM(B33:B37)</f>
        <v>0</v>
      </c>
      <c r="C38" s="393">
        <f t="shared" ref="C38:H38" si="9">SUM(C33:C37)</f>
        <v>0</v>
      </c>
      <c r="D38" s="393">
        <f t="shared" si="9"/>
        <v>0</v>
      </c>
      <c r="E38" s="393">
        <f t="shared" si="9"/>
        <v>0</v>
      </c>
      <c r="F38" s="393">
        <f t="shared" si="9"/>
        <v>0</v>
      </c>
      <c r="G38" s="393">
        <f t="shared" si="9"/>
        <v>0</v>
      </c>
      <c r="H38" s="393">
        <f t="shared" si="9"/>
        <v>0</v>
      </c>
      <c r="I38" s="510">
        <f t="shared" si="3"/>
        <v>0</v>
      </c>
    </row>
    <row r="39" spans="1:9">
      <c r="A39" s="463" t="str">
        <f>报表格式!Q41</f>
        <v xml:space="preserve">     购置固定资产、无形资产和其他长期资产所支付现金 </v>
      </c>
      <c r="B39" s="393">
        <f>合并CF汇总!B39</f>
        <v>0</v>
      </c>
      <c r="C39" s="509"/>
      <c r="D39" s="509"/>
      <c r="E39" s="509"/>
      <c r="F39" s="509"/>
      <c r="G39" s="509">
        <f t="shared" si="2"/>
        <v>0</v>
      </c>
      <c r="H39" s="509"/>
      <c r="I39" s="510">
        <f t="shared" si="3"/>
        <v>0</v>
      </c>
    </row>
    <row r="40" spans="1:9">
      <c r="A40" s="463" t="str">
        <f>报表格式!Q42</f>
        <v xml:space="preserve">     投资所支付的现金</v>
      </c>
      <c r="B40" s="393">
        <f>合并CF汇总!B40</f>
        <v>0</v>
      </c>
      <c r="C40" s="509"/>
      <c r="D40" s="509"/>
      <c r="E40" s="509"/>
      <c r="F40" s="509"/>
      <c r="G40" s="509">
        <f t="shared" si="2"/>
        <v>0</v>
      </c>
      <c r="H40" s="509"/>
      <c r="I40" s="510">
        <f t="shared" si="3"/>
        <v>0</v>
      </c>
    </row>
    <row r="41" spans="1:9">
      <c r="A41" s="914" t="str">
        <f>报表格式!Q43</f>
        <v xml:space="preserve">     质押贷款净增加额</v>
      </c>
      <c r="B41" s="393">
        <f>合并CF汇总!B41</f>
        <v>0</v>
      </c>
      <c r="C41" s="509"/>
      <c r="D41" s="509"/>
      <c r="E41" s="509"/>
      <c r="F41" s="509"/>
      <c r="G41" s="509">
        <f t="shared" ref="G41" si="10">SUM(B41:F41)</f>
        <v>0</v>
      </c>
      <c r="H41" s="509"/>
      <c r="I41" s="510">
        <f t="shared" ref="I41" si="11">SUM(G41:H41)</f>
        <v>0</v>
      </c>
    </row>
    <row r="42" spans="1:9">
      <c r="A42" s="463" t="str">
        <f>报表格式!Q44</f>
        <v xml:space="preserve">     取得子公司及其他营业单位支付的现金净额</v>
      </c>
      <c r="B42" s="393">
        <f>合并CF汇总!B42</f>
        <v>0</v>
      </c>
      <c r="C42" s="509"/>
      <c r="D42" s="509"/>
      <c r="E42" s="509"/>
      <c r="F42" s="509"/>
      <c r="G42" s="509">
        <f t="shared" si="2"/>
        <v>0</v>
      </c>
      <c r="H42" s="509"/>
      <c r="I42" s="510">
        <f t="shared" si="3"/>
        <v>0</v>
      </c>
    </row>
    <row r="43" spans="1:9">
      <c r="A43" s="463" t="str">
        <f>报表格式!Q45</f>
        <v xml:space="preserve">     支付其他与投资活动有关的现金</v>
      </c>
      <c r="B43" s="393">
        <f>合并CF汇总!B43</f>
        <v>0</v>
      </c>
      <c r="C43" s="509"/>
      <c r="D43" s="509"/>
      <c r="E43" s="509"/>
      <c r="F43" s="509"/>
      <c r="G43" s="509">
        <f t="shared" si="2"/>
        <v>0</v>
      </c>
      <c r="H43" s="509"/>
      <c r="I43" s="510">
        <f t="shared" si="3"/>
        <v>0</v>
      </c>
    </row>
    <row r="44" spans="1:9">
      <c r="A44" s="397" t="str">
        <f>报表格式!Q47</f>
        <v xml:space="preserve">      投资活动现金流出小计</v>
      </c>
      <c r="B44" s="393">
        <f>SUM(B39:B43)</f>
        <v>0</v>
      </c>
      <c r="C44" s="393">
        <f t="shared" ref="C44:H44" si="12">SUM(C39:C43)</f>
        <v>0</v>
      </c>
      <c r="D44" s="393">
        <f t="shared" si="12"/>
        <v>0</v>
      </c>
      <c r="E44" s="393">
        <f t="shared" si="12"/>
        <v>0</v>
      </c>
      <c r="F44" s="393">
        <f t="shared" si="12"/>
        <v>0</v>
      </c>
      <c r="G44" s="393">
        <f t="shared" si="12"/>
        <v>0</v>
      </c>
      <c r="H44" s="393">
        <f t="shared" si="12"/>
        <v>0</v>
      </c>
      <c r="I44" s="510">
        <f t="shared" si="3"/>
        <v>0</v>
      </c>
    </row>
    <row r="45" spans="1:9" s="647" customFormat="1">
      <c r="A45" s="397" t="str">
        <f>报表格式!Q48</f>
        <v xml:space="preserve">     投资活动产生的现金流量净额</v>
      </c>
      <c r="B45" s="399">
        <f>B38-B44</f>
        <v>0</v>
      </c>
      <c r="C45" s="399">
        <f t="shared" ref="C45:H45" si="13">C38-C44</f>
        <v>0</v>
      </c>
      <c r="D45" s="399">
        <f t="shared" si="13"/>
        <v>0</v>
      </c>
      <c r="E45" s="399">
        <f t="shared" si="13"/>
        <v>0</v>
      </c>
      <c r="F45" s="399">
        <f t="shared" si="13"/>
        <v>0</v>
      </c>
      <c r="G45" s="399">
        <f t="shared" si="13"/>
        <v>0</v>
      </c>
      <c r="H45" s="399">
        <f t="shared" si="13"/>
        <v>0</v>
      </c>
      <c r="I45" s="649">
        <f t="shared" si="3"/>
        <v>0</v>
      </c>
    </row>
    <row r="46" spans="1:9">
      <c r="A46" s="502" t="str">
        <f>报表格式!Q49</f>
        <v>三、筹资活动产生的现金流量</v>
      </c>
      <c r="B46" s="393"/>
      <c r="C46" s="509"/>
      <c r="D46" s="509"/>
      <c r="E46" s="509"/>
      <c r="F46" s="509"/>
      <c r="G46" s="509"/>
      <c r="H46" s="509"/>
      <c r="I46" s="510"/>
    </row>
    <row r="47" spans="1:9">
      <c r="A47" s="463" t="str">
        <f>报表格式!Q50</f>
        <v xml:space="preserve">     吸收投资所收到的现金</v>
      </c>
      <c r="B47" s="393">
        <f>合并CF汇总!B47</f>
        <v>0</v>
      </c>
      <c r="C47" s="509"/>
      <c r="D47" s="509"/>
      <c r="E47" s="509"/>
      <c r="F47" s="509"/>
      <c r="G47" s="509">
        <f t="shared" si="2"/>
        <v>0</v>
      </c>
      <c r="H47" s="509"/>
      <c r="I47" s="510">
        <f t="shared" si="3"/>
        <v>0</v>
      </c>
    </row>
    <row r="48" spans="1:9">
      <c r="A48" s="396" t="str">
        <f>报表格式!Q51</f>
        <v xml:space="preserve">     其中：子公司吸收少数股东投资收到的现金</v>
      </c>
      <c r="B48" s="393">
        <f>合并CF汇总!B48</f>
        <v>0</v>
      </c>
      <c r="C48" s="509"/>
      <c r="D48" s="509"/>
      <c r="E48" s="509"/>
      <c r="F48" s="509"/>
      <c r="G48" s="509">
        <f t="shared" si="2"/>
        <v>0</v>
      </c>
      <c r="H48" s="509"/>
      <c r="I48" s="510">
        <f t="shared" si="3"/>
        <v>0</v>
      </c>
    </row>
    <row r="49" spans="1:9">
      <c r="A49" s="463" t="str">
        <f>报表格式!Q52</f>
        <v xml:space="preserve">     取得借款收到的现金</v>
      </c>
      <c r="B49" s="393">
        <f>合并CF汇总!B49</f>
        <v>0</v>
      </c>
      <c r="C49" s="509"/>
      <c r="D49" s="509"/>
      <c r="E49" s="509"/>
      <c r="F49" s="509"/>
      <c r="G49" s="509">
        <f t="shared" si="2"/>
        <v>0</v>
      </c>
      <c r="H49" s="509"/>
      <c r="I49" s="510">
        <f t="shared" si="3"/>
        <v>0</v>
      </c>
    </row>
    <row r="50" spans="1:9">
      <c r="A50" s="463" t="str">
        <f>报表格式!Q53</f>
        <v xml:space="preserve">     收到的其他与筹资活动有关的现金</v>
      </c>
      <c r="B50" s="393">
        <f>合并CF汇总!B50</f>
        <v>0</v>
      </c>
      <c r="C50" s="509"/>
      <c r="D50" s="509"/>
      <c r="E50" s="509"/>
      <c r="F50" s="509"/>
      <c r="G50" s="509">
        <f>SUM(B50:F50)</f>
        <v>0</v>
      </c>
      <c r="H50" s="509"/>
      <c r="I50" s="510">
        <f>SUM(G50:H50)</f>
        <v>0</v>
      </c>
    </row>
    <row r="51" spans="1:9">
      <c r="A51" s="463">
        <f>报表格式!Q54</f>
        <v>0</v>
      </c>
      <c r="B51" s="393">
        <f>合并CF汇总!B51</f>
        <v>0</v>
      </c>
      <c r="C51" s="509"/>
      <c r="D51" s="509"/>
      <c r="E51" s="509"/>
      <c r="F51" s="509"/>
      <c r="G51" s="509">
        <f t="shared" si="2"/>
        <v>0</v>
      </c>
      <c r="H51" s="509"/>
      <c r="I51" s="510">
        <f t="shared" si="3"/>
        <v>0</v>
      </c>
    </row>
    <row r="52" spans="1:9">
      <c r="A52" s="397" t="str">
        <f>报表格式!Q55</f>
        <v xml:space="preserve">     筹资活动现金流入小计</v>
      </c>
      <c r="B52" s="393">
        <f>SUM(B47:B51)-B48</f>
        <v>0</v>
      </c>
      <c r="C52" s="393">
        <f t="shared" ref="C52:H52" si="14">SUM(C47:C51)-C48</f>
        <v>0</v>
      </c>
      <c r="D52" s="393">
        <f t="shared" si="14"/>
        <v>0</v>
      </c>
      <c r="E52" s="393">
        <f t="shared" si="14"/>
        <v>0</v>
      </c>
      <c r="F52" s="393">
        <f t="shared" si="14"/>
        <v>0</v>
      </c>
      <c r="G52" s="393">
        <f t="shared" si="14"/>
        <v>0</v>
      </c>
      <c r="H52" s="393">
        <f t="shared" si="14"/>
        <v>0</v>
      </c>
      <c r="I52" s="510">
        <f t="shared" si="3"/>
        <v>0</v>
      </c>
    </row>
    <row r="53" spans="1:9">
      <c r="A53" s="463" t="str">
        <f>报表格式!Q56</f>
        <v xml:space="preserve">     偿还债务支付的现金</v>
      </c>
      <c r="B53" s="393">
        <f>合并CF汇总!B53</f>
        <v>0</v>
      </c>
      <c r="C53" s="509"/>
      <c r="D53" s="509"/>
      <c r="E53" s="509"/>
      <c r="F53" s="509"/>
      <c r="G53" s="509">
        <f t="shared" si="2"/>
        <v>0</v>
      </c>
      <c r="H53" s="509"/>
      <c r="I53" s="510">
        <f t="shared" si="3"/>
        <v>0</v>
      </c>
    </row>
    <row r="54" spans="1:9">
      <c r="A54" s="463" t="str">
        <f>报表格式!Q57</f>
        <v xml:space="preserve">     分配股利、利润或偿付利息支付的现金</v>
      </c>
      <c r="B54" s="393">
        <f>合并CF汇总!B54</f>
        <v>0</v>
      </c>
      <c r="C54" s="509"/>
      <c r="D54" s="509"/>
      <c r="E54" s="509"/>
      <c r="F54" s="509"/>
      <c r="G54" s="509">
        <f t="shared" si="2"/>
        <v>0</v>
      </c>
      <c r="H54" s="509"/>
      <c r="I54" s="510">
        <f t="shared" si="3"/>
        <v>0</v>
      </c>
    </row>
    <row r="55" spans="1:9">
      <c r="A55" s="396" t="str">
        <f>报表格式!Q58</f>
        <v xml:space="preserve">      其中：子公司支付给少数股东的股利、利润</v>
      </c>
      <c r="B55" s="393">
        <f>合并CF汇总!B55</f>
        <v>0</v>
      </c>
      <c r="C55" s="509"/>
      <c r="D55" s="509"/>
      <c r="E55" s="509"/>
      <c r="F55" s="509"/>
      <c r="G55" s="509">
        <f t="shared" si="2"/>
        <v>0</v>
      </c>
      <c r="H55" s="509"/>
      <c r="I55" s="510">
        <f t="shared" si="3"/>
        <v>0</v>
      </c>
    </row>
    <row r="56" spans="1:9">
      <c r="A56" s="463" t="str">
        <f>报表格式!Q59</f>
        <v xml:space="preserve">     支付其他与筹资活动有关的现金</v>
      </c>
      <c r="B56" s="393">
        <f>合并CF汇总!B56</f>
        <v>0</v>
      </c>
      <c r="C56" s="509"/>
      <c r="D56" s="509"/>
      <c r="E56" s="509"/>
      <c r="F56" s="509"/>
      <c r="G56" s="509">
        <f t="shared" si="2"/>
        <v>0</v>
      </c>
      <c r="H56" s="509"/>
      <c r="I56" s="510">
        <f t="shared" si="3"/>
        <v>0</v>
      </c>
    </row>
    <row r="57" spans="1:9">
      <c r="A57" s="396">
        <f>报表格式!Q60</f>
        <v>0</v>
      </c>
      <c r="B57" s="393">
        <f>合并CF汇总!B57</f>
        <v>0</v>
      </c>
      <c r="C57" s="509"/>
      <c r="D57" s="509"/>
      <c r="E57" s="509"/>
      <c r="F57" s="509"/>
      <c r="G57" s="509">
        <f t="shared" si="2"/>
        <v>0</v>
      </c>
      <c r="H57" s="509"/>
      <c r="I57" s="510">
        <f t="shared" si="3"/>
        <v>0</v>
      </c>
    </row>
    <row r="58" spans="1:9">
      <c r="A58" s="397" t="str">
        <f>报表格式!Q61</f>
        <v xml:space="preserve">     筹资活动现金流出小计</v>
      </c>
      <c r="B58" s="393">
        <f>SUM(B53:B54,B56)</f>
        <v>0</v>
      </c>
      <c r="C58" s="393">
        <f>SUM(C53:C54,C56)</f>
        <v>0</v>
      </c>
      <c r="D58" s="393">
        <f>SUM(D53:D54,D57)</f>
        <v>0</v>
      </c>
      <c r="E58" s="393">
        <f>SUM(E53:E54,E57)</f>
        <v>0</v>
      </c>
      <c r="F58" s="393">
        <f>SUM(F53:F54,F56)</f>
        <v>0</v>
      </c>
      <c r="G58" s="393">
        <f>SUM(G53:G54,G57)</f>
        <v>0</v>
      </c>
      <c r="H58" s="393">
        <f>SUM(H53:H54,H57)</f>
        <v>0</v>
      </c>
      <c r="I58" s="510">
        <f t="shared" si="3"/>
        <v>0</v>
      </c>
    </row>
    <row r="59" spans="1:9" s="647" customFormat="1">
      <c r="A59" s="397" t="str">
        <f>报表格式!Q62</f>
        <v xml:space="preserve">     筹资活动产生的现金流量净额</v>
      </c>
      <c r="B59" s="399">
        <f>B52-B58</f>
        <v>0</v>
      </c>
      <c r="C59" s="399">
        <f t="shared" ref="C59:H59" si="15">C52-C58</f>
        <v>0</v>
      </c>
      <c r="D59" s="399">
        <f t="shared" si="15"/>
        <v>0</v>
      </c>
      <c r="E59" s="399">
        <f t="shared" si="15"/>
        <v>0</v>
      </c>
      <c r="F59" s="399">
        <f t="shared" si="15"/>
        <v>0</v>
      </c>
      <c r="G59" s="399">
        <f t="shared" si="15"/>
        <v>0</v>
      </c>
      <c r="H59" s="399">
        <f t="shared" si="15"/>
        <v>0</v>
      </c>
      <c r="I59" s="649">
        <f t="shared" si="3"/>
        <v>0</v>
      </c>
    </row>
    <row r="60" spans="1:9">
      <c r="A60" s="463"/>
      <c r="B60" s="393"/>
      <c r="C60" s="509"/>
      <c r="D60" s="509"/>
      <c r="E60" s="509"/>
      <c r="F60" s="509"/>
      <c r="G60" s="509"/>
      <c r="H60" s="509"/>
      <c r="I60" s="510"/>
    </row>
    <row r="61" spans="1:9">
      <c r="A61" s="644" t="str">
        <f>报表格式!Q63</f>
        <v>四、汇率变动对现金及现金等价物的影响</v>
      </c>
      <c r="B61" s="393">
        <f>合并CF汇总!B61</f>
        <v>0</v>
      </c>
      <c r="C61" s="509"/>
      <c r="D61" s="509"/>
      <c r="E61" s="509"/>
      <c r="F61" s="509"/>
      <c r="G61" s="509">
        <f t="shared" si="2"/>
        <v>0</v>
      </c>
      <c r="H61" s="509"/>
      <c r="I61" s="510">
        <f t="shared" si="3"/>
        <v>0</v>
      </c>
    </row>
    <row r="62" spans="1:9" s="647" customFormat="1">
      <c r="A62" s="644" t="str">
        <f>报表格式!Q64</f>
        <v>五、现金及现金等价物净增加额</v>
      </c>
      <c r="B62" s="399">
        <f>SUM(B31,B45,B59,B61)</f>
        <v>0</v>
      </c>
      <c r="C62" s="399">
        <f t="shared" ref="C62:H62" si="16">SUM(C31,C45,C59,C61)</f>
        <v>0</v>
      </c>
      <c r="D62" s="399">
        <f t="shared" si="16"/>
        <v>0</v>
      </c>
      <c r="E62" s="399">
        <f t="shared" si="16"/>
        <v>0</v>
      </c>
      <c r="F62" s="399">
        <f t="shared" si="16"/>
        <v>0</v>
      </c>
      <c r="G62" s="399">
        <f t="shared" si="16"/>
        <v>0</v>
      </c>
      <c r="H62" s="399">
        <f t="shared" si="16"/>
        <v>0</v>
      </c>
      <c r="I62" s="649">
        <f t="shared" si="3"/>
        <v>0</v>
      </c>
    </row>
    <row r="63" spans="1:9">
      <c r="A63" s="463" t="str">
        <f>报表格式!Q65</f>
        <v xml:space="preserve">    加：期初现金及现金等价物余额</v>
      </c>
      <c r="B63" s="393">
        <f>合并CF汇总!B63</f>
        <v>0</v>
      </c>
      <c r="C63" s="509"/>
      <c r="D63" s="509"/>
      <c r="E63" s="509"/>
      <c r="F63" s="509"/>
      <c r="G63" s="509">
        <f t="shared" si="2"/>
        <v>0</v>
      </c>
      <c r="H63" s="509"/>
      <c r="I63" s="510">
        <f t="shared" si="3"/>
        <v>0</v>
      </c>
    </row>
    <row r="64" spans="1:9">
      <c r="A64" s="511" t="str">
        <f>报表格式!Q66</f>
        <v>六、期末现金及现金等价物余额</v>
      </c>
      <c r="B64" s="505">
        <f>SUM(B62:B63)</f>
        <v>0</v>
      </c>
      <c r="C64" s="505">
        <f t="shared" ref="C64:H64" si="17">SUM(C62:C63)</f>
        <v>0</v>
      </c>
      <c r="D64" s="505">
        <f t="shared" si="17"/>
        <v>0</v>
      </c>
      <c r="E64" s="505">
        <f t="shared" si="17"/>
        <v>0</v>
      </c>
      <c r="F64" s="505">
        <f t="shared" si="17"/>
        <v>0</v>
      </c>
      <c r="G64" s="505">
        <f t="shared" si="17"/>
        <v>0</v>
      </c>
      <c r="H64" s="505">
        <f t="shared" si="17"/>
        <v>0</v>
      </c>
      <c r="I64" s="650">
        <f t="shared" si="3"/>
        <v>0</v>
      </c>
    </row>
    <row r="65" spans="1:9">
      <c r="A65" s="514"/>
      <c r="B65" s="515"/>
      <c r="C65" s="516"/>
      <c r="D65" s="516"/>
      <c r="E65" s="516"/>
      <c r="F65" s="516"/>
      <c r="G65" s="516"/>
      <c r="H65" s="516"/>
      <c r="I65" s="516"/>
    </row>
    <row r="66" spans="1:9">
      <c r="A66" s="517"/>
      <c r="B66" s="503"/>
      <c r="C66" s="518"/>
      <c r="D66" s="518"/>
      <c r="E66" s="518"/>
      <c r="F66" s="518"/>
      <c r="G66" s="518"/>
      <c r="H66" s="518"/>
      <c r="I66" s="518"/>
    </row>
    <row r="67" spans="1:9">
      <c r="A67" s="519" t="str">
        <f>报表格式!U4</f>
        <v>补充资料</v>
      </c>
      <c r="B67" s="520"/>
      <c r="C67" s="521"/>
      <c r="D67" s="521"/>
      <c r="E67" s="521"/>
      <c r="F67" s="521"/>
      <c r="G67" s="521"/>
      <c r="H67" s="521"/>
      <c r="I67" s="521"/>
    </row>
    <row r="68" spans="1:9">
      <c r="A68" s="513" t="str">
        <f>报表格式!U5</f>
        <v>1、将净利润调节为经营活动现金流量：</v>
      </c>
      <c r="B68" s="414"/>
      <c r="C68" s="507"/>
      <c r="D68" s="507"/>
      <c r="E68" s="507"/>
      <c r="F68" s="507"/>
      <c r="G68" s="507"/>
      <c r="H68" s="507"/>
      <c r="I68" s="508"/>
    </row>
    <row r="69" spans="1:9">
      <c r="A69" s="463" t="str">
        <f>报表格式!U6</f>
        <v xml:space="preserve">     净利润</v>
      </c>
      <c r="B69" s="393">
        <f>合并CF汇总!B69</f>
        <v>0</v>
      </c>
      <c r="C69" s="509"/>
      <c r="D69" s="509"/>
      <c r="E69" s="509"/>
      <c r="F69" s="509"/>
      <c r="G69" s="509">
        <f t="shared" ref="G69:G84" si="18">SUM(B69:F69)</f>
        <v>0</v>
      </c>
      <c r="H69" s="509"/>
      <c r="I69" s="510">
        <f t="shared" ref="I69:I98" si="19">SUM(G69:H69)</f>
        <v>0</v>
      </c>
    </row>
    <row r="70" spans="1:9">
      <c r="A70" s="463" t="str">
        <f>报表格式!U9</f>
        <v>加：资产减值损失</v>
      </c>
      <c r="B70" s="393">
        <f>合并CF汇总!B70</f>
        <v>0</v>
      </c>
      <c r="C70" s="509"/>
      <c r="D70" s="509"/>
      <c r="E70" s="509"/>
      <c r="F70" s="509"/>
      <c r="G70" s="509">
        <f t="shared" si="18"/>
        <v>0</v>
      </c>
      <c r="H70" s="509"/>
      <c r="I70" s="510">
        <f t="shared" si="19"/>
        <v>0</v>
      </c>
    </row>
    <row r="71" spans="1:9">
      <c r="A71" s="463" t="str">
        <f>报表格式!U10</f>
        <v xml:space="preserve">     信用减值损失</v>
      </c>
      <c r="B71" s="393">
        <f>合并CF汇总!B71</f>
        <v>0</v>
      </c>
      <c r="C71" s="509"/>
      <c r="D71" s="509"/>
      <c r="E71" s="509"/>
      <c r="F71" s="509"/>
      <c r="G71" s="509">
        <f t="shared" si="18"/>
        <v>0</v>
      </c>
      <c r="H71" s="509"/>
      <c r="I71" s="510">
        <f t="shared" si="19"/>
        <v>0</v>
      </c>
    </row>
    <row r="72" spans="1:9">
      <c r="A72" s="463" t="str">
        <f>报表格式!U11</f>
        <v xml:space="preserve">     固定资产折旧、油气资产折耗、生产性生物资产折旧</v>
      </c>
      <c r="B72" s="393">
        <f>合并CF汇总!B72</f>
        <v>0</v>
      </c>
      <c r="C72" s="509"/>
      <c r="D72" s="509"/>
      <c r="E72" s="509"/>
      <c r="F72" s="509"/>
      <c r="G72" s="509">
        <f t="shared" si="18"/>
        <v>0</v>
      </c>
      <c r="H72" s="509"/>
      <c r="I72" s="510">
        <f t="shared" si="19"/>
        <v>0</v>
      </c>
    </row>
    <row r="73" spans="1:9">
      <c r="A73" s="463" t="str">
        <f>报表格式!U12</f>
        <v xml:space="preserve">     无形资产摊销</v>
      </c>
      <c r="B73" s="393">
        <f>合并CF汇总!B73</f>
        <v>0</v>
      </c>
      <c r="C73" s="509"/>
      <c r="D73" s="509"/>
      <c r="E73" s="509"/>
      <c r="F73" s="509"/>
      <c r="G73" s="509">
        <f t="shared" si="18"/>
        <v>0</v>
      </c>
      <c r="H73" s="509"/>
      <c r="I73" s="510">
        <f t="shared" si="19"/>
        <v>0</v>
      </c>
    </row>
    <row r="74" spans="1:9">
      <c r="A74" s="463" t="str">
        <f>报表格式!U13</f>
        <v xml:space="preserve">     长期待摊费用摊销</v>
      </c>
      <c r="B74" s="393">
        <f>合并CF汇总!B74</f>
        <v>0</v>
      </c>
      <c r="C74" s="509"/>
      <c r="D74" s="509"/>
      <c r="E74" s="509"/>
      <c r="F74" s="509"/>
      <c r="G74" s="509">
        <f t="shared" si="18"/>
        <v>0</v>
      </c>
      <c r="H74" s="509"/>
      <c r="I74" s="510">
        <f t="shared" si="19"/>
        <v>0</v>
      </c>
    </row>
    <row r="75" spans="1:9">
      <c r="A75" s="463" t="str">
        <f>报表格式!U14</f>
        <v xml:space="preserve">     处置固定资产、无形资产和其他长期资产的损失（收益以“－”号填列）</v>
      </c>
      <c r="B75" s="393">
        <f>合并CF汇总!B75</f>
        <v>0</v>
      </c>
      <c r="C75" s="509"/>
      <c r="D75" s="509"/>
      <c r="E75" s="509"/>
      <c r="F75" s="509"/>
      <c r="G75" s="509">
        <f t="shared" si="18"/>
        <v>0</v>
      </c>
      <c r="H75" s="509"/>
      <c r="I75" s="510">
        <f t="shared" si="19"/>
        <v>0</v>
      </c>
    </row>
    <row r="76" spans="1:9">
      <c r="A76" s="463" t="str">
        <f>报表格式!U15</f>
        <v xml:space="preserve">     固定资产报废损失（收益以“－”号填列）</v>
      </c>
      <c r="B76" s="393">
        <f>合并CF汇总!B76</f>
        <v>0</v>
      </c>
      <c r="C76" s="509"/>
      <c r="D76" s="509"/>
      <c r="E76" s="509"/>
      <c r="F76" s="509"/>
      <c r="G76" s="509">
        <f t="shared" si="18"/>
        <v>0</v>
      </c>
      <c r="H76" s="509"/>
      <c r="I76" s="510">
        <f t="shared" si="19"/>
        <v>0</v>
      </c>
    </row>
    <row r="77" spans="1:9">
      <c r="A77" s="463" t="str">
        <f>报表格式!U16</f>
        <v xml:space="preserve">     公允价值变动损失（收益以“－”号填列）</v>
      </c>
      <c r="B77" s="393">
        <f>合并CF汇总!B77</f>
        <v>0</v>
      </c>
      <c r="C77" s="509"/>
      <c r="D77" s="509"/>
      <c r="E77" s="509"/>
      <c r="F77" s="509"/>
      <c r="G77" s="509">
        <f t="shared" si="18"/>
        <v>0</v>
      </c>
      <c r="H77" s="509"/>
      <c r="I77" s="510">
        <f t="shared" si="19"/>
        <v>0</v>
      </c>
    </row>
    <row r="78" spans="1:9">
      <c r="A78" s="463" t="str">
        <f>报表格式!U17</f>
        <v xml:space="preserve">     财务费用（收益以“－”号填列）</v>
      </c>
      <c r="B78" s="393">
        <f>合并CF汇总!B78</f>
        <v>0</v>
      </c>
      <c r="C78" s="509"/>
      <c r="D78" s="509"/>
      <c r="E78" s="509"/>
      <c r="F78" s="509"/>
      <c r="G78" s="509">
        <f t="shared" si="18"/>
        <v>0</v>
      </c>
      <c r="H78" s="509"/>
      <c r="I78" s="510">
        <f t="shared" si="19"/>
        <v>0</v>
      </c>
    </row>
    <row r="79" spans="1:9">
      <c r="A79" s="463" t="str">
        <f>报表格式!U18</f>
        <v xml:space="preserve">     投资损失（收益以“－”号填列）</v>
      </c>
      <c r="B79" s="393">
        <f>合并CF汇总!B79</f>
        <v>0</v>
      </c>
      <c r="C79" s="509"/>
      <c r="D79" s="509"/>
      <c r="E79" s="509"/>
      <c r="F79" s="509"/>
      <c r="G79" s="509">
        <f t="shared" si="18"/>
        <v>0</v>
      </c>
      <c r="H79" s="509"/>
      <c r="I79" s="510">
        <f t="shared" si="19"/>
        <v>0</v>
      </c>
    </row>
    <row r="80" spans="1:9">
      <c r="A80" s="463" t="str">
        <f>报表格式!U19</f>
        <v xml:space="preserve">     递延所得税资产减少（增加以“－”号填列）</v>
      </c>
      <c r="B80" s="393">
        <f>合并CF汇总!B80</f>
        <v>0</v>
      </c>
      <c r="C80" s="509"/>
      <c r="D80" s="509"/>
      <c r="E80" s="509"/>
      <c r="F80" s="509"/>
      <c r="G80" s="509">
        <f t="shared" si="18"/>
        <v>0</v>
      </c>
      <c r="H80" s="509"/>
      <c r="I80" s="510">
        <f t="shared" si="19"/>
        <v>0</v>
      </c>
    </row>
    <row r="81" spans="1:9">
      <c r="A81" s="463" t="str">
        <f>报表格式!U20</f>
        <v xml:space="preserve">     递延所得税负债增加（减少以“－”号填列）</v>
      </c>
      <c r="B81" s="393">
        <f>合并CF汇总!B81</f>
        <v>0</v>
      </c>
      <c r="C81" s="509"/>
      <c r="D81" s="509"/>
      <c r="E81" s="509"/>
      <c r="F81" s="509"/>
      <c r="G81" s="509">
        <f t="shared" si="18"/>
        <v>0</v>
      </c>
      <c r="H81" s="509"/>
      <c r="I81" s="510">
        <f t="shared" si="19"/>
        <v>0</v>
      </c>
    </row>
    <row r="82" spans="1:9">
      <c r="A82" s="463" t="str">
        <f>报表格式!U21</f>
        <v xml:space="preserve">     存货的减少（增加以“－”号填列）</v>
      </c>
      <c r="B82" s="393">
        <f>合并CF汇总!B82</f>
        <v>0</v>
      </c>
      <c r="C82" s="509"/>
      <c r="D82" s="509"/>
      <c r="E82" s="509"/>
      <c r="F82" s="509"/>
      <c r="G82" s="509">
        <f t="shared" si="18"/>
        <v>0</v>
      </c>
      <c r="H82" s="509"/>
      <c r="I82" s="510">
        <f t="shared" si="19"/>
        <v>0</v>
      </c>
    </row>
    <row r="83" spans="1:9">
      <c r="A83" s="463" t="str">
        <f>报表格式!U22</f>
        <v xml:space="preserve">     经营性应收项目的减少（增加以“－”号填列）</v>
      </c>
      <c r="B83" s="393">
        <f>合并CF汇总!B83</f>
        <v>0</v>
      </c>
      <c r="C83" s="509"/>
      <c r="D83" s="509"/>
      <c r="E83" s="509"/>
      <c r="F83" s="509"/>
      <c r="G83" s="509">
        <f t="shared" si="18"/>
        <v>0</v>
      </c>
      <c r="H83" s="509"/>
      <c r="I83" s="510">
        <f t="shared" si="19"/>
        <v>0</v>
      </c>
    </row>
    <row r="84" spans="1:9">
      <c r="A84" s="463" t="str">
        <f>报表格式!U23</f>
        <v xml:space="preserve">     经营性应付项目的增加（减少以“－”号填列）</v>
      </c>
      <c r="B84" s="393">
        <f>合并CF汇总!B84</f>
        <v>0</v>
      </c>
      <c r="C84" s="509"/>
      <c r="D84" s="509"/>
      <c r="E84" s="509"/>
      <c r="F84" s="509"/>
      <c r="G84" s="509">
        <f t="shared" si="18"/>
        <v>0</v>
      </c>
      <c r="H84" s="509"/>
      <c r="I84" s="510">
        <f t="shared" si="19"/>
        <v>0</v>
      </c>
    </row>
    <row r="85" spans="1:9">
      <c r="A85" s="421" t="str">
        <f>报表格式!U26</f>
        <v xml:space="preserve">     经营活动产生的现金流量净额</v>
      </c>
      <c r="B85" s="399">
        <f>SUM(B69:B84)</f>
        <v>0</v>
      </c>
      <c r="C85" s="399">
        <f t="shared" ref="C85:H85" si="20">SUM(C69:C84)</f>
        <v>0</v>
      </c>
      <c r="D85" s="399">
        <f t="shared" si="20"/>
        <v>0</v>
      </c>
      <c r="E85" s="399">
        <f t="shared" si="20"/>
        <v>0</v>
      </c>
      <c r="F85" s="399">
        <f t="shared" si="20"/>
        <v>0</v>
      </c>
      <c r="G85" s="399">
        <f t="shared" si="20"/>
        <v>0</v>
      </c>
      <c r="H85" s="399">
        <f t="shared" si="20"/>
        <v>0</v>
      </c>
      <c r="I85" s="649">
        <f t="shared" si="19"/>
        <v>0</v>
      </c>
    </row>
    <row r="86" spans="1:9">
      <c r="A86" s="395"/>
      <c r="B86" s="399"/>
      <c r="C86" s="509"/>
      <c r="D86" s="509"/>
      <c r="E86" s="509"/>
      <c r="F86" s="509"/>
      <c r="G86" s="509"/>
      <c r="H86" s="509"/>
      <c r="I86" s="510">
        <f t="shared" si="19"/>
        <v>0</v>
      </c>
    </row>
    <row r="87" spans="1:9">
      <c r="A87" s="391" t="str">
        <f>报表格式!U28</f>
        <v>2、不涉及现金收支的投资和筹资活动：</v>
      </c>
      <c r="B87" s="399"/>
      <c r="C87" s="509"/>
      <c r="D87" s="509"/>
      <c r="E87" s="509"/>
      <c r="F87" s="509"/>
      <c r="G87" s="509"/>
      <c r="H87" s="509"/>
      <c r="I87" s="510">
        <f t="shared" si="19"/>
        <v>0</v>
      </c>
    </row>
    <row r="88" spans="1:9">
      <c r="A88" s="463" t="str">
        <f>报表格式!U29</f>
        <v xml:space="preserve">     债务转为资本</v>
      </c>
      <c r="B88" s="393">
        <f>合并CF汇总!B88</f>
        <v>0</v>
      </c>
      <c r="C88" s="509"/>
      <c r="D88" s="509"/>
      <c r="E88" s="509"/>
      <c r="F88" s="509"/>
      <c r="G88" s="509">
        <f>SUM(B88:F88)</f>
        <v>0</v>
      </c>
      <c r="H88" s="509"/>
      <c r="I88" s="510">
        <f t="shared" si="19"/>
        <v>0</v>
      </c>
    </row>
    <row r="89" spans="1:9">
      <c r="A89" s="463" t="str">
        <f>报表格式!U30</f>
        <v xml:space="preserve">     一年内到期的可转换公司债券</v>
      </c>
      <c r="B89" s="393">
        <f>合并CF汇总!B89</f>
        <v>0</v>
      </c>
      <c r="C89" s="509"/>
      <c r="D89" s="509"/>
      <c r="E89" s="509"/>
      <c r="F89" s="509"/>
      <c r="G89" s="509">
        <f>SUM(B89:F89)</f>
        <v>0</v>
      </c>
      <c r="H89" s="509"/>
      <c r="I89" s="510">
        <f t="shared" si="19"/>
        <v>0</v>
      </c>
    </row>
    <row r="90" spans="1:9">
      <c r="A90" s="463" t="str">
        <f>报表格式!U31</f>
        <v xml:space="preserve">     融资租入固定资产</v>
      </c>
      <c r="B90" s="393">
        <f>合并CF汇总!B90</f>
        <v>0</v>
      </c>
      <c r="C90" s="509"/>
      <c r="D90" s="509"/>
      <c r="E90" s="509"/>
      <c r="F90" s="509"/>
      <c r="G90" s="509">
        <f>SUM(B90:F90)</f>
        <v>0</v>
      </c>
      <c r="H90" s="509"/>
      <c r="I90" s="510">
        <f t="shared" si="19"/>
        <v>0</v>
      </c>
    </row>
    <row r="91" spans="1:9">
      <c r="A91" s="463" t="str">
        <f>报表格式!U32</f>
        <v xml:space="preserve">     其他</v>
      </c>
      <c r="B91" s="393">
        <f>合并CF汇总!B91</f>
        <v>0</v>
      </c>
      <c r="C91" s="509"/>
      <c r="D91" s="509"/>
      <c r="E91" s="509"/>
      <c r="F91" s="509"/>
      <c r="G91" s="509">
        <f>SUM(B91:F91)</f>
        <v>0</v>
      </c>
      <c r="H91" s="509"/>
      <c r="I91" s="510">
        <f t="shared" si="19"/>
        <v>0</v>
      </c>
    </row>
    <row r="92" spans="1:9">
      <c r="A92" s="463">
        <f>报表格式!U34</f>
        <v>0</v>
      </c>
      <c r="B92" s="393">
        <f>合并CF汇总!B92</f>
        <v>0</v>
      </c>
      <c r="C92" s="509"/>
      <c r="D92" s="509"/>
      <c r="E92" s="509"/>
      <c r="F92" s="509"/>
      <c r="G92" s="509">
        <f>SUM(B92:F92)</f>
        <v>0</v>
      </c>
      <c r="H92" s="509"/>
      <c r="I92" s="510">
        <f t="shared" si="19"/>
        <v>0</v>
      </c>
    </row>
    <row r="93" spans="1:9">
      <c r="A93" s="502" t="str">
        <f>报表格式!U35</f>
        <v>3、现金及现金等价物净变动情况：</v>
      </c>
      <c r="B93" s="399"/>
      <c r="C93" s="509"/>
      <c r="D93" s="509"/>
      <c r="E93" s="509"/>
      <c r="F93" s="509"/>
      <c r="G93" s="509"/>
      <c r="H93" s="509"/>
      <c r="I93" s="510">
        <f t="shared" si="19"/>
        <v>0</v>
      </c>
    </row>
    <row r="94" spans="1:9">
      <c r="A94" s="396" t="str">
        <f>报表格式!U36</f>
        <v xml:space="preserve">     现金的期末余额</v>
      </c>
      <c r="B94" s="393">
        <f>合并CF汇总!B94</f>
        <v>0</v>
      </c>
      <c r="C94" s="509"/>
      <c r="D94" s="509"/>
      <c r="E94" s="509"/>
      <c r="F94" s="509"/>
      <c r="G94" s="509">
        <f>SUM(B94:F94)</f>
        <v>0</v>
      </c>
      <c r="H94" s="509"/>
      <c r="I94" s="510">
        <f t="shared" si="19"/>
        <v>0</v>
      </c>
    </row>
    <row r="95" spans="1:9">
      <c r="A95" s="463" t="str">
        <f>报表格式!U37</f>
        <v xml:space="preserve">     减：现金的期初余额</v>
      </c>
      <c r="B95" s="393">
        <f>合并CF汇总!B95</f>
        <v>0</v>
      </c>
      <c r="C95" s="509"/>
      <c r="D95" s="509"/>
      <c r="E95" s="509"/>
      <c r="F95" s="509"/>
      <c r="G95" s="509">
        <f>SUM(B95:F95)</f>
        <v>0</v>
      </c>
      <c r="H95" s="509"/>
      <c r="I95" s="510">
        <f t="shared" si="19"/>
        <v>0</v>
      </c>
    </row>
    <row r="96" spans="1:9">
      <c r="A96" s="463" t="str">
        <f>报表格式!U38</f>
        <v xml:space="preserve">     加：现金等价物的期末余额</v>
      </c>
      <c r="B96" s="393">
        <f>合并CF汇总!B96</f>
        <v>0</v>
      </c>
      <c r="C96" s="509"/>
      <c r="D96" s="509"/>
      <c r="E96" s="509"/>
      <c r="F96" s="509"/>
      <c r="G96" s="509">
        <f>SUM(B96:F96)</f>
        <v>0</v>
      </c>
      <c r="H96" s="509"/>
      <c r="I96" s="510">
        <f t="shared" si="19"/>
        <v>0</v>
      </c>
    </row>
    <row r="97" spans="1:9">
      <c r="A97" s="463" t="str">
        <f>报表格式!U39</f>
        <v xml:space="preserve">     减：现金等价物的期初余额</v>
      </c>
      <c r="B97" s="393">
        <f>合并CF汇总!B97</f>
        <v>0</v>
      </c>
      <c r="C97" s="509"/>
      <c r="D97" s="509"/>
      <c r="E97" s="509"/>
      <c r="F97" s="509"/>
      <c r="G97" s="509">
        <f>SUM(B97:F97)</f>
        <v>0</v>
      </c>
      <c r="H97" s="509"/>
      <c r="I97" s="510">
        <f t="shared" si="19"/>
        <v>0</v>
      </c>
    </row>
    <row r="98" spans="1:9">
      <c r="A98" s="504" t="str">
        <f>报表格式!U50</f>
        <v xml:space="preserve">     现金及现金等价物净增加额</v>
      </c>
      <c r="B98" s="505">
        <f t="shared" ref="B98:H98" si="21">B94-B95+B96-B97</f>
        <v>0</v>
      </c>
      <c r="C98" s="505">
        <f t="shared" si="21"/>
        <v>0</v>
      </c>
      <c r="D98" s="505">
        <f t="shared" si="21"/>
        <v>0</v>
      </c>
      <c r="E98" s="505">
        <f t="shared" si="21"/>
        <v>0</v>
      </c>
      <c r="F98" s="505">
        <f t="shared" si="21"/>
        <v>0</v>
      </c>
      <c r="G98" s="505">
        <f t="shared" si="21"/>
        <v>0</v>
      </c>
      <c r="H98" s="505">
        <f t="shared" si="21"/>
        <v>0</v>
      </c>
      <c r="I98" s="512">
        <f t="shared" si="19"/>
        <v>0</v>
      </c>
    </row>
  </sheetData>
  <sheetProtection formatCells="0" formatColumns="0" formatRows="0" insertRows="0" autoFilter="0" pivotTables="0"/>
  <mergeCells count="9">
    <mergeCell ref="E4:E5"/>
    <mergeCell ref="H4:H5"/>
    <mergeCell ref="I4:I5"/>
    <mergeCell ref="A4:A5"/>
    <mergeCell ref="B4:B5"/>
    <mergeCell ref="C4:C5"/>
    <mergeCell ref="F4:F5"/>
    <mergeCell ref="G4:G5"/>
    <mergeCell ref="D4:D5"/>
  </mergeCells>
  <phoneticPr fontId="3" type="noConversion"/>
  <conditionalFormatting sqref="A4:A5">
    <cfRule type="cellIs" dxfId="32" priority="1" stopIfTrue="1" operator="equal">
      <formula>"现金流量表未调平!"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5"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sheetPr>
  <dimension ref="A1:K147"/>
  <sheetViews>
    <sheetView showZeros="0" zoomScaleNormal="100" workbookViewId="0">
      <pane xSplit="2" ySplit="5" topLeftCell="C6" activePane="bottomRight" state="frozen"/>
      <selection activeCell="H6" sqref="H6"/>
      <selection pane="topRight" activeCell="H6" sqref="H6"/>
      <selection pane="bottomLeft" activeCell="H6" sqref="H6"/>
      <selection pane="bottomRight" activeCell="M12" sqref="M12"/>
    </sheetView>
  </sheetViews>
  <sheetFormatPr defaultRowHeight="20.25" customHeight="1"/>
  <cols>
    <col min="1" max="1" width="24" style="1087" customWidth="1"/>
    <col min="2" max="2" width="4.75" style="37" customWidth="1"/>
    <col min="3" max="3" width="13.375" style="35" customWidth="1"/>
    <col min="4" max="4" width="0.375" style="35" customWidth="1"/>
    <col min="5" max="5" width="13" style="35" customWidth="1"/>
    <col min="6" max="6" width="0.5" style="35" customWidth="1"/>
    <col min="7" max="7" width="4.75" style="37" customWidth="1"/>
    <col min="8" max="8" width="13.875" style="35" customWidth="1"/>
    <col min="9" max="9" width="0.75" style="35" customWidth="1"/>
    <col min="10" max="10" width="13" style="35" customWidth="1"/>
    <col min="11" max="11" width="0.625" style="35" customWidth="1"/>
  </cols>
  <sheetData>
    <row r="1" spans="1:11" ht="18.75">
      <c r="A1" s="1186" t="s">
        <v>302</v>
      </c>
      <c r="B1" s="1186"/>
      <c r="C1" s="1186"/>
      <c r="D1" s="1186"/>
      <c r="E1" s="1186"/>
      <c r="F1" s="1186"/>
      <c r="G1" s="1186"/>
      <c r="H1" s="1186"/>
      <c r="I1" s="1186"/>
      <c r="J1" s="1186"/>
      <c r="K1" s="1186"/>
    </row>
    <row r="2" spans="1:11" ht="13.5" customHeight="1">
      <c r="A2" s="1077"/>
      <c r="B2" s="106"/>
      <c r="C2" s="655">
        <f>ROUND(C59-C122,2)</f>
        <v>0</v>
      </c>
      <c r="D2" s="656"/>
      <c r="E2" s="655">
        <f>ROUND(E59-E122,2)</f>
        <v>0</v>
      </c>
      <c r="F2" s="656"/>
      <c r="G2" s="657"/>
      <c r="H2" s="655">
        <f>ROUND(H59-H122,2)</f>
        <v>0</v>
      </c>
      <c r="I2" s="656"/>
      <c r="J2" s="655">
        <f>ROUND(J59-J122,2)</f>
        <v>0</v>
      </c>
      <c r="K2" s="332"/>
    </row>
    <row r="3" spans="1:11" ht="15" thickBot="1">
      <c r="A3" s="1188" t="str">
        <f>IF(报表格式!G58="","    对不起，请到参数表中确定报表类型！",CONCATENATE(" 编制单位：",说明!E23))</f>
        <v xml:space="preserve"> 编制单位：</v>
      </c>
      <c r="B3" s="1188"/>
      <c r="C3" s="1188"/>
      <c r="D3" s="468"/>
      <c r="E3" s="468"/>
      <c r="F3" s="468"/>
      <c r="G3" s="468"/>
      <c r="H3" s="468"/>
      <c r="I3" s="468"/>
      <c r="J3" s="141" t="str">
        <f>CONCATENATE("单位：",说明!$E$33)</f>
        <v>单位：人民币元</v>
      </c>
      <c r="K3" s="468"/>
    </row>
    <row r="4" spans="1:11" ht="14.25">
      <c r="A4" s="1189" t="s">
        <v>303</v>
      </c>
      <c r="B4" s="1191" t="s">
        <v>220</v>
      </c>
      <c r="C4" s="1193" t="s">
        <v>577</v>
      </c>
      <c r="D4" s="1194"/>
      <c r="E4" s="1194"/>
      <c r="F4" s="1195"/>
      <c r="G4" s="1191" t="s">
        <v>220</v>
      </c>
      <c r="H4" s="1193" t="s">
        <v>578</v>
      </c>
      <c r="I4" s="1194"/>
      <c r="J4" s="1194"/>
      <c r="K4" s="1195"/>
    </row>
    <row r="5" spans="1:11" ht="14.25">
      <c r="A5" s="1190"/>
      <c r="B5" s="1192"/>
      <c r="C5" s="465">
        <f>说明!E32</f>
        <v>43830</v>
      </c>
      <c r="D5" s="464"/>
      <c r="E5" s="465">
        <f>说明!E31</f>
        <v>43465</v>
      </c>
      <c r="F5" s="464"/>
      <c r="G5" s="1192"/>
      <c r="H5" s="465">
        <f>说明!E32</f>
        <v>43830</v>
      </c>
      <c r="I5" s="464"/>
      <c r="J5" s="465">
        <f>说明!E31</f>
        <v>43465</v>
      </c>
      <c r="K5" s="464"/>
    </row>
    <row r="6" spans="1:11" ht="14.25">
      <c r="A6" s="1078" t="s">
        <v>264</v>
      </c>
      <c r="B6" s="107"/>
      <c r="C6" s="108"/>
      <c r="D6" s="109"/>
      <c r="E6" s="108"/>
      <c r="F6" s="109"/>
      <c r="G6" s="107"/>
      <c r="H6" s="108"/>
      <c r="I6" s="109"/>
      <c r="J6" s="466"/>
      <c r="K6" s="467"/>
    </row>
    <row r="7" spans="1:11" ht="14.25">
      <c r="A7" s="1078" t="str">
        <f>报表格式!B6</f>
        <v>货币资金</v>
      </c>
      <c r="B7" s="107"/>
      <c r="C7" s="150">
        <f>合并TB资产!K7</f>
        <v>0</v>
      </c>
      <c r="D7" s="151"/>
      <c r="E7" s="150">
        <f>年初BS审定!B7</f>
        <v>0</v>
      </c>
      <c r="F7" s="151"/>
      <c r="G7" s="107"/>
      <c r="H7" s="150">
        <f>母公司TB资产!K7</f>
        <v>0</v>
      </c>
      <c r="I7" s="151"/>
      <c r="J7" s="150">
        <f>年初BS审定!F7</f>
        <v>0</v>
      </c>
      <c r="K7" s="151"/>
    </row>
    <row r="8" spans="1:11" ht="14.25">
      <c r="A8" s="1078" t="str">
        <f>报表格式!B7</f>
        <v>结算备付金</v>
      </c>
      <c r="B8" s="107"/>
      <c r="C8" s="150">
        <f>合并TB资产!K8</f>
        <v>0</v>
      </c>
      <c r="D8" s="151"/>
      <c r="E8" s="150">
        <f>年初BS审定!B8</f>
        <v>0</v>
      </c>
      <c r="F8" s="151"/>
      <c r="G8" s="107"/>
      <c r="H8" s="150">
        <f>母公司TB资产!K8</f>
        <v>0</v>
      </c>
      <c r="I8" s="151"/>
      <c r="J8" s="150">
        <f>年初BS审定!F8</f>
        <v>0</v>
      </c>
      <c r="K8" s="151"/>
    </row>
    <row r="9" spans="1:11" ht="14.25">
      <c r="A9" s="1078" t="str">
        <f>报表格式!B8</f>
        <v>拆出资金</v>
      </c>
      <c r="B9" s="107"/>
      <c r="C9" s="150">
        <f>合并TB资产!K9</f>
        <v>0</v>
      </c>
      <c r="D9" s="151"/>
      <c r="E9" s="150">
        <f>年初BS审定!B9</f>
        <v>0</v>
      </c>
      <c r="F9" s="151"/>
      <c r="G9" s="107"/>
      <c r="H9" s="150">
        <f>母公司TB资产!K9</f>
        <v>0</v>
      </c>
      <c r="I9" s="151"/>
      <c r="J9" s="150">
        <f>年初BS审定!F9</f>
        <v>0</v>
      </c>
      <c r="K9" s="151"/>
    </row>
    <row r="10" spans="1:11" ht="14.25">
      <c r="A10" s="1078" t="str">
        <f>报表格式!B9</f>
        <v>交易性金融资产</v>
      </c>
      <c r="B10" s="107"/>
      <c r="C10" s="150">
        <f>合并TB资产!K10</f>
        <v>0</v>
      </c>
      <c r="D10" s="151"/>
      <c r="E10" s="150">
        <f>年初BS审定!B10</f>
        <v>0</v>
      </c>
      <c r="F10" s="151"/>
      <c r="G10" s="107"/>
      <c r="H10" s="150">
        <f>母公司TB资产!K10</f>
        <v>0</v>
      </c>
      <c r="I10" s="151"/>
      <c r="J10" s="150">
        <f>年初BS审定!F10</f>
        <v>0</v>
      </c>
      <c r="K10" s="151"/>
    </row>
    <row r="11" spans="1:11" ht="14.25">
      <c r="A11" s="1078" t="str">
        <f>报表格式!B10</f>
        <v>以公允价值计量且其变动计入当期损益的金融资产</v>
      </c>
      <c r="B11" s="107"/>
      <c r="C11" s="150">
        <f>合并TB资产!K11</f>
        <v>0</v>
      </c>
      <c r="D11" s="151"/>
      <c r="E11" s="150">
        <f>年初BS审定!B11</f>
        <v>0</v>
      </c>
      <c r="F11" s="151"/>
      <c r="G11" s="107"/>
      <c r="H11" s="150">
        <f>母公司TB资产!K11</f>
        <v>0</v>
      </c>
      <c r="I11" s="151"/>
      <c r="J11" s="150">
        <f>年初BS审定!F11</f>
        <v>0</v>
      </c>
      <c r="K11" s="151"/>
    </row>
    <row r="12" spans="1:11" ht="14.25">
      <c r="A12" s="1078" t="str">
        <f>报表格式!B11</f>
        <v>衍生金融资产</v>
      </c>
      <c r="B12" s="107"/>
      <c r="C12" s="150">
        <f>合并TB资产!K12</f>
        <v>0</v>
      </c>
      <c r="D12" s="151"/>
      <c r="E12" s="150">
        <f>年初BS审定!B12</f>
        <v>0</v>
      </c>
      <c r="F12" s="151"/>
      <c r="G12" s="107"/>
      <c r="H12" s="150">
        <f>母公司TB资产!K12</f>
        <v>0</v>
      </c>
      <c r="I12" s="151"/>
      <c r="J12" s="150">
        <f>年初BS审定!F12</f>
        <v>0</v>
      </c>
      <c r="K12" s="151"/>
    </row>
    <row r="13" spans="1:11" ht="14.25">
      <c r="A13" s="1078" t="str">
        <f>报表格式!B12</f>
        <v>应收票据</v>
      </c>
      <c r="B13" s="107"/>
      <c r="C13" s="150">
        <f>合并TB资产!K13</f>
        <v>0</v>
      </c>
      <c r="D13" s="152"/>
      <c r="E13" s="150">
        <f>年初BS审定!B13</f>
        <v>0</v>
      </c>
      <c r="F13" s="152"/>
      <c r="G13" s="107"/>
      <c r="H13" s="150">
        <f>母公司TB资产!K13</f>
        <v>0</v>
      </c>
      <c r="I13" s="152"/>
      <c r="J13" s="150">
        <f>年初BS审定!F13</f>
        <v>0</v>
      </c>
      <c r="K13" s="152"/>
    </row>
    <row r="14" spans="1:11" ht="14.25">
      <c r="A14" s="1078" t="str">
        <f>报表格式!B13</f>
        <v>应收账款</v>
      </c>
      <c r="B14" s="107"/>
      <c r="C14" s="150">
        <f>合并TB资产!K14</f>
        <v>0</v>
      </c>
      <c r="D14" s="152"/>
      <c r="E14" s="150">
        <f>年初BS审定!B14</f>
        <v>0</v>
      </c>
      <c r="F14" s="152"/>
      <c r="G14" s="107"/>
      <c r="H14" s="150">
        <f>母公司TB资产!K14</f>
        <v>0</v>
      </c>
      <c r="I14" s="152"/>
      <c r="J14" s="150">
        <f>年初BS审定!F14</f>
        <v>0</v>
      </c>
      <c r="K14" s="152"/>
    </row>
    <row r="15" spans="1:11" ht="14.25">
      <c r="A15" s="1078" t="str">
        <f>报表格式!B14</f>
        <v>应收款项融资</v>
      </c>
      <c r="B15" s="107"/>
      <c r="C15" s="150">
        <f>合并TB资产!K15</f>
        <v>0</v>
      </c>
      <c r="D15" s="152"/>
      <c r="E15" s="150">
        <f>年初BS审定!B15</f>
        <v>0</v>
      </c>
      <c r="F15" s="152"/>
      <c r="G15" s="107"/>
      <c r="H15" s="150">
        <f>母公司TB资产!K15</f>
        <v>0</v>
      </c>
      <c r="I15" s="152"/>
      <c r="J15" s="150">
        <f>年初BS审定!F15</f>
        <v>0</v>
      </c>
      <c r="K15" s="152"/>
    </row>
    <row r="16" spans="1:11" ht="14.25">
      <c r="A16" s="1078" t="str">
        <f>报表格式!B15</f>
        <v>预付款项</v>
      </c>
      <c r="B16" s="107"/>
      <c r="C16" s="150">
        <f>合并TB资产!K16</f>
        <v>0</v>
      </c>
      <c r="D16" s="152"/>
      <c r="E16" s="150">
        <f>年初BS审定!B16</f>
        <v>0</v>
      </c>
      <c r="F16" s="152"/>
      <c r="G16" s="107"/>
      <c r="H16" s="150">
        <f>母公司TB资产!K16</f>
        <v>0</v>
      </c>
      <c r="I16" s="152"/>
      <c r="J16" s="150">
        <f>年初BS审定!F16</f>
        <v>0</v>
      </c>
      <c r="K16" s="152"/>
    </row>
    <row r="17" spans="1:11" ht="14.25">
      <c r="A17" s="1078" t="str">
        <f>报表格式!B16</f>
        <v>应收保费</v>
      </c>
      <c r="B17" s="107"/>
      <c r="C17" s="150">
        <f>合并TB资产!K17</f>
        <v>0</v>
      </c>
      <c r="D17" s="152"/>
      <c r="E17" s="150">
        <f>年初BS审定!B17</f>
        <v>0</v>
      </c>
      <c r="F17" s="152"/>
      <c r="G17" s="107"/>
      <c r="H17" s="150">
        <f>母公司TB资产!K17</f>
        <v>0</v>
      </c>
      <c r="I17" s="152"/>
      <c r="J17" s="150">
        <f>年初BS审定!F17</f>
        <v>0</v>
      </c>
      <c r="K17" s="152"/>
    </row>
    <row r="18" spans="1:11" ht="14.25">
      <c r="A18" s="1078" t="str">
        <f>报表格式!B17</f>
        <v>应收分保账款</v>
      </c>
      <c r="B18" s="107"/>
      <c r="C18" s="150">
        <f>合并TB资产!K18</f>
        <v>0</v>
      </c>
      <c r="D18" s="152"/>
      <c r="E18" s="150">
        <f>年初BS审定!B18</f>
        <v>0</v>
      </c>
      <c r="F18" s="152"/>
      <c r="G18" s="107"/>
      <c r="H18" s="150">
        <f>母公司TB资产!K18</f>
        <v>0</v>
      </c>
      <c r="I18" s="152"/>
      <c r="J18" s="150">
        <f>年初BS审定!F18</f>
        <v>0</v>
      </c>
      <c r="K18" s="152"/>
    </row>
    <row r="19" spans="1:11" ht="14.25">
      <c r="A19" s="1078" t="str">
        <f>报表格式!B18</f>
        <v>应收分保准备金</v>
      </c>
      <c r="B19" s="107"/>
      <c r="C19" s="150">
        <f>合并TB资产!K19</f>
        <v>0</v>
      </c>
      <c r="D19" s="152"/>
      <c r="E19" s="150">
        <f>年初BS审定!B19</f>
        <v>0</v>
      </c>
      <c r="F19" s="152"/>
      <c r="G19" s="107"/>
      <c r="H19" s="150">
        <f>母公司TB资产!K19</f>
        <v>0</v>
      </c>
      <c r="I19" s="152"/>
      <c r="J19" s="150">
        <f>年初BS审定!F19</f>
        <v>0</v>
      </c>
      <c r="K19" s="152"/>
    </row>
    <row r="20" spans="1:11" ht="14.25">
      <c r="A20" s="1078" t="str">
        <f>报表格式!B19</f>
        <v>其他应收款</v>
      </c>
      <c r="B20" s="107"/>
      <c r="C20" s="150">
        <f>合并TB资产!K20</f>
        <v>0</v>
      </c>
      <c r="D20" s="152"/>
      <c r="E20" s="150">
        <f>年初BS审定!B20</f>
        <v>0</v>
      </c>
      <c r="F20" s="152"/>
      <c r="G20" s="107"/>
      <c r="H20" s="150">
        <f>母公司TB资产!K20</f>
        <v>0</v>
      </c>
      <c r="I20" s="152"/>
      <c r="J20" s="150">
        <f>年初BS审定!F20</f>
        <v>0</v>
      </c>
      <c r="K20" s="152"/>
    </row>
    <row r="21" spans="1:11" ht="14.25">
      <c r="A21" s="1078" t="str">
        <f>报表格式!B20</f>
        <v xml:space="preserve">  其中：应收利息</v>
      </c>
      <c r="B21" s="107"/>
      <c r="C21" s="150">
        <f>合并TB资产!K21</f>
        <v>0</v>
      </c>
      <c r="D21" s="152"/>
      <c r="E21" s="150">
        <f>年初BS审定!B21</f>
        <v>0</v>
      </c>
      <c r="F21" s="152"/>
      <c r="G21" s="107"/>
      <c r="H21" s="150">
        <f>母公司TB资产!K21</f>
        <v>0</v>
      </c>
      <c r="I21" s="152"/>
      <c r="J21" s="150">
        <f>年初BS审定!F21</f>
        <v>0</v>
      </c>
      <c r="K21" s="152"/>
    </row>
    <row r="22" spans="1:11" ht="14.25">
      <c r="A22" s="1078" t="str">
        <f>报表格式!B21</f>
        <v xml:space="preserve">        应收股利</v>
      </c>
      <c r="B22" s="107"/>
      <c r="C22" s="150">
        <f>合并TB资产!K22</f>
        <v>0</v>
      </c>
      <c r="D22" s="152"/>
      <c r="E22" s="150">
        <f>年初BS审定!B22</f>
        <v>0</v>
      </c>
      <c r="F22" s="152"/>
      <c r="G22" s="107"/>
      <c r="H22" s="150">
        <f>母公司TB资产!K22</f>
        <v>0</v>
      </c>
      <c r="I22" s="152"/>
      <c r="J22" s="150">
        <f>年初BS审定!F22</f>
        <v>0</v>
      </c>
      <c r="K22" s="152"/>
    </row>
    <row r="23" spans="1:11" ht="14.25">
      <c r="A23" s="1078" t="str">
        <f>报表格式!B22</f>
        <v>买入返售金融资产</v>
      </c>
      <c r="B23" s="107"/>
      <c r="C23" s="150">
        <f>合并TB资产!K23</f>
        <v>0</v>
      </c>
      <c r="D23" s="152"/>
      <c r="E23" s="150">
        <f>年初BS审定!B23</f>
        <v>0</v>
      </c>
      <c r="F23" s="152"/>
      <c r="G23" s="107"/>
      <c r="H23" s="150">
        <f>母公司TB资产!K23</f>
        <v>0</v>
      </c>
      <c r="I23" s="152"/>
      <c r="J23" s="150">
        <f>年初BS审定!F23</f>
        <v>0</v>
      </c>
      <c r="K23" s="152"/>
    </row>
    <row r="24" spans="1:11" ht="14.25">
      <c r="A24" s="1078" t="str">
        <f>报表格式!B23</f>
        <v>存货</v>
      </c>
      <c r="B24" s="107"/>
      <c r="C24" s="150">
        <f>合并TB资产!K24</f>
        <v>0</v>
      </c>
      <c r="D24" s="152"/>
      <c r="E24" s="150">
        <f>年初BS审定!B24</f>
        <v>0</v>
      </c>
      <c r="F24" s="152"/>
      <c r="G24" s="107"/>
      <c r="H24" s="150">
        <f>母公司TB资产!K24</f>
        <v>0</v>
      </c>
      <c r="I24" s="152"/>
      <c r="J24" s="150">
        <f>年初BS审定!F24</f>
        <v>0</v>
      </c>
      <c r="K24" s="152"/>
    </row>
    <row r="25" spans="1:11" ht="14.25">
      <c r="A25" s="1078" t="str">
        <f>报表格式!B24</f>
        <v>合同资产</v>
      </c>
      <c r="B25" s="107"/>
      <c r="C25" s="150">
        <f>合并TB资产!K25</f>
        <v>0</v>
      </c>
      <c r="D25" s="152"/>
      <c r="E25" s="150">
        <f>年初BS审定!B25</f>
        <v>0</v>
      </c>
      <c r="F25" s="152"/>
      <c r="G25" s="107"/>
      <c r="H25" s="150">
        <f>母公司TB资产!K25</f>
        <v>0</v>
      </c>
      <c r="I25" s="152"/>
      <c r="J25" s="150">
        <f>年初BS审定!F25</f>
        <v>0</v>
      </c>
      <c r="K25" s="152"/>
    </row>
    <row r="26" spans="1:11" ht="14.25">
      <c r="A26" s="1078" t="str">
        <f>报表格式!B25</f>
        <v>持有待售资产</v>
      </c>
      <c r="B26" s="107"/>
      <c r="C26" s="150">
        <f>合并TB资产!K26</f>
        <v>0</v>
      </c>
      <c r="D26" s="152"/>
      <c r="E26" s="150">
        <f>年初BS审定!B26</f>
        <v>0</v>
      </c>
      <c r="F26" s="152"/>
      <c r="G26" s="107"/>
      <c r="H26" s="150">
        <f>母公司TB资产!K26</f>
        <v>0</v>
      </c>
      <c r="I26" s="152"/>
      <c r="J26" s="150">
        <f>年初BS审定!F26</f>
        <v>0</v>
      </c>
      <c r="K26" s="152"/>
    </row>
    <row r="27" spans="1:11" ht="14.25">
      <c r="A27" s="1078" t="str">
        <f>报表格式!B26</f>
        <v>一年内到期的非流动资产</v>
      </c>
      <c r="B27" s="107"/>
      <c r="C27" s="150">
        <f>合并TB资产!K27</f>
        <v>0</v>
      </c>
      <c r="D27" s="152"/>
      <c r="E27" s="150">
        <f>年初BS审定!B27</f>
        <v>0</v>
      </c>
      <c r="F27" s="152"/>
      <c r="G27" s="107"/>
      <c r="H27" s="150">
        <f>母公司TB资产!K27</f>
        <v>0</v>
      </c>
      <c r="I27" s="152"/>
      <c r="J27" s="150">
        <f>年初BS审定!F27</f>
        <v>0</v>
      </c>
      <c r="K27" s="152"/>
    </row>
    <row r="28" spans="1:11" ht="14.25">
      <c r="A28" s="1078" t="str">
        <f>报表格式!B27</f>
        <v>其他流动资产</v>
      </c>
      <c r="B28" s="107"/>
      <c r="C28" s="150">
        <f>合并TB资产!K28</f>
        <v>0</v>
      </c>
      <c r="D28" s="152"/>
      <c r="E28" s="150">
        <f>年初BS审定!B28</f>
        <v>0</v>
      </c>
      <c r="F28" s="152"/>
      <c r="G28" s="107"/>
      <c r="H28" s="150">
        <f>母公司TB资产!K28</f>
        <v>0</v>
      </c>
      <c r="I28" s="152"/>
      <c r="J28" s="150">
        <f>年初BS审定!F28</f>
        <v>0</v>
      </c>
      <c r="K28" s="152"/>
    </row>
    <row r="29" spans="1:11" ht="14.25">
      <c r="A29" s="1078">
        <f>报表格式!B28</f>
        <v>0</v>
      </c>
      <c r="B29" s="107"/>
      <c r="C29" s="150">
        <f>合并TB资产!K29</f>
        <v>0</v>
      </c>
      <c r="D29" s="152"/>
      <c r="E29" s="150">
        <f>年初BS审定!B29</f>
        <v>0</v>
      </c>
      <c r="F29" s="152"/>
      <c r="G29" s="107"/>
      <c r="H29" s="150">
        <f>母公司TB资产!K29</f>
        <v>0</v>
      </c>
      <c r="I29" s="152"/>
      <c r="J29" s="150">
        <f>年初BS审定!F29</f>
        <v>0</v>
      </c>
      <c r="K29" s="152"/>
    </row>
    <row r="30" spans="1:11" ht="14.25">
      <c r="A30" s="1078">
        <f>报表格式!B29</f>
        <v>0</v>
      </c>
      <c r="B30" s="107"/>
      <c r="C30" s="150">
        <f>合并TB资产!K30</f>
        <v>0</v>
      </c>
      <c r="D30" s="152"/>
      <c r="E30" s="150">
        <f>年初BS审定!B30</f>
        <v>0</v>
      </c>
      <c r="F30" s="152"/>
      <c r="G30" s="107"/>
      <c r="H30" s="150">
        <f>母公司TB资产!K30</f>
        <v>0</v>
      </c>
      <c r="I30" s="152"/>
      <c r="J30" s="150">
        <f>年初BS审定!F30</f>
        <v>0</v>
      </c>
      <c r="K30" s="152"/>
    </row>
    <row r="31" spans="1:11" s="642" customFormat="1" ht="14.25">
      <c r="A31" s="1079" t="str">
        <f>报表格式!B30</f>
        <v>流动资产合计</v>
      </c>
      <c r="B31" s="658"/>
      <c r="C31" s="154">
        <f>SUM(C7:C30)-C21-C22</f>
        <v>0</v>
      </c>
      <c r="D31" s="155"/>
      <c r="E31" s="154">
        <f>SUM(E7:E30)-E21-E22</f>
        <v>0</v>
      </c>
      <c r="F31" s="155"/>
      <c r="G31" s="658"/>
      <c r="H31" s="154">
        <f>SUM(H7:H30)-H21-H22</f>
        <v>0</v>
      </c>
      <c r="I31" s="155"/>
      <c r="J31" s="154">
        <f>SUM(J7:J30)-J21-J22</f>
        <v>0</v>
      </c>
      <c r="K31" s="156"/>
    </row>
    <row r="32" spans="1:11" ht="14.25">
      <c r="A32" s="1078" t="str">
        <f>报表格式!B31</f>
        <v>非流动资产:</v>
      </c>
      <c r="B32" s="107"/>
      <c r="C32" s="150"/>
      <c r="D32" s="153"/>
      <c r="E32" s="150"/>
      <c r="F32" s="153"/>
      <c r="G32" s="107"/>
      <c r="H32" s="150"/>
      <c r="I32" s="153"/>
      <c r="J32" s="150"/>
      <c r="K32" s="152"/>
    </row>
    <row r="33" spans="1:11" ht="14.25">
      <c r="A33" s="1078" t="str">
        <f>报表格式!B32</f>
        <v>发放贷款及垫款</v>
      </c>
      <c r="B33" s="107"/>
      <c r="C33" s="150">
        <f>合并TB资产!K33</f>
        <v>0</v>
      </c>
      <c r="D33" s="153"/>
      <c r="E33" s="150">
        <f>年初BS审定!B33</f>
        <v>0</v>
      </c>
      <c r="F33" s="153"/>
      <c r="G33" s="107"/>
      <c r="H33" s="150">
        <f>母公司TB资产!K33</f>
        <v>0</v>
      </c>
      <c r="I33" s="153"/>
      <c r="J33" s="150">
        <f>年初BS审定!F33</f>
        <v>0</v>
      </c>
      <c r="K33" s="152"/>
    </row>
    <row r="34" spans="1:11" ht="14.25">
      <c r="A34" s="1078" t="str">
        <f>报表格式!B33</f>
        <v>债权投资</v>
      </c>
      <c r="B34" s="107"/>
      <c r="C34" s="150">
        <f>合并TB资产!K34</f>
        <v>0</v>
      </c>
      <c r="D34" s="153"/>
      <c r="E34" s="150">
        <f>年初BS审定!B34</f>
        <v>0</v>
      </c>
      <c r="F34" s="153"/>
      <c r="G34" s="107"/>
      <c r="H34" s="150">
        <f>母公司TB资产!K34</f>
        <v>0</v>
      </c>
      <c r="I34" s="153"/>
      <c r="J34" s="150">
        <f>年初BS审定!F34</f>
        <v>0</v>
      </c>
      <c r="K34" s="152"/>
    </row>
    <row r="35" spans="1:11" ht="14.25">
      <c r="A35" s="1078" t="str">
        <f>报表格式!B34</f>
        <v>可供出售金融资产</v>
      </c>
      <c r="B35" s="107"/>
      <c r="C35" s="150">
        <f>合并TB资产!K35</f>
        <v>0</v>
      </c>
      <c r="D35" s="153"/>
      <c r="E35" s="150">
        <f>年初BS审定!B35</f>
        <v>0</v>
      </c>
      <c r="F35" s="153"/>
      <c r="G35" s="107"/>
      <c r="H35" s="150">
        <f>母公司TB资产!K35</f>
        <v>0</v>
      </c>
      <c r="I35" s="153"/>
      <c r="J35" s="150">
        <f>年初BS审定!F35</f>
        <v>0</v>
      </c>
      <c r="K35" s="152"/>
    </row>
    <row r="36" spans="1:11" ht="14.25">
      <c r="A36" s="1078" t="str">
        <f>报表格式!B35</f>
        <v>其他债权投资</v>
      </c>
      <c r="B36" s="107"/>
      <c r="C36" s="150">
        <f>合并TB资产!K36</f>
        <v>0</v>
      </c>
      <c r="D36" s="153"/>
      <c r="E36" s="150">
        <f>年初BS审定!B36</f>
        <v>0</v>
      </c>
      <c r="F36" s="153"/>
      <c r="G36" s="107"/>
      <c r="H36" s="150">
        <f>母公司TB资产!K36</f>
        <v>0</v>
      </c>
      <c r="I36" s="153"/>
      <c r="J36" s="150">
        <f>年初BS审定!F36</f>
        <v>0</v>
      </c>
      <c r="K36" s="152"/>
    </row>
    <row r="37" spans="1:11" ht="14.25">
      <c r="A37" s="1078" t="str">
        <f>报表格式!B36</f>
        <v>持有至到期投资</v>
      </c>
      <c r="B37" s="107"/>
      <c r="C37" s="150">
        <f>合并TB资产!K37</f>
        <v>0</v>
      </c>
      <c r="D37" s="153"/>
      <c r="E37" s="150">
        <f>年初BS审定!B37</f>
        <v>0</v>
      </c>
      <c r="F37" s="153"/>
      <c r="G37" s="107"/>
      <c r="H37" s="150">
        <f>母公司TB资产!K37</f>
        <v>0</v>
      </c>
      <c r="I37" s="153"/>
      <c r="J37" s="150">
        <f>年初BS审定!F37</f>
        <v>0</v>
      </c>
      <c r="K37" s="152"/>
    </row>
    <row r="38" spans="1:11" ht="14.25">
      <c r="A38" s="1078" t="str">
        <f>报表格式!B37</f>
        <v>长期应收款</v>
      </c>
      <c r="B38" s="107"/>
      <c r="C38" s="150">
        <f>合并TB资产!K38</f>
        <v>0</v>
      </c>
      <c r="D38" s="153"/>
      <c r="E38" s="150">
        <f>年初BS审定!B38</f>
        <v>0</v>
      </c>
      <c r="F38" s="153"/>
      <c r="G38" s="107"/>
      <c r="H38" s="150">
        <f>母公司TB资产!K38</f>
        <v>0</v>
      </c>
      <c r="I38" s="153"/>
      <c r="J38" s="150">
        <f>年初BS审定!F38</f>
        <v>0</v>
      </c>
      <c r="K38" s="152"/>
    </row>
    <row r="39" spans="1:11" ht="14.25">
      <c r="A39" s="1078" t="str">
        <f>报表格式!B38</f>
        <v>设定受益计划净资产</v>
      </c>
      <c r="B39" s="107"/>
      <c r="C39" s="150">
        <f>合并TB资产!K39</f>
        <v>0</v>
      </c>
      <c r="D39" s="153"/>
      <c r="E39" s="150">
        <f>年初BS审定!B39</f>
        <v>0</v>
      </c>
      <c r="F39" s="153"/>
      <c r="G39" s="107"/>
      <c r="H39" s="150">
        <f>母公司TB资产!K39</f>
        <v>0</v>
      </c>
      <c r="I39" s="153"/>
      <c r="J39" s="150">
        <f>年初BS审定!F39</f>
        <v>0</v>
      </c>
      <c r="K39" s="152"/>
    </row>
    <row r="40" spans="1:11" ht="14.25">
      <c r="A40" s="1078" t="str">
        <f>报表格式!B39</f>
        <v>长期股权投资</v>
      </c>
      <c r="B40" s="107"/>
      <c r="C40" s="150">
        <f>合并TB资产!K40</f>
        <v>0</v>
      </c>
      <c r="D40" s="153"/>
      <c r="E40" s="150">
        <f>年初BS审定!B40</f>
        <v>0</v>
      </c>
      <c r="F40" s="153"/>
      <c r="G40" s="107"/>
      <c r="H40" s="150">
        <f>母公司TB资产!K40</f>
        <v>0</v>
      </c>
      <c r="I40" s="153"/>
      <c r="J40" s="150">
        <f>年初BS审定!F40</f>
        <v>0</v>
      </c>
      <c r="K40" s="152"/>
    </row>
    <row r="41" spans="1:11" ht="14.25">
      <c r="A41" s="1078" t="str">
        <f>报表格式!B40</f>
        <v>其他权益工具投资</v>
      </c>
      <c r="B41" s="107"/>
      <c r="C41" s="150">
        <f>合并TB资产!K41</f>
        <v>0</v>
      </c>
      <c r="D41" s="155"/>
      <c r="E41" s="150">
        <f>年初BS审定!B41</f>
        <v>0</v>
      </c>
      <c r="F41" s="155"/>
      <c r="G41" s="107"/>
      <c r="H41" s="150">
        <f>母公司TB资产!K41</f>
        <v>0</v>
      </c>
      <c r="I41" s="155"/>
      <c r="J41" s="150">
        <f>年初BS审定!F41</f>
        <v>0</v>
      </c>
      <c r="K41" s="156"/>
    </row>
    <row r="42" spans="1:11" ht="14.25">
      <c r="A42" s="1078" t="str">
        <f>报表格式!B41</f>
        <v>其他非流动金融资产</v>
      </c>
      <c r="B42" s="107"/>
      <c r="C42" s="150">
        <f>合并TB资产!K42</f>
        <v>0</v>
      </c>
      <c r="D42" s="152"/>
      <c r="E42" s="150">
        <f>年初BS审定!B42</f>
        <v>0</v>
      </c>
      <c r="F42" s="152"/>
      <c r="G42" s="107"/>
      <c r="H42" s="150">
        <f>母公司TB资产!K42</f>
        <v>0</v>
      </c>
      <c r="I42" s="152"/>
      <c r="J42" s="150">
        <f>年初BS审定!F42</f>
        <v>0</v>
      </c>
      <c r="K42" s="152"/>
    </row>
    <row r="43" spans="1:11" ht="14.25">
      <c r="A43" s="1078" t="str">
        <f>报表格式!B42</f>
        <v>投资性房地产</v>
      </c>
      <c r="B43" s="107"/>
      <c r="C43" s="150">
        <f>合并TB资产!K43</f>
        <v>0</v>
      </c>
      <c r="D43" s="152"/>
      <c r="E43" s="150">
        <f>年初BS审定!B43</f>
        <v>0</v>
      </c>
      <c r="F43" s="152"/>
      <c r="G43" s="107"/>
      <c r="H43" s="150">
        <f>母公司TB资产!K43</f>
        <v>0</v>
      </c>
      <c r="I43" s="152"/>
      <c r="J43" s="150">
        <f>年初BS审定!F43</f>
        <v>0</v>
      </c>
      <c r="K43" s="152"/>
    </row>
    <row r="44" spans="1:11" ht="14.25">
      <c r="A44" s="1078" t="str">
        <f>报表格式!B43</f>
        <v>固定资产</v>
      </c>
      <c r="B44" s="107"/>
      <c r="C44" s="150">
        <f>合并TB资产!K44</f>
        <v>0</v>
      </c>
      <c r="D44" s="152"/>
      <c r="E44" s="150">
        <f>年初BS审定!B44</f>
        <v>0</v>
      </c>
      <c r="F44" s="152"/>
      <c r="G44" s="107"/>
      <c r="H44" s="150">
        <f>母公司TB资产!K44</f>
        <v>0</v>
      </c>
      <c r="I44" s="152"/>
      <c r="J44" s="150">
        <f>年初BS审定!F44</f>
        <v>0</v>
      </c>
      <c r="K44" s="152"/>
    </row>
    <row r="45" spans="1:11" ht="14.25">
      <c r="A45" s="1078" t="str">
        <f>报表格式!B44</f>
        <v>在建工程</v>
      </c>
      <c r="B45" s="107"/>
      <c r="C45" s="150">
        <f>合并TB资产!K45</f>
        <v>0</v>
      </c>
      <c r="D45" s="152"/>
      <c r="E45" s="150">
        <f>年初BS审定!B45</f>
        <v>0</v>
      </c>
      <c r="F45" s="152"/>
      <c r="G45" s="107"/>
      <c r="H45" s="150">
        <f>母公司TB资产!K45</f>
        <v>0</v>
      </c>
      <c r="I45" s="152"/>
      <c r="J45" s="150">
        <f>年初BS审定!F45</f>
        <v>0</v>
      </c>
      <c r="K45" s="152"/>
    </row>
    <row r="46" spans="1:11" ht="14.25">
      <c r="A46" s="1078" t="str">
        <f>报表格式!B45</f>
        <v xml:space="preserve">生产性生物资产 </v>
      </c>
      <c r="B46" s="107"/>
      <c r="C46" s="150">
        <f>合并TB资产!K46</f>
        <v>0</v>
      </c>
      <c r="D46" s="156"/>
      <c r="E46" s="150">
        <f>年初BS审定!B46</f>
        <v>0</v>
      </c>
      <c r="F46" s="156"/>
      <c r="G46" s="107"/>
      <c r="H46" s="150">
        <f>母公司TB资产!K46</f>
        <v>0</v>
      </c>
      <c r="I46" s="156"/>
      <c r="J46" s="150">
        <f>年初BS审定!F46</f>
        <v>0</v>
      </c>
      <c r="K46" s="156"/>
    </row>
    <row r="47" spans="1:11" ht="14.25">
      <c r="A47" s="1078" t="str">
        <f>报表格式!B46</f>
        <v>油气资产</v>
      </c>
      <c r="B47" s="107"/>
      <c r="C47" s="150">
        <f>合并TB资产!K47</f>
        <v>0</v>
      </c>
      <c r="D47" s="152"/>
      <c r="E47" s="150">
        <f>年初BS审定!B47</f>
        <v>0</v>
      </c>
      <c r="F47" s="152"/>
      <c r="G47" s="107"/>
      <c r="H47" s="150">
        <f>母公司TB资产!K47</f>
        <v>0</v>
      </c>
      <c r="I47" s="152"/>
      <c r="J47" s="150">
        <f>年初BS审定!F47</f>
        <v>0</v>
      </c>
      <c r="K47" s="152"/>
    </row>
    <row r="48" spans="1:11" ht="14.25">
      <c r="A48" s="1078" t="str">
        <f>报表格式!B47</f>
        <v>使用权资产</v>
      </c>
      <c r="B48" s="107"/>
      <c r="C48" s="150">
        <f>合并TB资产!K48</f>
        <v>0</v>
      </c>
      <c r="D48" s="152"/>
      <c r="E48" s="150">
        <f>年初BS审定!B48</f>
        <v>0</v>
      </c>
      <c r="F48" s="152"/>
      <c r="G48" s="107"/>
      <c r="H48" s="150">
        <f>母公司TB资产!K48</f>
        <v>0</v>
      </c>
      <c r="I48" s="152"/>
      <c r="J48" s="150">
        <f>年初BS审定!F48</f>
        <v>0</v>
      </c>
      <c r="K48" s="152"/>
    </row>
    <row r="49" spans="1:11" ht="14.25">
      <c r="A49" s="1078" t="str">
        <f>报表格式!B48</f>
        <v>无形资产</v>
      </c>
      <c r="B49" s="107"/>
      <c r="C49" s="150">
        <f>合并TB资产!K49</f>
        <v>0</v>
      </c>
      <c r="D49" s="152"/>
      <c r="E49" s="150">
        <f>年初BS审定!B49</f>
        <v>0</v>
      </c>
      <c r="F49" s="152"/>
      <c r="G49" s="107"/>
      <c r="H49" s="150">
        <f>母公司TB资产!K49</f>
        <v>0</v>
      </c>
      <c r="I49" s="152"/>
      <c r="J49" s="150">
        <f>年初BS审定!F49</f>
        <v>0</v>
      </c>
      <c r="K49" s="152"/>
    </row>
    <row r="50" spans="1:11" ht="14.25">
      <c r="A50" s="1078" t="str">
        <f>报表格式!B49</f>
        <v>开发支出</v>
      </c>
      <c r="B50" s="107"/>
      <c r="C50" s="150">
        <f>合并TB资产!K50</f>
        <v>0</v>
      </c>
      <c r="D50" s="152"/>
      <c r="E50" s="150">
        <f>年初BS审定!B50</f>
        <v>0</v>
      </c>
      <c r="F50" s="152"/>
      <c r="G50" s="107"/>
      <c r="H50" s="150">
        <f>母公司TB资产!K50</f>
        <v>0</v>
      </c>
      <c r="I50" s="152"/>
      <c r="J50" s="150">
        <f>年初BS审定!F50</f>
        <v>0</v>
      </c>
      <c r="K50" s="152"/>
    </row>
    <row r="51" spans="1:11" ht="14.25">
      <c r="A51" s="1078" t="str">
        <f>报表格式!B50</f>
        <v>商誉</v>
      </c>
      <c r="B51" s="107"/>
      <c r="C51" s="150">
        <f>合并TB资产!K51</f>
        <v>0</v>
      </c>
      <c r="D51" s="152"/>
      <c r="E51" s="150">
        <f>年初BS审定!B51</f>
        <v>0</v>
      </c>
      <c r="F51" s="152"/>
      <c r="G51" s="107"/>
      <c r="H51" s="150">
        <f>母公司TB资产!K51</f>
        <v>0</v>
      </c>
      <c r="I51" s="152"/>
      <c r="J51" s="150">
        <f>年初BS审定!F51</f>
        <v>0</v>
      </c>
      <c r="K51" s="152"/>
    </row>
    <row r="52" spans="1:11" ht="14.25">
      <c r="A52" s="1078" t="str">
        <f>报表格式!B51</f>
        <v>长期待摊费用</v>
      </c>
      <c r="B52" s="107"/>
      <c r="C52" s="150">
        <f>合并TB资产!K52</f>
        <v>0</v>
      </c>
      <c r="D52" s="152"/>
      <c r="E52" s="150">
        <f>年初BS审定!B52</f>
        <v>0</v>
      </c>
      <c r="F52" s="152"/>
      <c r="G52" s="107"/>
      <c r="H52" s="150">
        <f>母公司TB资产!K52</f>
        <v>0</v>
      </c>
      <c r="I52" s="152"/>
      <c r="J52" s="150">
        <f>年初BS审定!F52</f>
        <v>0</v>
      </c>
      <c r="K52" s="152"/>
    </row>
    <row r="53" spans="1:11" ht="14.25">
      <c r="A53" s="1078" t="str">
        <f>报表格式!B52</f>
        <v>递延所得税资产</v>
      </c>
      <c r="B53" s="107"/>
      <c r="C53" s="150">
        <f>合并TB资产!K53</f>
        <v>0</v>
      </c>
      <c r="D53" s="152"/>
      <c r="E53" s="150">
        <f>年初BS审定!B53</f>
        <v>0</v>
      </c>
      <c r="F53" s="152"/>
      <c r="G53" s="107"/>
      <c r="H53" s="150">
        <f>母公司TB资产!K53</f>
        <v>0</v>
      </c>
      <c r="I53" s="152"/>
      <c r="J53" s="150">
        <f>年初BS审定!F53</f>
        <v>0</v>
      </c>
      <c r="K53" s="152"/>
    </row>
    <row r="54" spans="1:11" ht="14.25">
      <c r="A54" s="1078" t="str">
        <f>报表格式!B53</f>
        <v>其他非流动资产</v>
      </c>
      <c r="B54" s="107"/>
      <c r="C54" s="150">
        <f>合并TB资产!K54</f>
        <v>0</v>
      </c>
      <c r="D54" s="152"/>
      <c r="E54" s="150">
        <f>年初BS审定!B54</f>
        <v>0</v>
      </c>
      <c r="F54" s="152"/>
      <c r="G54" s="107"/>
      <c r="H54" s="150">
        <f>母公司TB资产!K54</f>
        <v>0</v>
      </c>
      <c r="I54" s="152"/>
      <c r="J54" s="150">
        <f>年初BS审定!F54</f>
        <v>0</v>
      </c>
      <c r="K54" s="152"/>
    </row>
    <row r="55" spans="1:11" ht="14.25">
      <c r="A55" s="1078">
        <f>报表格式!B54</f>
        <v>0</v>
      </c>
      <c r="B55" s="107"/>
      <c r="C55" s="150">
        <f>合并TB资产!K55</f>
        <v>0</v>
      </c>
      <c r="D55" s="152"/>
      <c r="E55" s="150">
        <f>年初BS审定!B55</f>
        <v>0</v>
      </c>
      <c r="F55" s="152"/>
      <c r="G55" s="107"/>
      <c r="H55" s="150">
        <f>母公司TB资产!K55</f>
        <v>0</v>
      </c>
      <c r="I55" s="152"/>
      <c r="J55" s="150">
        <f>年初BS审定!F55</f>
        <v>0</v>
      </c>
      <c r="K55" s="152"/>
    </row>
    <row r="56" spans="1:11" ht="14.25">
      <c r="A56" s="1078">
        <f>报表格式!B55</f>
        <v>0</v>
      </c>
      <c r="B56" s="107"/>
      <c r="C56" s="150">
        <f>合并TB资产!K56</f>
        <v>0</v>
      </c>
      <c r="D56" s="152"/>
      <c r="E56" s="150">
        <f>年初BS审定!B56</f>
        <v>0</v>
      </c>
      <c r="F56" s="152"/>
      <c r="G56" s="107"/>
      <c r="H56" s="150">
        <f>母公司TB资产!K56</f>
        <v>0</v>
      </c>
      <c r="I56" s="152"/>
      <c r="J56" s="150">
        <f>年初BS审定!F56</f>
        <v>0</v>
      </c>
      <c r="K56" s="152"/>
    </row>
    <row r="57" spans="1:11" ht="14.25">
      <c r="A57" s="1078">
        <f>报表格式!B56</f>
        <v>0</v>
      </c>
      <c r="B57" s="107"/>
      <c r="C57" s="150">
        <f>合并TB资产!K57</f>
        <v>0</v>
      </c>
      <c r="D57" s="152"/>
      <c r="E57" s="150">
        <f>年初BS审定!B57</f>
        <v>0</v>
      </c>
      <c r="F57" s="152"/>
      <c r="G57" s="107"/>
      <c r="H57" s="150">
        <f>母公司TB资产!K57</f>
        <v>0</v>
      </c>
      <c r="I57" s="152"/>
      <c r="J57" s="150">
        <f>年初BS审定!F57</f>
        <v>0</v>
      </c>
      <c r="K57" s="157"/>
    </row>
    <row r="58" spans="1:11" s="642" customFormat="1" ht="14.25">
      <c r="A58" s="1079" t="str">
        <f>报表格式!B57</f>
        <v>非流动资产合计</v>
      </c>
      <c r="B58" s="658"/>
      <c r="C58" s="154">
        <f>SUM(C33:C57)</f>
        <v>0</v>
      </c>
      <c r="D58" s="156"/>
      <c r="E58" s="154">
        <f>SUM(E33:E57)</f>
        <v>0</v>
      </c>
      <c r="F58" s="156"/>
      <c r="G58" s="658"/>
      <c r="H58" s="154">
        <f>SUM(H33:H57)</f>
        <v>0</v>
      </c>
      <c r="I58" s="156"/>
      <c r="J58" s="154">
        <f>SUM(J33:J57)</f>
        <v>0</v>
      </c>
      <c r="K58" s="156"/>
    </row>
    <row r="59" spans="1:11" ht="15" thickBot="1">
      <c r="A59" s="1080" t="str">
        <f>报表格式!B58</f>
        <v>资 产 总 计</v>
      </c>
      <c r="B59" s="113"/>
      <c r="C59" s="158">
        <f>SUM(C31,C58)</f>
        <v>0</v>
      </c>
      <c r="D59" s="159"/>
      <c r="E59" s="158">
        <f>SUM(E31,E58)</f>
        <v>0</v>
      </c>
      <c r="F59" s="159"/>
      <c r="G59" s="113"/>
      <c r="H59" s="158">
        <f>SUM(H31,H58)</f>
        <v>0</v>
      </c>
      <c r="I59" s="159"/>
      <c r="J59" s="158">
        <f>SUM(J31,J58)</f>
        <v>0</v>
      </c>
      <c r="K59" s="159"/>
    </row>
    <row r="60" spans="1:11" ht="14.25">
      <c r="A60" s="1081" t="str">
        <f>CONCATENATE(说明!D24,说明!E24)</f>
        <v>法定代表人：</v>
      </c>
      <c r="C60" s="65" t="str">
        <f>CONCATENATE(说明!D25,说明!E25)</f>
        <v>财务负责人：</v>
      </c>
      <c r="D60" s="61"/>
      <c r="E60" s="65"/>
      <c r="F60" s="61"/>
      <c r="G60" s="65" t="str">
        <f>CONCATENATE(说明!I25,说明!J25)</f>
        <v/>
      </c>
      <c r="H60" s="65" t="str">
        <f>CONCATENATE(说明!D26,说明!E26)</f>
        <v>会计主管：</v>
      </c>
      <c r="I60" s="61"/>
      <c r="J60" s="65"/>
      <c r="K60" s="61"/>
    </row>
    <row r="61" spans="1:11" ht="18.75">
      <c r="A61" s="1187" t="s">
        <v>304</v>
      </c>
      <c r="B61" s="1187"/>
      <c r="C61" s="1187"/>
      <c r="D61" s="1187"/>
      <c r="E61" s="1187"/>
      <c r="F61" s="1187"/>
      <c r="G61" s="1187"/>
      <c r="H61" s="1187"/>
      <c r="I61" s="1187"/>
      <c r="J61" s="1187"/>
      <c r="K61" s="1187"/>
    </row>
    <row r="62" spans="1:11" ht="13.5" customHeight="1">
      <c r="A62" s="1082"/>
      <c r="B62" s="114"/>
      <c r="C62" s="382"/>
      <c r="D62" s="382"/>
      <c r="E62" s="382"/>
      <c r="F62" s="382"/>
      <c r="G62" s="114"/>
      <c r="H62" s="382"/>
      <c r="I62" s="382"/>
      <c r="J62" s="382"/>
      <c r="K62" s="382"/>
    </row>
    <row r="63" spans="1:11" ht="15" thickBot="1">
      <c r="A63" s="1198" t="str">
        <f>A3</f>
        <v xml:space="preserve"> 编制单位：</v>
      </c>
      <c r="B63" s="1198"/>
      <c r="C63" s="1198"/>
      <c r="D63" s="468"/>
      <c r="E63" s="468"/>
      <c r="F63" s="468"/>
      <c r="G63" s="468"/>
      <c r="H63" s="468"/>
      <c r="I63" s="468"/>
      <c r="J63" s="141" t="str">
        <f>CONCATENATE("单位：",说明!$E$33)</f>
        <v>单位：人民币元</v>
      </c>
      <c r="K63" s="468"/>
    </row>
    <row r="64" spans="1:11" ht="14.25">
      <c r="A64" s="1199" t="s">
        <v>303</v>
      </c>
      <c r="B64" s="1196" t="s">
        <v>220</v>
      </c>
      <c r="C64" s="1193" t="s">
        <v>577</v>
      </c>
      <c r="D64" s="1194"/>
      <c r="E64" s="1194"/>
      <c r="F64" s="1195"/>
      <c r="G64" s="1196" t="s">
        <v>220</v>
      </c>
      <c r="H64" s="1193" t="s">
        <v>578</v>
      </c>
      <c r="I64" s="1194"/>
      <c r="J64" s="1194"/>
      <c r="K64" s="1195"/>
    </row>
    <row r="65" spans="1:11" ht="14.25">
      <c r="A65" s="1200"/>
      <c r="B65" s="1197"/>
      <c r="C65" s="465">
        <f>说明!E32</f>
        <v>43830</v>
      </c>
      <c r="D65" s="464"/>
      <c r="E65" s="465">
        <f>说明!E31</f>
        <v>43465</v>
      </c>
      <c r="F65" s="464"/>
      <c r="G65" s="1197"/>
      <c r="H65" s="465">
        <f>说明!E32</f>
        <v>43830</v>
      </c>
      <c r="I65" s="464"/>
      <c r="J65" s="465">
        <f>说明!E31</f>
        <v>43465</v>
      </c>
      <c r="K65" s="464"/>
    </row>
    <row r="66" spans="1:11" ht="14.25">
      <c r="A66" s="1078" t="str">
        <f>报表格式!G5</f>
        <v>流动负债：</v>
      </c>
      <c r="B66" s="107"/>
      <c r="C66" s="110"/>
      <c r="D66" s="111"/>
      <c r="E66" s="110"/>
      <c r="F66" s="111"/>
      <c r="G66" s="107"/>
      <c r="H66" s="110"/>
      <c r="I66" s="111"/>
      <c r="J66" s="150">
        <f>年初BS审定!F61</f>
        <v>0</v>
      </c>
      <c r="K66" s="111"/>
    </row>
    <row r="67" spans="1:11" ht="14.25">
      <c r="A67" s="1083" t="str">
        <f>报表格式!G6</f>
        <v>短期借款</v>
      </c>
      <c r="B67" s="107"/>
      <c r="C67" s="150">
        <f>合并TB负债!K7</f>
        <v>0</v>
      </c>
      <c r="D67" s="152"/>
      <c r="E67" s="150">
        <f>年初BS审定!B62</f>
        <v>0</v>
      </c>
      <c r="F67" s="152"/>
      <c r="G67" s="107"/>
      <c r="H67" s="150">
        <f>母公司TB负债!K7</f>
        <v>0</v>
      </c>
      <c r="I67" s="152"/>
      <c r="J67" s="150">
        <f>年初BS审定!F62</f>
        <v>0</v>
      </c>
      <c r="K67" s="152"/>
    </row>
    <row r="68" spans="1:11" ht="14.25">
      <c r="A68" s="1083" t="str">
        <f>报表格式!G7</f>
        <v>向中央银行借款</v>
      </c>
      <c r="B68" s="107"/>
      <c r="C68" s="150">
        <f>合并TB负债!K8</f>
        <v>0</v>
      </c>
      <c r="D68" s="152"/>
      <c r="E68" s="150">
        <f>年初BS审定!B63</f>
        <v>0</v>
      </c>
      <c r="F68" s="152"/>
      <c r="G68" s="107"/>
      <c r="H68" s="150">
        <f>母公司TB负债!K8</f>
        <v>0</v>
      </c>
      <c r="I68" s="152"/>
      <c r="J68" s="150">
        <f>年初BS审定!F63</f>
        <v>0</v>
      </c>
      <c r="K68" s="152"/>
    </row>
    <row r="69" spans="1:11" ht="14.25">
      <c r="A69" s="1083" t="str">
        <f>报表格式!G8</f>
        <v>吸收存款及同业存放</v>
      </c>
      <c r="B69" s="107"/>
      <c r="C69" s="150">
        <f>合并TB负债!K9</f>
        <v>0</v>
      </c>
      <c r="D69" s="152"/>
      <c r="E69" s="150">
        <f>年初BS审定!B64</f>
        <v>0</v>
      </c>
      <c r="F69" s="152"/>
      <c r="G69" s="107"/>
      <c r="H69" s="150">
        <f>母公司TB负债!K9</f>
        <v>0</v>
      </c>
      <c r="I69" s="152"/>
      <c r="J69" s="150">
        <f>年初BS审定!F64</f>
        <v>0</v>
      </c>
      <c r="K69" s="152"/>
    </row>
    <row r="70" spans="1:11" ht="14.25">
      <c r="A70" s="1083" t="str">
        <f>报表格式!G9</f>
        <v>拆入资金</v>
      </c>
      <c r="B70" s="107"/>
      <c r="C70" s="150">
        <f>合并TB负债!K10</f>
        <v>0</v>
      </c>
      <c r="D70" s="152"/>
      <c r="E70" s="150">
        <f>年初BS审定!B65</f>
        <v>0</v>
      </c>
      <c r="F70" s="152"/>
      <c r="G70" s="107"/>
      <c r="H70" s="150">
        <f>母公司TB负债!K10</f>
        <v>0</v>
      </c>
      <c r="I70" s="152"/>
      <c r="J70" s="150">
        <f>年初BS审定!F65</f>
        <v>0</v>
      </c>
      <c r="K70" s="152"/>
    </row>
    <row r="71" spans="1:11" ht="14.25">
      <c r="A71" s="1083" t="str">
        <f>报表格式!G10</f>
        <v>交易性金融负债</v>
      </c>
      <c r="B71" s="107"/>
      <c r="C71" s="150">
        <f>合并TB负债!K11</f>
        <v>0</v>
      </c>
      <c r="D71" s="152"/>
      <c r="E71" s="150">
        <f>年初BS审定!B66</f>
        <v>0</v>
      </c>
      <c r="F71" s="152"/>
      <c r="G71" s="107"/>
      <c r="H71" s="150">
        <f>母公司TB负债!K11</f>
        <v>0</v>
      </c>
      <c r="I71" s="152"/>
      <c r="J71" s="150">
        <f>年初BS审定!F66</f>
        <v>0</v>
      </c>
      <c r="K71" s="152"/>
    </row>
    <row r="72" spans="1:11" ht="14.25">
      <c r="A72" s="1083" t="str">
        <f>报表格式!G11</f>
        <v>以公允价值计量且其变动计入当期损益的金融负债</v>
      </c>
      <c r="B72" s="107"/>
      <c r="C72" s="150">
        <f>合并TB负债!K12</f>
        <v>0</v>
      </c>
      <c r="D72" s="152"/>
      <c r="E72" s="150">
        <f>年初BS审定!B67</f>
        <v>0</v>
      </c>
      <c r="F72" s="152"/>
      <c r="G72" s="107"/>
      <c r="H72" s="150">
        <f>母公司TB负债!K12</f>
        <v>0</v>
      </c>
      <c r="I72" s="152"/>
      <c r="J72" s="150">
        <f>年初BS审定!F67</f>
        <v>0</v>
      </c>
      <c r="K72" s="152"/>
    </row>
    <row r="73" spans="1:11" ht="14.25">
      <c r="A73" s="1083" t="str">
        <f>报表格式!G12</f>
        <v>衍生金融负债</v>
      </c>
      <c r="B73" s="107"/>
      <c r="C73" s="150">
        <f>合并TB负债!K13</f>
        <v>0</v>
      </c>
      <c r="D73" s="152"/>
      <c r="E73" s="150">
        <f>年初BS审定!B68</f>
        <v>0</v>
      </c>
      <c r="F73" s="152"/>
      <c r="G73" s="107"/>
      <c r="H73" s="150">
        <f>母公司TB负债!K13</f>
        <v>0</v>
      </c>
      <c r="I73" s="152"/>
      <c r="J73" s="150">
        <f>年初BS审定!F68</f>
        <v>0</v>
      </c>
      <c r="K73" s="152"/>
    </row>
    <row r="74" spans="1:11" ht="14.25">
      <c r="A74" s="1083" t="str">
        <f>报表格式!G13</f>
        <v>应付票据</v>
      </c>
      <c r="B74" s="107"/>
      <c r="C74" s="150">
        <f>合并TB负债!K14</f>
        <v>0</v>
      </c>
      <c r="D74" s="152"/>
      <c r="E74" s="150">
        <f>年初BS审定!B69</f>
        <v>0</v>
      </c>
      <c r="F74" s="152"/>
      <c r="G74" s="107"/>
      <c r="H74" s="150">
        <f>母公司TB负债!K14</f>
        <v>0</v>
      </c>
      <c r="I74" s="152"/>
      <c r="J74" s="150">
        <f>年初BS审定!F69</f>
        <v>0</v>
      </c>
      <c r="K74" s="152"/>
    </row>
    <row r="75" spans="1:11" ht="14.25">
      <c r="A75" s="1083" t="str">
        <f>报表格式!G14</f>
        <v>应付账款</v>
      </c>
      <c r="B75" s="107"/>
      <c r="C75" s="150">
        <f>合并TB负债!K15</f>
        <v>0</v>
      </c>
      <c r="D75" s="152"/>
      <c r="E75" s="150">
        <f>年初BS审定!B70</f>
        <v>0</v>
      </c>
      <c r="F75" s="152"/>
      <c r="G75" s="107"/>
      <c r="H75" s="150">
        <f>母公司TB负债!K15</f>
        <v>0</v>
      </c>
      <c r="I75" s="152"/>
      <c r="J75" s="150">
        <f>年初BS审定!F70</f>
        <v>0</v>
      </c>
      <c r="K75" s="152"/>
    </row>
    <row r="76" spans="1:11" ht="14.25">
      <c r="A76" s="1083" t="str">
        <f>报表格式!G15</f>
        <v>预收款项</v>
      </c>
      <c r="B76" s="107"/>
      <c r="C76" s="150">
        <f>合并TB负债!K16</f>
        <v>0</v>
      </c>
      <c r="D76" s="152"/>
      <c r="E76" s="150">
        <f>年初BS审定!B71</f>
        <v>0</v>
      </c>
      <c r="F76" s="152"/>
      <c r="G76" s="107"/>
      <c r="H76" s="150">
        <f>母公司TB负债!K16</f>
        <v>0</v>
      </c>
      <c r="I76" s="152"/>
      <c r="J76" s="150">
        <f>年初BS审定!F71</f>
        <v>0</v>
      </c>
      <c r="K76" s="152"/>
    </row>
    <row r="77" spans="1:11" ht="14.25">
      <c r="A77" s="1083" t="str">
        <f>报表格式!G16</f>
        <v>卖出回购金融资产款</v>
      </c>
      <c r="B77" s="107"/>
      <c r="C77" s="150">
        <f>合并TB负债!K17</f>
        <v>0</v>
      </c>
      <c r="D77" s="152"/>
      <c r="E77" s="150">
        <f>年初BS审定!B72</f>
        <v>0</v>
      </c>
      <c r="F77" s="152"/>
      <c r="G77" s="107"/>
      <c r="H77" s="150">
        <f>母公司TB负债!K17</f>
        <v>0</v>
      </c>
      <c r="I77" s="152"/>
      <c r="J77" s="150">
        <f>年初BS审定!F72</f>
        <v>0</v>
      </c>
      <c r="K77" s="152"/>
    </row>
    <row r="78" spans="1:11" ht="14.25">
      <c r="A78" s="1083" t="str">
        <f>报表格式!G17</f>
        <v>应付手续费及佣金</v>
      </c>
      <c r="B78" s="107"/>
      <c r="C78" s="150">
        <f>合并TB负债!K18</f>
        <v>0</v>
      </c>
      <c r="D78" s="152"/>
      <c r="E78" s="150">
        <f>年初BS审定!B73</f>
        <v>0</v>
      </c>
      <c r="F78" s="152"/>
      <c r="G78" s="107"/>
      <c r="H78" s="150">
        <f>母公司TB负债!K18</f>
        <v>0</v>
      </c>
      <c r="I78" s="152"/>
      <c r="J78" s="150">
        <f>年初BS审定!F73</f>
        <v>0</v>
      </c>
      <c r="K78" s="152"/>
    </row>
    <row r="79" spans="1:11" ht="14.25">
      <c r="A79" s="1083" t="str">
        <f>报表格式!G18</f>
        <v>合同负债</v>
      </c>
      <c r="B79" s="107"/>
      <c r="C79" s="150">
        <f>合并TB负债!K19</f>
        <v>0</v>
      </c>
      <c r="D79" s="152"/>
      <c r="E79" s="150">
        <f>年初BS审定!B74</f>
        <v>0</v>
      </c>
      <c r="F79" s="152"/>
      <c r="G79" s="107"/>
      <c r="H79" s="150">
        <f>母公司TB负债!K19</f>
        <v>0</v>
      </c>
      <c r="I79" s="152"/>
      <c r="J79" s="150">
        <f>年初BS审定!F74</f>
        <v>0</v>
      </c>
      <c r="K79" s="152"/>
    </row>
    <row r="80" spans="1:11" ht="14.25">
      <c r="A80" s="1083" t="str">
        <f>报表格式!G19</f>
        <v>应付职工薪酬</v>
      </c>
      <c r="B80" s="107"/>
      <c r="C80" s="150">
        <f>合并TB负债!K20</f>
        <v>0</v>
      </c>
      <c r="D80" s="152"/>
      <c r="E80" s="150">
        <f>年初BS审定!B75</f>
        <v>0</v>
      </c>
      <c r="F80" s="152"/>
      <c r="G80" s="107"/>
      <c r="H80" s="150">
        <f>母公司TB负债!K20</f>
        <v>0</v>
      </c>
      <c r="I80" s="152"/>
      <c r="J80" s="150">
        <f>年初BS审定!F75</f>
        <v>0</v>
      </c>
      <c r="K80" s="152"/>
    </row>
    <row r="81" spans="1:11" ht="14.25">
      <c r="A81" s="1083" t="str">
        <f>报表格式!G20</f>
        <v>应交税费</v>
      </c>
      <c r="B81" s="107"/>
      <c r="C81" s="150">
        <f>合并TB负债!K21</f>
        <v>0</v>
      </c>
      <c r="D81" s="157"/>
      <c r="E81" s="150">
        <f>年初BS审定!B76</f>
        <v>0</v>
      </c>
      <c r="F81" s="157"/>
      <c r="G81" s="107"/>
      <c r="H81" s="150">
        <f>母公司TB负债!K21</f>
        <v>0</v>
      </c>
      <c r="I81" s="157"/>
      <c r="J81" s="150">
        <f>年初BS审定!F76</f>
        <v>0</v>
      </c>
      <c r="K81" s="157"/>
    </row>
    <row r="82" spans="1:11" ht="14.25">
      <c r="A82" s="1083" t="str">
        <f>报表格式!G21</f>
        <v>其他应付款</v>
      </c>
      <c r="B82" s="107"/>
      <c r="C82" s="150">
        <f>合并TB负债!K22</f>
        <v>0</v>
      </c>
      <c r="D82" s="157"/>
      <c r="E82" s="150">
        <f>年初BS审定!B77</f>
        <v>0</v>
      </c>
      <c r="F82" s="157"/>
      <c r="G82" s="107"/>
      <c r="H82" s="150">
        <f>母公司TB负债!K22</f>
        <v>0</v>
      </c>
      <c r="I82" s="157"/>
      <c r="J82" s="150">
        <f>年初BS审定!F77</f>
        <v>0</v>
      </c>
      <c r="K82" s="152"/>
    </row>
    <row r="83" spans="1:11" ht="14.25">
      <c r="A83" s="1083" t="str">
        <f>报表格式!G22</f>
        <v xml:space="preserve">  其中：应付利息</v>
      </c>
      <c r="B83" s="107"/>
      <c r="C83" s="150">
        <f>合并TB负债!K23</f>
        <v>0</v>
      </c>
      <c r="D83" s="157"/>
      <c r="E83" s="150">
        <f>年初BS审定!B78</f>
        <v>0</v>
      </c>
      <c r="F83" s="157"/>
      <c r="G83" s="107"/>
      <c r="H83" s="150">
        <f>母公司TB负债!K23</f>
        <v>0</v>
      </c>
      <c r="I83" s="157"/>
      <c r="J83" s="150">
        <f>年初BS审定!F78</f>
        <v>0</v>
      </c>
      <c r="K83" s="152"/>
    </row>
    <row r="84" spans="1:11" ht="14.25">
      <c r="A84" s="1083" t="str">
        <f>报表格式!G23</f>
        <v xml:space="preserve">        应付股利</v>
      </c>
      <c r="B84" s="107"/>
      <c r="C84" s="150">
        <f>合并TB负债!K24</f>
        <v>0</v>
      </c>
      <c r="D84" s="157"/>
      <c r="E84" s="150">
        <f>年初BS审定!B79</f>
        <v>0</v>
      </c>
      <c r="F84" s="157"/>
      <c r="G84" s="107"/>
      <c r="H84" s="150">
        <f>母公司TB负债!K24</f>
        <v>0</v>
      </c>
      <c r="I84" s="157"/>
      <c r="J84" s="150">
        <f>年初BS审定!F79</f>
        <v>0</v>
      </c>
      <c r="K84" s="152"/>
    </row>
    <row r="85" spans="1:11" ht="14.25">
      <c r="A85" s="1083" t="str">
        <f>报表格式!G24</f>
        <v>应付分保账款</v>
      </c>
      <c r="B85" s="107"/>
      <c r="C85" s="150">
        <f>合并TB负债!K25</f>
        <v>0</v>
      </c>
      <c r="D85" s="157"/>
      <c r="E85" s="150">
        <f>年初BS审定!B80</f>
        <v>0</v>
      </c>
      <c r="F85" s="157"/>
      <c r="G85" s="107"/>
      <c r="H85" s="150">
        <f>母公司TB负债!K25</f>
        <v>0</v>
      </c>
      <c r="I85" s="157"/>
      <c r="J85" s="150">
        <f>年初BS审定!F80</f>
        <v>0</v>
      </c>
      <c r="K85" s="152"/>
    </row>
    <row r="86" spans="1:11" ht="14.25">
      <c r="A86" s="1083" t="str">
        <f>报表格式!G25</f>
        <v>保险合同准备金</v>
      </c>
      <c r="B86" s="107"/>
      <c r="C86" s="150">
        <f>合并TB负债!K26</f>
        <v>0</v>
      </c>
      <c r="D86" s="157"/>
      <c r="E86" s="150">
        <f>年初BS审定!B81</f>
        <v>0</v>
      </c>
      <c r="F86" s="157"/>
      <c r="G86" s="107"/>
      <c r="H86" s="150">
        <f>母公司TB负债!K26</f>
        <v>0</v>
      </c>
      <c r="I86" s="157"/>
      <c r="J86" s="150">
        <f>年初BS审定!F81</f>
        <v>0</v>
      </c>
      <c r="K86" s="152"/>
    </row>
    <row r="87" spans="1:11" ht="14.25">
      <c r="A87" s="1083" t="str">
        <f>报表格式!G26</f>
        <v>代理买卖证券款</v>
      </c>
      <c r="B87" s="107"/>
      <c r="C87" s="150">
        <f>合并TB负债!K27</f>
        <v>0</v>
      </c>
      <c r="D87" s="157"/>
      <c r="E87" s="150">
        <f>年初BS审定!B82</f>
        <v>0</v>
      </c>
      <c r="F87" s="157"/>
      <c r="G87" s="107"/>
      <c r="H87" s="150">
        <f>母公司TB负债!K27</f>
        <v>0</v>
      </c>
      <c r="I87" s="157"/>
      <c r="J87" s="150">
        <f>年初BS审定!F82</f>
        <v>0</v>
      </c>
      <c r="K87" s="152"/>
    </row>
    <row r="88" spans="1:11" ht="14.25">
      <c r="A88" s="1083" t="str">
        <f>报表格式!G27</f>
        <v>代理承销证券款</v>
      </c>
      <c r="B88" s="107"/>
      <c r="C88" s="150">
        <f>合并TB负债!K28</f>
        <v>0</v>
      </c>
      <c r="D88" s="157"/>
      <c r="E88" s="150">
        <f>年初BS审定!B83</f>
        <v>0</v>
      </c>
      <c r="F88" s="157"/>
      <c r="G88" s="107"/>
      <c r="H88" s="150">
        <f>母公司TB负债!K28</f>
        <v>0</v>
      </c>
      <c r="I88" s="157"/>
      <c r="J88" s="150">
        <f>年初BS审定!F83</f>
        <v>0</v>
      </c>
      <c r="K88" s="152"/>
    </row>
    <row r="89" spans="1:11" ht="14.25">
      <c r="A89" s="1083" t="str">
        <f>报表格式!G28</f>
        <v>持有待售负债</v>
      </c>
      <c r="B89" s="107"/>
      <c r="C89" s="150">
        <f>合并TB负债!K29</f>
        <v>0</v>
      </c>
      <c r="D89" s="157"/>
      <c r="E89" s="150">
        <f>年初BS审定!B84</f>
        <v>0</v>
      </c>
      <c r="F89" s="157"/>
      <c r="G89" s="107"/>
      <c r="H89" s="150">
        <f>母公司TB负债!K29</f>
        <v>0</v>
      </c>
      <c r="I89" s="157"/>
      <c r="J89" s="150">
        <f>年初BS审定!F84</f>
        <v>0</v>
      </c>
      <c r="K89" s="152"/>
    </row>
    <row r="90" spans="1:11" ht="14.25">
      <c r="A90" s="1083" t="str">
        <f>报表格式!G29</f>
        <v>一年内到期的非流动负债</v>
      </c>
      <c r="B90" s="107"/>
      <c r="C90" s="150">
        <f>合并TB负债!K30</f>
        <v>0</v>
      </c>
      <c r="D90" s="157"/>
      <c r="E90" s="150">
        <f>年初BS审定!B85</f>
        <v>0</v>
      </c>
      <c r="F90" s="157"/>
      <c r="G90" s="107"/>
      <c r="H90" s="150">
        <f>母公司TB负债!K30</f>
        <v>0</v>
      </c>
      <c r="I90" s="157"/>
      <c r="J90" s="150">
        <f>年初BS审定!F85</f>
        <v>0</v>
      </c>
      <c r="K90" s="152"/>
    </row>
    <row r="91" spans="1:11" ht="14.25">
      <c r="A91" s="1083" t="str">
        <f>报表格式!G30</f>
        <v>其他流动负债</v>
      </c>
      <c r="B91" s="107"/>
      <c r="C91" s="150">
        <f>合并TB负债!K31</f>
        <v>0</v>
      </c>
      <c r="D91" s="157"/>
      <c r="E91" s="150">
        <f>年初BS审定!B86</f>
        <v>0</v>
      </c>
      <c r="F91" s="157"/>
      <c r="G91" s="107"/>
      <c r="H91" s="150">
        <f>母公司TB负债!K31</f>
        <v>0</v>
      </c>
      <c r="I91" s="157"/>
      <c r="J91" s="150">
        <f>年初BS审定!F86</f>
        <v>0</v>
      </c>
      <c r="K91" s="152"/>
    </row>
    <row r="92" spans="1:11" s="642" customFormat="1" ht="14.25">
      <c r="A92" s="1084" t="str">
        <f>报表格式!G31</f>
        <v>流动负债合计</v>
      </c>
      <c r="B92" s="658"/>
      <c r="C92" s="154">
        <f>SUM(C67:C91)-C83-C84</f>
        <v>0</v>
      </c>
      <c r="D92" s="156"/>
      <c r="E92" s="154">
        <f>SUM(E67:E91)-E83-E84</f>
        <v>0</v>
      </c>
      <c r="F92" s="156"/>
      <c r="G92" s="658"/>
      <c r="H92" s="154">
        <f>SUM(H67:H91)-H83-H84</f>
        <v>0</v>
      </c>
      <c r="I92" s="156"/>
      <c r="J92" s="154">
        <f>SUM(J67:J91)-J83-J84</f>
        <v>0</v>
      </c>
      <c r="K92" s="156"/>
    </row>
    <row r="93" spans="1:11" ht="14.25">
      <c r="A93" s="1083" t="str">
        <f>报表格式!G32</f>
        <v>非流动负债:</v>
      </c>
      <c r="B93" s="107"/>
      <c r="C93" s="150"/>
      <c r="D93" s="152"/>
      <c r="E93" s="150"/>
      <c r="F93" s="152"/>
      <c r="G93" s="107"/>
      <c r="H93" s="150"/>
      <c r="I93" s="152"/>
      <c r="J93" s="150"/>
      <c r="K93" s="152"/>
    </row>
    <row r="94" spans="1:11" ht="14.25">
      <c r="A94" s="1083" t="str">
        <f>报表格式!G33</f>
        <v>长期借款</v>
      </c>
      <c r="B94" s="107"/>
      <c r="C94" s="150">
        <f>合并TB负债!K34</f>
        <v>0</v>
      </c>
      <c r="D94" s="152"/>
      <c r="E94" s="150">
        <f>年初BS审定!B89</f>
        <v>0</v>
      </c>
      <c r="F94" s="152"/>
      <c r="G94" s="107"/>
      <c r="H94" s="150">
        <f>母公司TB负债!K34</f>
        <v>0</v>
      </c>
      <c r="I94" s="152"/>
      <c r="J94" s="150">
        <f>年初BS审定!F89</f>
        <v>0</v>
      </c>
      <c r="K94" s="152"/>
    </row>
    <row r="95" spans="1:11" ht="14.25">
      <c r="A95" s="1083" t="str">
        <f>报表格式!G34</f>
        <v>应付债券</v>
      </c>
      <c r="B95" s="107"/>
      <c r="C95" s="150">
        <f>合并TB负债!K35</f>
        <v>0</v>
      </c>
      <c r="D95" s="152"/>
      <c r="E95" s="150">
        <f>年初BS审定!B90</f>
        <v>0</v>
      </c>
      <c r="F95" s="152"/>
      <c r="G95" s="107"/>
      <c r="H95" s="150">
        <f>母公司TB负债!K35</f>
        <v>0</v>
      </c>
      <c r="I95" s="152"/>
      <c r="J95" s="150">
        <f>年初BS审定!F90</f>
        <v>0</v>
      </c>
      <c r="K95" s="152"/>
    </row>
    <row r="96" spans="1:11" ht="14.25">
      <c r="A96" s="1083" t="str">
        <f>报表格式!G35</f>
        <v xml:space="preserve">  其中：优先股</v>
      </c>
      <c r="B96" s="107"/>
      <c r="C96" s="150">
        <f>合并TB负债!K36</f>
        <v>0</v>
      </c>
      <c r="D96" s="152"/>
      <c r="E96" s="150">
        <f>年初BS审定!B91</f>
        <v>0</v>
      </c>
      <c r="F96" s="152"/>
      <c r="G96" s="107"/>
      <c r="H96" s="150">
        <f>母公司TB负债!K36</f>
        <v>0</v>
      </c>
      <c r="I96" s="152"/>
      <c r="J96" s="150">
        <f>年初BS审定!F91</f>
        <v>0</v>
      </c>
      <c r="K96" s="152"/>
    </row>
    <row r="97" spans="1:11" ht="14.25">
      <c r="A97" s="1083" t="str">
        <f>报表格式!G36</f>
        <v xml:space="preserve">        永续债</v>
      </c>
      <c r="B97" s="107"/>
      <c r="C97" s="150">
        <f>合并TB负债!K37</f>
        <v>0</v>
      </c>
      <c r="D97" s="152"/>
      <c r="E97" s="150">
        <f>年初BS审定!B92</f>
        <v>0</v>
      </c>
      <c r="F97" s="152"/>
      <c r="G97" s="107"/>
      <c r="H97" s="150">
        <f>母公司TB负债!K37</f>
        <v>0</v>
      </c>
      <c r="I97" s="152"/>
      <c r="J97" s="150">
        <f>年初BS审定!F92</f>
        <v>0</v>
      </c>
      <c r="K97" s="152"/>
    </row>
    <row r="98" spans="1:11" ht="14.25">
      <c r="A98" s="1083" t="str">
        <f>报表格式!G37</f>
        <v>租赁负债</v>
      </c>
      <c r="B98" s="107"/>
      <c r="C98" s="150">
        <f>合并TB负债!K38</f>
        <v>0</v>
      </c>
      <c r="D98" s="152"/>
      <c r="E98" s="150">
        <f>年初BS审定!B93</f>
        <v>0</v>
      </c>
      <c r="F98" s="152"/>
      <c r="G98" s="107"/>
      <c r="H98" s="150">
        <f>母公司TB负债!K38</f>
        <v>0</v>
      </c>
      <c r="I98" s="152"/>
      <c r="J98" s="150">
        <f>年初BS审定!F93</f>
        <v>0</v>
      </c>
      <c r="K98" s="152"/>
    </row>
    <row r="99" spans="1:11" ht="14.25">
      <c r="A99" s="1083" t="str">
        <f>报表格式!G38</f>
        <v>长期应付款</v>
      </c>
      <c r="B99" s="107"/>
      <c r="C99" s="150">
        <f>合并TB负债!K39</f>
        <v>0</v>
      </c>
      <c r="D99" s="152"/>
      <c r="E99" s="150">
        <f>年初BS审定!B94</f>
        <v>0</v>
      </c>
      <c r="F99" s="152"/>
      <c r="G99" s="107"/>
      <c r="H99" s="150">
        <f>母公司TB负债!K39</f>
        <v>0</v>
      </c>
      <c r="I99" s="152"/>
      <c r="J99" s="150">
        <f>年初BS审定!F94</f>
        <v>0</v>
      </c>
      <c r="K99" s="152"/>
    </row>
    <row r="100" spans="1:11" ht="14.25">
      <c r="A100" s="1083" t="str">
        <f>报表格式!G39</f>
        <v>长期应付职工薪酬</v>
      </c>
      <c r="B100" s="107"/>
      <c r="C100" s="150">
        <f>合并TB负债!K40</f>
        <v>0</v>
      </c>
      <c r="D100" s="152"/>
      <c r="E100" s="150">
        <f>年初BS审定!B95</f>
        <v>0</v>
      </c>
      <c r="F100" s="152"/>
      <c r="G100" s="107"/>
      <c r="H100" s="150">
        <f>母公司TB负债!K40</f>
        <v>0</v>
      </c>
      <c r="I100" s="152"/>
      <c r="J100" s="150">
        <f>年初BS审定!F95</f>
        <v>0</v>
      </c>
      <c r="K100" s="152"/>
    </row>
    <row r="101" spans="1:11" ht="14.25">
      <c r="A101" s="1083" t="str">
        <f>报表格式!G40</f>
        <v>预计负债</v>
      </c>
      <c r="B101" s="107"/>
      <c r="C101" s="150">
        <f>合并TB负债!K41</f>
        <v>0</v>
      </c>
      <c r="D101" s="152"/>
      <c r="E101" s="150">
        <f>年初BS审定!B96</f>
        <v>0</v>
      </c>
      <c r="F101" s="152"/>
      <c r="G101" s="107"/>
      <c r="H101" s="150">
        <f>母公司TB负债!K41</f>
        <v>0</v>
      </c>
      <c r="I101" s="152"/>
      <c r="J101" s="150">
        <f>年初BS审定!F96</f>
        <v>0</v>
      </c>
      <c r="K101" s="152"/>
    </row>
    <row r="102" spans="1:11" ht="14.25">
      <c r="A102" s="1083" t="str">
        <f>报表格式!G41</f>
        <v>递延收益</v>
      </c>
      <c r="B102" s="107"/>
      <c r="C102" s="150">
        <f>合并TB负债!K42</f>
        <v>0</v>
      </c>
      <c r="D102" s="152"/>
      <c r="E102" s="150">
        <f>年初BS审定!B97</f>
        <v>0</v>
      </c>
      <c r="F102" s="152"/>
      <c r="G102" s="107"/>
      <c r="H102" s="150">
        <f>母公司TB负债!K42</f>
        <v>0</v>
      </c>
      <c r="I102" s="152"/>
      <c r="J102" s="150">
        <f>年初BS审定!F97</f>
        <v>0</v>
      </c>
      <c r="K102" s="152"/>
    </row>
    <row r="103" spans="1:11" ht="14.25">
      <c r="A103" s="1083" t="str">
        <f>报表格式!G42</f>
        <v>递延所得税负债</v>
      </c>
      <c r="B103" s="107"/>
      <c r="C103" s="150">
        <f>合并TB负债!K43</f>
        <v>0</v>
      </c>
      <c r="D103" s="152"/>
      <c r="E103" s="150">
        <f>年初BS审定!B98</f>
        <v>0</v>
      </c>
      <c r="F103" s="152"/>
      <c r="G103" s="107"/>
      <c r="H103" s="150">
        <f>母公司TB负债!K43</f>
        <v>0</v>
      </c>
      <c r="I103" s="152"/>
      <c r="J103" s="150">
        <f>年初BS审定!F98</f>
        <v>0</v>
      </c>
      <c r="K103" s="152"/>
    </row>
    <row r="104" spans="1:11" ht="14.25">
      <c r="A104" s="1083" t="str">
        <f>报表格式!G43</f>
        <v>其他非流动负债</v>
      </c>
      <c r="B104" s="107"/>
      <c r="C104" s="150">
        <f>合并TB负债!K44</f>
        <v>0</v>
      </c>
      <c r="D104" s="152"/>
      <c r="E104" s="150">
        <f>年初BS审定!B99</f>
        <v>0</v>
      </c>
      <c r="F104" s="152"/>
      <c r="G104" s="107"/>
      <c r="H104" s="150">
        <f>母公司TB负债!K44</f>
        <v>0</v>
      </c>
      <c r="I104" s="152"/>
      <c r="J104" s="150">
        <f>年初BS审定!F99</f>
        <v>0</v>
      </c>
      <c r="K104" s="152"/>
    </row>
    <row r="105" spans="1:11" s="642" customFormat="1" ht="14.25">
      <c r="A105" s="1084" t="str">
        <f>报表格式!G44</f>
        <v>非流动负债合计</v>
      </c>
      <c r="B105" s="658"/>
      <c r="C105" s="154">
        <f>SUM(C94:C104)-C96-C97</f>
        <v>0</v>
      </c>
      <c r="D105" s="156"/>
      <c r="E105" s="154">
        <f>SUM(E94:E104)-E96-E97</f>
        <v>0</v>
      </c>
      <c r="F105" s="156"/>
      <c r="G105" s="658"/>
      <c r="H105" s="154">
        <f>SUM(H94:H104)-H96-H97</f>
        <v>0</v>
      </c>
      <c r="I105" s="156"/>
      <c r="J105" s="154">
        <f>SUM(J94:J104)-J96-J97</f>
        <v>0</v>
      </c>
      <c r="K105" s="156"/>
    </row>
    <row r="106" spans="1:11" s="642" customFormat="1" ht="14.25">
      <c r="A106" s="1084" t="str">
        <f>报表格式!G45</f>
        <v>负 债 合 计</v>
      </c>
      <c r="B106" s="658"/>
      <c r="C106" s="154">
        <f>SUM(C92,C105)</f>
        <v>0</v>
      </c>
      <c r="D106" s="659"/>
      <c r="E106" s="154">
        <f>SUM(E92,E105)</f>
        <v>0</v>
      </c>
      <c r="F106" s="659"/>
      <c r="G106" s="658"/>
      <c r="H106" s="154">
        <f>SUM(H92,H105)</f>
        <v>0</v>
      </c>
      <c r="I106" s="659"/>
      <c r="J106" s="154">
        <f>SUM(J92,J105)</f>
        <v>0</v>
      </c>
      <c r="K106" s="659"/>
    </row>
    <row r="107" spans="1:11" ht="14.25">
      <c r="A107" s="1083" t="str">
        <f>报表格式!G46</f>
        <v>股东权益：</v>
      </c>
      <c r="B107" s="107"/>
      <c r="C107" s="150"/>
      <c r="D107" s="157"/>
      <c r="E107" s="150"/>
      <c r="F107" s="157"/>
      <c r="G107" s="107"/>
      <c r="H107" s="150"/>
      <c r="I107" s="157"/>
      <c r="J107" s="150"/>
      <c r="K107" s="157"/>
    </row>
    <row r="108" spans="1:11" ht="14.25">
      <c r="A108" s="1083" t="str">
        <f>报表格式!G47</f>
        <v>股本</v>
      </c>
      <c r="B108" s="107"/>
      <c r="C108" s="150">
        <f>合并TB负债!K48</f>
        <v>0</v>
      </c>
      <c r="D108" s="157"/>
      <c r="E108" s="150">
        <f>年初BS审定!B103</f>
        <v>0</v>
      </c>
      <c r="F108" s="157"/>
      <c r="G108" s="107"/>
      <c r="H108" s="150">
        <f>母公司TB负债!K48</f>
        <v>0</v>
      </c>
      <c r="I108" s="157"/>
      <c r="J108" s="150">
        <f>年初BS审定!F103</f>
        <v>0</v>
      </c>
      <c r="K108" s="157"/>
    </row>
    <row r="109" spans="1:11" ht="14.25">
      <c r="A109" s="1083" t="str">
        <f>报表格式!G48</f>
        <v>其他权益工具</v>
      </c>
      <c r="B109" s="107"/>
      <c r="C109" s="150">
        <f>合并TB负债!K49</f>
        <v>0</v>
      </c>
      <c r="D109" s="157"/>
      <c r="E109" s="150">
        <f>年初BS审定!B104</f>
        <v>0</v>
      </c>
      <c r="F109" s="157"/>
      <c r="G109" s="107"/>
      <c r="H109" s="150">
        <f>母公司TB负债!K49</f>
        <v>0</v>
      </c>
      <c r="I109" s="157"/>
      <c r="J109" s="150">
        <f>年初BS审定!F104</f>
        <v>0</v>
      </c>
      <c r="K109" s="157"/>
    </row>
    <row r="110" spans="1:11" ht="14.25">
      <c r="A110" s="1083" t="str">
        <f>报表格式!G49</f>
        <v xml:space="preserve">  其中：优先股</v>
      </c>
      <c r="B110" s="107"/>
      <c r="C110" s="150">
        <f>合并TB负债!K50</f>
        <v>0</v>
      </c>
      <c r="D110" s="157"/>
      <c r="E110" s="150">
        <f>年初BS审定!B105</f>
        <v>0</v>
      </c>
      <c r="F110" s="157"/>
      <c r="G110" s="107"/>
      <c r="H110" s="150">
        <f>母公司TB负债!K50</f>
        <v>0</v>
      </c>
      <c r="I110" s="157"/>
      <c r="J110" s="150">
        <f>年初BS审定!F105</f>
        <v>0</v>
      </c>
      <c r="K110" s="157"/>
    </row>
    <row r="111" spans="1:11" ht="14.25">
      <c r="A111" s="1083" t="str">
        <f>报表格式!G50</f>
        <v xml:space="preserve">        永续债</v>
      </c>
      <c r="B111" s="107"/>
      <c r="C111" s="150">
        <f>合并TB负债!K51</f>
        <v>0</v>
      </c>
      <c r="D111" s="157"/>
      <c r="E111" s="150">
        <f>年初BS审定!B106</f>
        <v>0</v>
      </c>
      <c r="F111" s="157"/>
      <c r="G111" s="107"/>
      <c r="H111" s="150">
        <f>母公司TB负债!K51</f>
        <v>0</v>
      </c>
      <c r="I111" s="157"/>
      <c r="J111" s="150">
        <f>年初BS审定!F106</f>
        <v>0</v>
      </c>
      <c r="K111" s="157"/>
    </row>
    <row r="112" spans="1:11" ht="14.25">
      <c r="A112" s="1083" t="str">
        <f>报表格式!G51</f>
        <v>资本公积</v>
      </c>
      <c r="B112" s="107"/>
      <c r="C112" s="150">
        <f>合并TB负债!K52</f>
        <v>0</v>
      </c>
      <c r="D112" s="156"/>
      <c r="E112" s="150">
        <f>年初BS审定!B107</f>
        <v>0</v>
      </c>
      <c r="F112" s="156"/>
      <c r="G112" s="107"/>
      <c r="H112" s="150">
        <f>母公司TB负债!K52</f>
        <v>0</v>
      </c>
      <c r="I112" s="156"/>
      <c r="J112" s="150">
        <f>年初BS审定!F107</f>
        <v>0</v>
      </c>
      <c r="K112" s="156"/>
    </row>
    <row r="113" spans="1:11" ht="14.25">
      <c r="A113" s="1083" t="str">
        <f>报表格式!G52</f>
        <v>减：库存股</v>
      </c>
      <c r="B113" s="107"/>
      <c r="C113" s="150">
        <f>合并TB负债!K53</f>
        <v>0</v>
      </c>
      <c r="D113" s="152"/>
      <c r="E113" s="150">
        <f>年初BS审定!B108</f>
        <v>0</v>
      </c>
      <c r="F113" s="152"/>
      <c r="G113" s="107"/>
      <c r="H113" s="150">
        <f>母公司TB负债!K53</f>
        <v>0</v>
      </c>
      <c r="I113" s="152"/>
      <c r="J113" s="150">
        <f>年初BS审定!F108</f>
        <v>0</v>
      </c>
      <c r="K113" s="152"/>
    </row>
    <row r="114" spans="1:11" ht="14.25">
      <c r="A114" s="1083" t="str">
        <f>报表格式!G53</f>
        <v>其他综合收益</v>
      </c>
      <c r="B114" s="107"/>
      <c r="C114" s="150">
        <f>合并TB负债!K54</f>
        <v>0</v>
      </c>
      <c r="D114" s="152"/>
      <c r="E114" s="150">
        <f>年初BS审定!B109</f>
        <v>0</v>
      </c>
      <c r="F114" s="152"/>
      <c r="G114" s="107"/>
      <c r="H114" s="150">
        <f>母公司TB负债!K54</f>
        <v>0</v>
      </c>
      <c r="I114" s="152"/>
      <c r="J114" s="150">
        <f>年初BS审定!F109</f>
        <v>0</v>
      </c>
      <c r="K114" s="152"/>
    </row>
    <row r="115" spans="1:11" ht="14.25">
      <c r="A115" s="1083" t="str">
        <f>报表格式!G54</f>
        <v>专项储备</v>
      </c>
      <c r="B115" s="107"/>
      <c r="C115" s="150">
        <f>合并TB负债!K55</f>
        <v>0</v>
      </c>
      <c r="D115" s="152"/>
      <c r="E115" s="150">
        <f>年初BS审定!B110</f>
        <v>0</v>
      </c>
      <c r="F115" s="152"/>
      <c r="G115" s="107"/>
      <c r="H115" s="150">
        <f>母公司TB负债!K55</f>
        <v>0</v>
      </c>
      <c r="I115" s="152"/>
      <c r="J115" s="150">
        <f>年初BS审定!F110</f>
        <v>0</v>
      </c>
      <c r="K115" s="152"/>
    </row>
    <row r="116" spans="1:11" ht="14.25">
      <c r="A116" s="1083" t="str">
        <f>报表格式!G55</f>
        <v>盈余公积</v>
      </c>
      <c r="B116" s="112"/>
      <c r="C116" s="150">
        <f>合并TB负债!K56</f>
        <v>0</v>
      </c>
      <c r="D116" s="155"/>
      <c r="E116" s="150">
        <f>年初BS审定!B111</f>
        <v>0</v>
      </c>
      <c r="F116" s="155"/>
      <c r="G116" s="112"/>
      <c r="H116" s="150">
        <f>母公司TB负债!K56</f>
        <v>0</v>
      </c>
      <c r="I116" s="155"/>
      <c r="J116" s="150">
        <f>年初BS审定!F111</f>
        <v>0</v>
      </c>
      <c r="K116" s="156"/>
    </row>
    <row r="117" spans="1:11" ht="14.25">
      <c r="A117" s="1083" t="str">
        <f>报表格式!G56</f>
        <v>一般风险准备</v>
      </c>
      <c r="B117" s="107"/>
      <c r="C117" s="150">
        <f>合并TB负债!K57</f>
        <v>0</v>
      </c>
      <c r="D117" s="152"/>
      <c r="E117" s="150">
        <f>年初BS审定!B112</f>
        <v>0</v>
      </c>
      <c r="F117" s="152"/>
      <c r="G117" s="107"/>
      <c r="H117" s="150">
        <f>母公司TB负债!K57</f>
        <v>0</v>
      </c>
      <c r="I117" s="152"/>
      <c r="J117" s="150">
        <f>年初BS审定!F112</f>
        <v>0</v>
      </c>
      <c r="K117" s="156"/>
    </row>
    <row r="118" spans="1:11" ht="14.25">
      <c r="A118" s="1083" t="str">
        <f>报表格式!G57</f>
        <v>未分配利润</v>
      </c>
      <c r="B118" s="107"/>
      <c r="C118" s="150">
        <f>合并TB负债!K58</f>
        <v>0</v>
      </c>
      <c r="D118" s="152"/>
      <c r="E118" s="150">
        <f>年初BS审定!B113</f>
        <v>0</v>
      </c>
      <c r="F118" s="152"/>
      <c r="G118" s="107"/>
      <c r="H118" s="150">
        <f>母公司TB负债!K58</f>
        <v>0</v>
      </c>
      <c r="I118" s="152"/>
      <c r="J118" s="150">
        <f>年初BS审定!F113</f>
        <v>0</v>
      </c>
      <c r="K118" s="152"/>
    </row>
    <row r="119" spans="1:11" ht="14.25">
      <c r="A119" s="1083" t="str">
        <f>报表格式!G58</f>
        <v>归属于母公司股东权益合计</v>
      </c>
      <c r="B119" s="107"/>
      <c r="C119" s="150">
        <f>SUM(C108:C109,C112,-C113,C114:C118)</f>
        <v>0</v>
      </c>
      <c r="D119" s="152"/>
      <c r="E119" s="150">
        <f>SUM(E108:E109,E112,-E113,E114:E118)</f>
        <v>0</v>
      </c>
      <c r="F119" s="152"/>
      <c r="G119" s="107"/>
      <c r="H119" s="150">
        <f>SUM(H108:H109,H112,-H113,H114:H118)</f>
        <v>0</v>
      </c>
      <c r="I119" s="152"/>
      <c r="J119" s="150">
        <f>SUM(J108:J109,J112,-J113,J114:J118)</f>
        <v>0</v>
      </c>
      <c r="K119" s="152"/>
    </row>
    <row r="120" spans="1:11" ht="14.25">
      <c r="A120" s="1083" t="str">
        <f>报表格式!G59</f>
        <v>少数股东权益</v>
      </c>
      <c r="B120" s="107"/>
      <c r="C120" s="150">
        <f>合并TB负债!K60</f>
        <v>0</v>
      </c>
      <c r="D120" s="152"/>
      <c r="E120" s="150">
        <f>年初BS审定!B115</f>
        <v>0</v>
      </c>
      <c r="F120" s="152"/>
      <c r="G120" s="107"/>
      <c r="H120" s="150">
        <f>母公司TB负债!K60</f>
        <v>0</v>
      </c>
      <c r="I120" s="152"/>
      <c r="J120" s="150">
        <f>年初BS审定!F115</f>
        <v>0</v>
      </c>
      <c r="K120" s="152"/>
    </row>
    <row r="121" spans="1:11" ht="14.25">
      <c r="A121" s="1085" t="str">
        <f>报表格式!G60</f>
        <v>股东权益合计</v>
      </c>
      <c r="B121" s="112"/>
      <c r="C121" s="154">
        <f>SUM(C119:C120)</f>
        <v>0</v>
      </c>
      <c r="D121" s="156"/>
      <c r="E121" s="154">
        <f>SUM(E119:E120)</f>
        <v>0</v>
      </c>
      <c r="F121" s="156"/>
      <c r="G121" s="112"/>
      <c r="H121" s="154">
        <f>SUM(H119:H120)</f>
        <v>0</v>
      </c>
      <c r="I121" s="156"/>
      <c r="J121" s="154">
        <f>SUM(J119:J120)</f>
        <v>0</v>
      </c>
      <c r="K121" s="156"/>
    </row>
    <row r="122" spans="1:11" ht="15" thickBot="1">
      <c r="A122" s="1086" t="str">
        <f>报表格式!G61</f>
        <v>负债和股东权益合计</v>
      </c>
      <c r="B122" s="115"/>
      <c r="C122" s="160">
        <f>SUM(C106,C121)</f>
        <v>0</v>
      </c>
      <c r="D122" s="161"/>
      <c r="E122" s="160">
        <f>SUM(E106,E121)</f>
        <v>0</v>
      </c>
      <c r="F122" s="161"/>
      <c r="G122" s="115"/>
      <c r="H122" s="160">
        <f>SUM(H106,H121)</f>
        <v>0</v>
      </c>
      <c r="I122" s="161"/>
      <c r="J122" s="160">
        <f>SUM(J106,J121)</f>
        <v>0</v>
      </c>
      <c r="K122" s="161"/>
    </row>
    <row r="123" spans="1:11" ht="14.25">
      <c r="A123" s="1081" t="str">
        <f>CONCATENATE(说明!D24,说明!E24)</f>
        <v>法定代表人：</v>
      </c>
      <c r="C123" s="65" t="str">
        <f>CONCATENATE(说明!D25,说明!E25)</f>
        <v>财务负责人：</v>
      </c>
      <c r="E123" s="65"/>
      <c r="F123" s="61"/>
      <c r="G123" s="65" t="str">
        <f>CONCATENATE(说明!I25,说明!J25)</f>
        <v/>
      </c>
      <c r="H123" s="65" t="str">
        <f>CONCATENATE(说明!D26,说明!E26)</f>
        <v>会计主管：</v>
      </c>
      <c r="I123" s="61"/>
      <c r="J123" s="65"/>
      <c r="K123" s="61"/>
    </row>
    <row r="124" spans="1:11" ht="14.25"/>
    <row r="125" spans="1:11" ht="14.25">
      <c r="A125" s="1016" t="s">
        <v>539</v>
      </c>
      <c r="B125" s="660"/>
      <c r="C125" s="583"/>
    </row>
    <row r="126" spans="1:11" ht="15">
      <c r="A126" s="1017" t="s">
        <v>540</v>
      </c>
      <c r="B126" s="661"/>
      <c r="C126" s="433">
        <f>C59-C122</f>
        <v>0</v>
      </c>
      <c r="D126" s="577"/>
      <c r="E126" s="433">
        <f>E59-E122</f>
        <v>0</v>
      </c>
      <c r="F126" s="577"/>
      <c r="G126" s="576"/>
      <c r="H126" s="433">
        <f>H59-H122</f>
        <v>0</v>
      </c>
      <c r="I126" s="577"/>
      <c r="J126" s="433">
        <f>J59-J122</f>
        <v>0</v>
      </c>
      <c r="K126" s="577"/>
    </row>
    <row r="127" spans="1:11" ht="15">
      <c r="A127" s="1018" t="s">
        <v>542</v>
      </c>
      <c r="B127" s="661"/>
      <c r="C127" s="433">
        <f>SUM(C7:C30)-C21-C22-C31</f>
        <v>0</v>
      </c>
      <c r="D127" s="577"/>
      <c r="E127" s="433">
        <f>SUM(E7:E30)-E21-E22-E31</f>
        <v>0</v>
      </c>
      <c r="F127" s="577"/>
      <c r="G127" s="576"/>
      <c r="H127" s="433">
        <f>SUM(H7:H30)-H21-H22-H31</f>
        <v>0</v>
      </c>
      <c r="I127" s="577"/>
      <c r="J127" s="433">
        <f>SUM(J7:J30)-J21-J22-J31</f>
        <v>0</v>
      </c>
      <c r="K127" s="577"/>
    </row>
    <row r="128" spans="1:11" ht="15">
      <c r="A128" s="1017" t="s">
        <v>103</v>
      </c>
      <c r="B128" s="661"/>
      <c r="C128" s="433">
        <f>SUM(C33:C57)-C58</f>
        <v>0</v>
      </c>
      <c r="D128" s="577"/>
      <c r="E128" s="433">
        <f>SUM(E33:E57)-E58</f>
        <v>0</v>
      </c>
      <c r="F128" s="577"/>
      <c r="G128" s="576"/>
      <c r="H128" s="433">
        <f>SUM(H33:H57)-H58</f>
        <v>0</v>
      </c>
      <c r="I128" s="577"/>
      <c r="J128" s="433">
        <f>SUM(J33:J57)-J58</f>
        <v>0</v>
      </c>
      <c r="K128" s="577"/>
    </row>
    <row r="129" spans="1:11" ht="15">
      <c r="A129" s="1018" t="s">
        <v>543</v>
      </c>
      <c r="B129" s="661"/>
      <c r="C129" s="433">
        <f>SUM(C7:C30,-C21,-C22,C33:C57)-C59</f>
        <v>0</v>
      </c>
      <c r="D129" s="577"/>
      <c r="E129" s="433">
        <f>SUM(E7:E30,-E21,-E22,E33:E57)-E59</f>
        <v>0</v>
      </c>
      <c r="F129" s="577"/>
      <c r="G129" s="576"/>
      <c r="H129" s="433">
        <f>SUM(H7:H30,-H21,-H22,H33:H57)-H59</f>
        <v>0</v>
      </c>
      <c r="I129" s="577"/>
      <c r="J129" s="433">
        <f>SUM(J7:J30,-J21,-J22,J33:J57)-J59</f>
        <v>0</v>
      </c>
      <c r="K129" s="577"/>
    </row>
    <row r="130" spans="1:11" ht="15">
      <c r="A130" s="1018" t="s">
        <v>544</v>
      </c>
      <c r="B130" s="661"/>
      <c r="C130" s="433">
        <f>SUM(C67:C91)-C83-C84-C92</f>
        <v>0</v>
      </c>
      <c r="D130" s="577"/>
      <c r="E130" s="433">
        <f>SUM(E67:E91)-E83-E84-E92</f>
        <v>0</v>
      </c>
      <c r="F130" s="577"/>
      <c r="G130" s="576"/>
      <c r="H130" s="433">
        <f>SUM(H67:H91)-H83-H84-H92</f>
        <v>0</v>
      </c>
      <c r="I130" s="577"/>
      <c r="J130" s="433">
        <f>SUM(J67:J91)-J83-J84-J92</f>
        <v>0</v>
      </c>
      <c r="K130" s="577"/>
    </row>
    <row r="131" spans="1:11" ht="15">
      <c r="A131" s="1017" t="s">
        <v>105</v>
      </c>
      <c r="B131" s="661"/>
      <c r="C131" s="433">
        <f>SUM(C94:C104)-C96-C97-C105</f>
        <v>0</v>
      </c>
      <c r="D131" s="577"/>
      <c r="E131" s="433">
        <f t="shared" ref="E131:J131" si="0">SUM(E94:E104)-E96-E97-E105</f>
        <v>0</v>
      </c>
      <c r="F131" s="577"/>
      <c r="G131" s="576"/>
      <c r="H131" s="433">
        <f t="shared" si="0"/>
        <v>0</v>
      </c>
      <c r="I131" s="577"/>
      <c r="J131" s="433">
        <f t="shared" si="0"/>
        <v>0</v>
      </c>
      <c r="K131" s="577"/>
    </row>
    <row r="132" spans="1:11" ht="15">
      <c r="A132" s="1018" t="s">
        <v>545</v>
      </c>
      <c r="B132" s="661"/>
      <c r="C132" s="433">
        <f>SUM(C67:C91,C94:C104,-C83,-C84,-C96,-C97)-C106</f>
        <v>0</v>
      </c>
      <c r="D132" s="577"/>
      <c r="E132" s="433">
        <f>SUM(E67:E91,E94:E104,-E83,-E84,-E96,-E97)-E106</f>
        <v>0</v>
      </c>
      <c r="F132" s="577"/>
      <c r="G132" s="576"/>
      <c r="H132" s="433">
        <f>SUM(H67:H91,H94:H104,-H83,-H84,-H96,-H97)-H106</f>
        <v>0</v>
      </c>
      <c r="I132" s="577"/>
      <c r="J132" s="433">
        <f>SUM(J67:J91,J94:J104,-J83,-J84,-J96,-J97)-J106</f>
        <v>0</v>
      </c>
      <c r="K132" s="577"/>
    </row>
    <row r="133" spans="1:11" ht="15">
      <c r="A133" s="1017" t="s">
        <v>107</v>
      </c>
      <c r="B133" s="661"/>
      <c r="C133" s="433">
        <f>SUM(C108:C109,C112,-C113,C114:C118)-C119</f>
        <v>0</v>
      </c>
      <c r="D133" s="577"/>
      <c r="E133" s="433">
        <f t="shared" ref="E133:J133" si="1">SUM(E108:E109,E112,-E113,E114:E118)-E119</f>
        <v>0</v>
      </c>
      <c r="F133" s="577"/>
      <c r="G133" s="576"/>
      <c r="H133" s="433">
        <f t="shared" si="1"/>
        <v>0</v>
      </c>
      <c r="I133" s="577"/>
      <c r="J133" s="433">
        <f t="shared" si="1"/>
        <v>0</v>
      </c>
      <c r="K133" s="577"/>
    </row>
    <row r="134" spans="1:11" ht="15">
      <c r="A134" s="1017" t="s">
        <v>109</v>
      </c>
      <c r="B134" s="661"/>
      <c r="C134" s="433">
        <f>SUM(C119:C120)-C121</f>
        <v>0</v>
      </c>
      <c r="D134" s="577"/>
      <c r="E134" s="433">
        <f>SUM(E119:E120)-E121</f>
        <v>0</v>
      </c>
      <c r="F134" s="577"/>
      <c r="G134" s="576"/>
      <c r="H134" s="433">
        <f>SUM(H119:H120)-H121</f>
        <v>0</v>
      </c>
      <c r="I134" s="577"/>
      <c r="J134" s="433">
        <f>SUM(J119:J120)-J121</f>
        <v>0</v>
      </c>
      <c r="K134" s="577"/>
    </row>
    <row r="135" spans="1:11" ht="15">
      <c r="A135" s="1018" t="s">
        <v>546</v>
      </c>
      <c r="B135" s="661"/>
      <c r="C135" s="433">
        <f>SUM(C67:C91,-C83,-C84,C94:C104,-C96,-C97,C108:C109,C112,-C113,C114:C118,C120)-C122</f>
        <v>0</v>
      </c>
      <c r="D135" s="577"/>
      <c r="E135" s="433">
        <f>SUM(E67:E91,-E83,-E84,E94:E104,-E96,-E97,E108:E109,E112,-E113,E114:E118,E120)-E122</f>
        <v>0</v>
      </c>
      <c r="F135" s="577"/>
      <c r="G135" s="576"/>
      <c r="H135" s="433">
        <f>SUM(H67:H91,-H83,-H84,H94:H104,-H96,-H97,H108:H109,H112,-H113,H114:H118,H120)-H122</f>
        <v>0</v>
      </c>
      <c r="I135" s="577"/>
      <c r="J135" s="433">
        <f>SUM(J67:J91,-J83,-J84,J94:J104,-J96,-J97,J108:J109,J112,-J113,J114:J118,J120)-J122</f>
        <v>0</v>
      </c>
      <c r="K135" s="577"/>
    </row>
    <row r="136" spans="1:11" s="38" customFormat="1" ht="14.25">
      <c r="A136" s="1070" t="s">
        <v>761</v>
      </c>
      <c r="B136" s="614"/>
      <c r="G136" s="614"/>
    </row>
    <row r="137" spans="1:11" s="40" customFormat="1" ht="12.75">
      <c r="A137" s="1088" t="s">
        <v>151</v>
      </c>
      <c r="B137" s="578"/>
      <c r="C137" s="578"/>
      <c r="D137" s="578"/>
      <c r="E137" s="578"/>
      <c r="F137" s="578"/>
      <c r="G137" s="579"/>
      <c r="H137" s="578"/>
      <c r="I137" s="578"/>
      <c r="J137" s="578"/>
      <c r="K137" s="578"/>
    </row>
    <row r="138" spans="1:11" s="177" customFormat="1" ht="12.75">
      <c r="A138" s="1089" t="s">
        <v>762</v>
      </c>
      <c r="B138" s="578"/>
      <c r="C138" s="578">
        <f>C119-H121</f>
        <v>0</v>
      </c>
      <c r="D138" s="578" t="e">
        <f>#REF!-#REF!</f>
        <v>#REF!</v>
      </c>
      <c r="E138" s="578">
        <f>E119-J121</f>
        <v>0</v>
      </c>
      <c r="F138" s="578"/>
      <c r="G138" s="579"/>
      <c r="H138" s="578"/>
      <c r="I138" s="578"/>
      <c r="J138" s="578"/>
      <c r="K138" s="578"/>
    </row>
    <row r="139" spans="1:11" s="177" customFormat="1" ht="12.75">
      <c r="A139" s="1089" t="s">
        <v>763</v>
      </c>
      <c r="B139" s="578"/>
      <c r="C139" s="578"/>
      <c r="D139" s="578"/>
      <c r="E139" s="578"/>
      <c r="F139" s="578"/>
      <c r="G139" s="673" t="s">
        <v>153</v>
      </c>
      <c r="H139" s="578"/>
      <c r="I139" s="578"/>
      <c r="J139" s="578"/>
      <c r="K139" s="578"/>
    </row>
    <row r="140" spans="1:11" s="177" customFormat="1" ht="12.75">
      <c r="A140" s="1090"/>
      <c r="B140" s="578"/>
      <c r="C140" s="578"/>
      <c r="D140" s="578"/>
      <c r="E140" s="578"/>
      <c r="F140" s="578"/>
      <c r="G140" s="579"/>
      <c r="H140" s="578"/>
      <c r="I140" s="578"/>
      <c r="J140" s="578"/>
      <c r="K140" s="578"/>
    </row>
    <row r="141" spans="1:11" s="40" customFormat="1" ht="12.75">
      <c r="A141" s="1089" t="s">
        <v>688</v>
      </c>
      <c r="B141" s="578"/>
      <c r="C141" s="578">
        <f>SUM(C138:C140)</f>
        <v>0</v>
      </c>
      <c r="D141" s="578" t="e">
        <f>SUM(D138:D140)</f>
        <v>#REF!</v>
      </c>
      <c r="E141" s="578">
        <f>SUM(E138:E140)</f>
        <v>0</v>
      </c>
      <c r="F141" s="578"/>
      <c r="G141" s="579"/>
      <c r="H141" s="578"/>
      <c r="I141" s="578"/>
      <c r="J141" s="578"/>
      <c r="K141" s="578"/>
    </row>
    <row r="142" spans="1:11" ht="14.25">
      <c r="B142" s="615"/>
      <c r="G142" s="615"/>
    </row>
    <row r="143" spans="1:11" s="40" customFormat="1" ht="12.75">
      <c r="A143" s="1088" t="s">
        <v>764</v>
      </c>
      <c r="B143" s="578"/>
      <c r="C143" s="578"/>
      <c r="D143" s="578"/>
      <c r="E143" s="578"/>
      <c r="F143" s="578"/>
      <c r="G143" s="579"/>
      <c r="H143" s="578"/>
      <c r="I143" s="578"/>
      <c r="J143" s="578"/>
      <c r="K143" s="578"/>
    </row>
    <row r="144" spans="1:11" s="177" customFormat="1" ht="12.75">
      <c r="A144" s="1089" t="s">
        <v>687</v>
      </c>
      <c r="B144" s="578"/>
      <c r="C144" s="578">
        <f>C108-H108</f>
        <v>0</v>
      </c>
      <c r="D144" s="578">
        <f>D126-I126</f>
        <v>0</v>
      </c>
      <c r="E144" s="578">
        <f>E108-J108</f>
        <v>0</v>
      </c>
      <c r="F144" s="578"/>
      <c r="G144" s="579"/>
      <c r="H144" s="578"/>
      <c r="I144" s="578"/>
      <c r="J144" s="578"/>
      <c r="K144" s="578"/>
    </row>
    <row r="145" spans="1:11" s="177" customFormat="1" ht="12.75">
      <c r="A145" s="1089" t="s">
        <v>765</v>
      </c>
      <c r="B145" s="578"/>
      <c r="C145" s="578"/>
      <c r="D145" s="578"/>
      <c r="E145" s="578"/>
      <c r="F145" s="578"/>
      <c r="G145" s="616"/>
      <c r="H145" s="578"/>
      <c r="I145" s="578"/>
      <c r="J145" s="578"/>
      <c r="K145" s="578"/>
    </row>
    <row r="146" spans="1:11" s="177" customFormat="1" ht="12.75">
      <c r="A146" s="1090"/>
      <c r="B146" s="578"/>
      <c r="C146" s="578"/>
      <c r="D146" s="578"/>
      <c r="E146" s="578"/>
      <c r="F146" s="578"/>
      <c r="G146" s="579"/>
      <c r="H146" s="578"/>
      <c r="I146" s="578"/>
      <c r="J146" s="578"/>
      <c r="K146" s="578"/>
    </row>
    <row r="147" spans="1:11" s="40" customFormat="1" ht="12.75">
      <c r="A147" s="1089" t="s">
        <v>688</v>
      </c>
      <c r="B147" s="578"/>
      <c r="C147" s="578">
        <f>SUM(C144:C146)</f>
        <v>0</v>
      </c>
      <c r="D147" s="578">
        <f>SUM(D144:D146)</f>
        <v>0</v>
      </c>
      <c r="E147" s="578">
        <f>SUM(E144:E146)</f>
        <v>0</v>
      </c>
      <c r="F147" s="578"/>
      <c r="G147" s="579"/>
      <c r="H147" s="578"/>
      <c r="I147" s="578"/>
      <c r="J147" s="578"/>
      <c r="K147" s="578"/>
    </row>
  </sheetData>
  <sheetProtection formatCells="0" insertRows="0" autoFilter="0" pivotTables="0"/>
  <mergeCells count="14">
    <mergeCell ref="G64:G65"/>
    <mergeCell ref="C64:F64"/>
    <mergeCell ref="H64:K64"/>
    <mergeCell ref="H4:K4"/>
    <mergeCell ref="A63:C63"/>
    <mergeCell ref="A64:A65"/>
    <mergeCell ref="B64:B65"/>
    <mergeCell ref="A1:K1"/>
    <mergeCell ref="A61:K61"/>
    <mergeCell ref="A3:C3"/>
    <mergeCell ref="A4:A5"/>
    <mergeCell ref="B4:B5"/>
    <mergeCell ref="C4:F4"/>
    <mergeCell ref="G4:G5"/>
  </mergeCells>
  <phoneticPr fontId="3" type="noConversion"/>
  <conditionalFormatting sqref="A63:C63 E63 G63:H63 A3:C3 E3 G3:H3">
    <cfRule type="cellIs" dxfId="31" priority="1" stopIfTrue="1" operator="equal">
      <formula>"            对不起，请到参数表中确定报表类型！"</formula>
    </cfRule>
    <cfRule type="cellIs" dxfId="30" priority="2" stopIfTrue="1" operator="equal">
      <formula>"对不起，试用期已到，请查看系统信息，并与作者联系。"</formula>
    </cfRule>
  </conditionalFormatting>
  <printOptions horizontalCentered="1" verticalCentered="1"/>
  <pageMargins left="0.59055118110236227" right="0.39370078740157483" top="0.28999999999999998" bottom="0.27" header="0.22" footer="0.35"/>
  <pageSetup paperSize="9" scale="95" fitToHeight="2" orientation="portrait" horizontalDpi="360" r:id="rId1"/>
  <headerFooter alignWithMargins="0"/>
  <rowBreaks count="1" manualBreakCount="1">
    <brk id="60" max="5"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pageSetUpPr fitToPage="1"/>
  </sheetPr>
  <dimension ref="A1:L109"/>
  <sheetViews>
    <sheetView showZeros="0" zoomScaleNormal="100" workbookViewId="0">
      <pane xSplit="1" ySplit="5" topLeftCell="B6" activePane="bottomRight" state="frozen"/>
      <selection activeCell="H6" sqref="H6"/>
      <selection pane="topRight" activeCell="H6" sqref="H6"/>
      <selection pane="bottomLeft" activeCell="H6" sqref="H6"/>
      <selection pane="bottomRight" activeCell="L20" sqref="L20"/>
    </sheetView>
  </sheetViews>
  <sheetFormatPr defaultColWidth="14.5" defaultRowHeight="14.25"/>
  <cols>
    <col min="1" max="1" width="38.375" style="959" customWidth="1"/>
    <col min="2" max="2" width="6.125" style="39" customWidth="1"/>
    <col min="3" max="3" width="13" style="38" bestFit="1" customWidth="1"/>
    <col min="4" max="4" width="0.375" style="38" customWidth="1"/>
    <col min="5" max="5" width="14.125" style="38" bestFit="1" customWidth="1"/>
    <col min="6" max="6" width="0.375" style="38" customWidth="1"/>
    <col min="7" max="7" width="7.25" style="39" bestFit="1" customWidth="1"/>
    <col min="8" max="8" width="13" style="38" bestFit="1" customWidth="1"/>
    <col min="9" max="9" width="0.5" style="38" customWidth="1"/>
    <col min="10" max="10" width="13.625" style="38" customWidth="1"/>
    <col min="11" max="11" width="0.5" style="38" customWidth="1"/>
    <col min="12" max="16384" width="14.5" style="38"/>
  </cols>
  <sheetData>
    <row r="1" spans="1:11" ht="18.75">
      <c r="A1" s="1201" t="s">
        <v>974</v>
      </c>
      <c r="B1" s="1201"/>
      <c r="C1" s="1201"/>
      <c r="D1" s="1201"/>
      <c r="E1" s="1201"/>
      <c r="F1" s="1201"/>
      <c r="G1" s="1201"/>
      <c r="H1" s="1201"/>
      <c r="I1" s="1201"/>
      <c r="J1" s="1201"/>
    </row>
    <row r="2" spans="1:11" ht="9.75" customHeight="1">
      <c r="A2" s="945"/>
      <c r="B2" s="116"/>
      <c r="C2" s="662"/>
      <c r="D2" s="663"/>
      <c r="E2" s="662"/>
      <c r="F2" s="663"/>
      <c r="G2" s="663"/>
      <c r="H2" s="662"/>
      <c r="I2" s="663"/>
      <c r="J2" s="662"/>
      <c r="K2" s="116"/>
    </row>
    <row r="3" spans="1:11" ht="15" thickBot="1">
      <c r="A3" s="1188" t="str">
        <f>IF(报表格式!G58="","    对不起，请到参数表中确定报表类型！",CONCATENATE(" 编制单位：",说明!E23))</f>
        <v xml:space="preserve"> 编制单位：</v>
      </c>
      <c r="B3" s="1188"/>
      <c r="C3" s="1188"/>
      <c r="D3" s="117"/>
      <c r="E3" s="118"/>
      <c r="F3" s="119"/>
      <c r="G3" s="38"/>
      <c r="I3" s="117"/>
      <c r="J3" s="118" t="str">
        <f>CONCATENATE("单位：",说明!$E$33)</f>
        <v>单位：人民币元</v>
      </c>
      <c r="K3" s="119"/>
    </row>
    <row r="4" spans="1:11" s="40" customFormat="1" ht="12.75">
      <c r="A4" s="1202" t="s">
        <v>253</v>
      </c>
      <c r="B4" s="1204" t="s">
        <v>254</v>
      </c>
      <c r="C4" s="1193" t="s">
        <v>577</v>
      </c>
      <c r="D4" s="1194"/>
      <c r="E4" s="1194"/>
      <c r="F4" s="1195"/>
      <c r="G4" s="1191" t="s">
        <v>220</v>
      </c>
      <c r="H4" s="1193" t="s">
        <v>578</v>
      </c>
      <c r="I4" s="1194"/>
      <c r="J4" s="1194"/>
      <c r="K4" s="1195"/>
    </row>
    <row r="5" spans="1:11" s="40" customFormat="1" ht="12.75">
      <c r="A5" s="1203"/>
      <c r="B5" s="1205"/>
      <c r="C5" s="465" t="str">
        <f>说明!E30</f>
        <v>2019年度</v>
      </c>
      <c r="D5" s="464"/>
      <c r="E5" s="465" t="str">
        <f>说明!E29</f>
        <v>2018年度</v>
      </c>
      <c r="F5" s="464"/>
      <c r="G5" s="1192"/>
      <c r="H5" s="465" t="str">
        <f>说明!E30</f>
        <v>2019年度</v>
      </c>
      <c r="I5" s="464"/>
      <c r="J5" s="465" t="str">
        <f>说明!E29</f>
        <v>2018年度</v>
      </c>
      <c r="K5" s="464"/>
    </row>
    <row r="6" spans="1:11" s="669" customFormat="1" ht="12.75">
      <c r="A6" s="949" t="str">
        <f>报表格式!L5</f>
        <v>一、营业收入</v>
      </c>
      <c r="B6" s="670"/>
      <c r="C6" s="154">
        <f>合并TB损益!K6</f>
        <v>0</v>
      </c>
      <c r="D6" s="156"/>
      <c r="E6" s="154">
        <f>上年PL审定!B6</f>
        <v>0</v>
      </c>
      <c r="F6" s="121"/>
      <c r="G6" s="670"/>
      <c r="H6" s="154">
        <f>母公司TB损益!K6</f>
        <v>0</v>
      </c>
      <c r="I6" s="156"/>
      <c r="J6" s="154">
        <f>上年PL审定!F6</f>
        <v>0</v>
      </c>
      <c r="K6" s="121"/>
    </row>
    <row r="7" spans="1:11" s="40" customFormat="1" ht="12.75">
      <c r="A7" s="950" t="str">
        <f>报表格式!L6</f>
        <v xml:space="preserve">        其中：主营业务收入</v>
      </c>
      <c r="B7" s="120"/>
      <c r="C7" s="150">
        <f>合并TB损益!K7</f>
        <v>0</v>
      </c>
      <c r="D7" s="152"/>
      <c r="E7" s="150">
        <f>上年PL审定!B7</f>
        <v>0</v>
      </c>
      <c r="F7" s="122"/>
      <c r="G7" s="120"/>
      <c r="H7" s="150">
        <f>母公司TB损益!K7</f>
        <v>0</v>
      </c>
      <c r="I7" s="152"/>
      <c r="J7" s="150">
        <f>上年PL审定!F7</f>
        <v>0</v>
      </c>
      <c r="K7" s="122"/>
    </row>
    <row r="8" spans="1:11" s="40" customFormat="1" ht="12.75">
      <c r="A8" s="950" t="str">
        <f>报表格式!L7</f>
        <v xml:space="preserve">              利息收入</v>
      </c>
      <c r="B8" s="120"/>
      <c r="C8" s="150">
        <f>合并TB损益!K8</f>
        <v>0</v>
      </c>
      <c r="D8" s="152"/>
      <c r="E8" s="150">
        <f>上年PL审定!B8</f>
        <v>0</v>
      </c>
      <c r="F8" s="122"/>
      <c r="G8" s="120"/>
      <c r="H8" s="150">
        <f>母公司TB损益!K8</f>
        <v>0</v>
      </c>
      <c r="I8" s="152"/>
      <c r="J8" s="150">
        <f>上年PL审定!F8</f>
        <v>0</v>
      </c>
      <c r="K8" s="122"/>
    </row>
    <row r="9" spans="1:11" s="40" customFormat="1" ht="12.75">
      <c r="A9" s="950" t="str">
        <f>报表格式!L8</f>
        <v xml:space="preserve">              已赚保费</v>
      </c>
      <c r="B9" s="120"/>
      <c r="C9" s="150">
        <f>合并TB损益!K9</f>
        <v>0</v>
      </c>
      <c r="D9" s="152"/>
      <c r="E9" s="150">
        <f>上年PL审定!B9</f>
        <v>0</v>
      </c>
      <c r="F9" s="122"/>
      <c r="G9" s="120"/>
      <c r="H9" s="150">
        <f>母公司TB损益!K9</f>
        <v>0</v>
      </c>
      <c r="I9" s="152"/>
      <c r="J9" s="150">
        <f>上年PL审定!F9</f>
        <v>0</v>
      </c>
      <c r="K9" s="122"/>
    </row>
    <row r="10" spans="1:11" s="40" customFormat="1" ht="12.75">
      <c r="A10" s="950" t="str">
        <f>报表格式!L9</f>
        <v xml:space="preserve">              手续费及佣金收入</v>
      </c>
      <c r="B10" s="120"/>
      <c r="C10" s="150">
        <f>合并TB损益!K10</f>
        <v>0</v>
      </c>
      <c r="D10" s="152"/>
      <c r="E10" s="150">
        <f>上年PL审定!B10</f>
        <v>0</v>
      </c>
      <c r="F10" s="122"/>
      <c r="G10" s="120"/>
      <c r="H10" s="150">
        <f>母公司TB损益!K10</f>
        <v>0</v>
      </c>
      <c r="I10" s="152"/>
      <c r="J10" s="150">
        <f>上年PL审定!F10</f>
        <v>0</v>
      </c>
      <c r="K10" s="122"/>
    </row>
    <row r="11" spans="1:11" s="40" customFormat="1" ht="12.75">
      <c r="A11" s="950" t="str">
        <f>报表格式!L10</f>
        <v xml:space="preserve">              其他业务收入</v>
      </c>
      <c r="B11" s="120"/>
      <c r="C11" s="150">
        <f>合并TB损益!K11</f>
        <v>0</v>
      </c>
      <c r="D11" s="152"/>
      <c r="E11" s="150">
        <f>上年PL审定!B11</f>
        <v>0</v>
      </c>
      <c r="F11" s="122"/>
      <c r="G11" s="120"/>
      <c r="H11" s="150">
        <f>母公司TB损益!K11</f>
        <v>0</v>
      </c>
      <c r="I11" s="152"/>
      <c r="J11" s="150">
        <f>上年PL审定!F11</f>
        <v>0</v>
      </c>
      <c r="K11" s="122"/>
    </row>
    <row r="12" spans="1:11" s="40" customFormat="1" ht="12.75">
      <c r="A12" s="950" t="str">
        <f>报表格式!L11</f>
        <v xml:space="preserve">    减：营业成本</v>
      </c>
      <c r="B12" s="120"/>
      <c r="C12" s="150">
        <f>合并TB损益!K12</f>
        <v>0</v>
      </c>
      <c r="D12" s="152"/>
      <c r="E12" s="150">
        <f>上年PL审定!B12</f>
        <v>0</v>
      </c>
      <c r="F12" s="122"/>
      <c r="G12" s="120"/>
      <c r="H12" s="150">
        <f>母公司TB损益!K12</f>
        <v>0</v>
      </c>
      <c r="I12" s="152"/>
      <c r="J12" s="150">
        <f>上年PL审定!F12</f>
        <v>0</v>
      </c>
      <c r="K12" s="122"/>
    </row>
    <row r="13" spans="1:11" s="40" customFormat="1" ht="12.75">
      <c r="A13" s="950" t="str">
        <f>报表格式!L12</f>
        <v xml:space="preserve">        其中：主营业务成本</v>
      </c>
      <c r="B13" s="120"/>
      <c r="C13" s="150">
        <f>合并TB损益!K13</f>
        <v>0</v>
      </c>
      <c r="D13" s="152"/>
      <c r="E13" s="150">
        <f>上年PL审定!B13</f>
        <v>0</v>
      </c>
      <c r="F13" s="122"/>
      <c r="G13" s="120"/>
      <c r="H13" s="150">
        <f>母公司TB损益!K13</f>
        <v>0</v>
      </c>
      <c r="I13" s="152"/>
      <c r="J13" s="150">
        <f>上年PL审定!F13</f>
        <v>0</v>
      </c>
      <c r="K13" s="122"/>
    </row>
    <row r="14" spans="1:11" s="40" customFormat="1" ht="12.75">
      <c r="A14" s="950" t="str">
        <f>报表格式!L13</f>
        <v xml:space="preserve">              利息支出</v>
      </c>
      <c r="B14" s="120"/>
      <c r="C14" s="150">
        <f>合并TB损益!K14</f>
        <v>0</v>
      </c>
      <c r="D14" s="152"/>
      <c r="E14" s="150">
        <f>上年PL审定!B14</f>
        <v>0</v>
      </c>
      <c r="F14" s="122"/>
      <c r="G14" s="120"/>
      <c r="H14" s="150">
        <f>母公司TB损益!K14</f>
        <v>0</v>
      </c>
      <c r="I14" s="152"/>
      <c r="J14" s="150">
        <f>上年PL审定!F14</f>
        <v>0</v>
      </c>
      <c r="K14" s="122"/>
    </row>
    <row r="15" spans="1:11" s="40" customFormat="1" ht="12.75">
      <c r="A15" s="950" t="str">
        <f>报表格式!L14</f>
        <v xml:space="preserve">              手续费及佣金支出</v>
      </c>
      <c r="B15" s="120"/>
      <c r="C15" s="150">
        <f>合并TB损益!K15</f>
        <v>0</v>
      </c>
      <c r="D15" s="152"/>
      <c r="E15" s="150">
        <f>上年PL审定!B15</f>
        <v>0</v>
      </c>
      <c r="F15" s="122"/>
      <c r="G15" s="120"/>
      <c r="H15" s="150">
        <f>母公司TB损益!K15</f>
        <v>0</v>
      </c>
      <c r="I15" s="152"/>
      <c r="J15" s="150">
        <f>上年PL审定!F15</f>
        <v>0</v>
      </c>
      <c r="K15" s="122"/>
    </row>
    <row r="16" spans="1:11" s="40" customFormat="1" ht="12.75">
      <c r="A16" s="950" t="str">
        <f>报表格式!L15</f>
        <v xml:space="preserve">              退保金</v>
      </c>
      <c r="B16" s="120"/>
      <c r="C16" s="150">
        <f>合并TB损益!K16</f>
        <v>0</v>
      </c>
      <c r="D16" s="152"/>
      <c r="E16" s="150">
        <f>上年PL审定!B16</f>
        <v>0</v>
      </c>
      <c r="F16" s="122"/>
      <c r="G16" s="120"/>
      <c r="H16" s="150">
        <f>母公司TB损益!K16</f>
        <v>0</v>
      </c>
      <c r="I16" s="152"/>
      <c r="J16" s="150">
        <f>上年PL审定!F16</f>
        <v>0</v>
      </c>
      <c r="K16" s="122"/>
    </row>
    <row r="17" spans="1:11" s="40" customFormat="1" ht="12.75">
      <c r="A17" s="950" t="str">
        <f>报表格式!L16</f>
        <v xml:space="preserve">              赔付支出净额</v>
      </c>
      <c r="B17" s="120"/>
      <c r="C17" s="150">
        <f>合并TB损益!K17</f>
        <v>0</v>
      </c>
      <c r="D17" s="152"/>
      <c r="E17" s="150">
        <f>上年PL审定!B17</f>
        <v>0</v>
      </c>
      <c r="F17" s="122"/>
      <c r="G17" s="120"/>
      <c r="H17" s="150">
        <f>母公司TB损益!K17</f>
        <v>0</v>
      </c>
      <c r="I17" s="152"/>
      <c r="J17" s="150">
        <f>上年PL审定!F17</f>
        <v>0</v>
      </c>
      <c r="K17" s="122"/>
    </row>
    <row r="18" spans="1:11" s="40" customFormat="1" ht="12.75">
      <c r="A18" s="950" t="str">
        <f>报表格式!L17</f>
        <v xml:space="preserve">              提取保险合同准备金净额</v>
      </c>
      <c r="B18" s="120"/>
      <c r="C18" s="150">
        <f>合并TB损益!K18</f>
        <v>0</v>
      </c>
      <c r="D18" s="152"/>
      <c r="E18" s="150">
        <f>上年PL审定!B18</f>
        <v>0</v>
      </c>
      <c r="F18" s="122"/>
      <c r="G18" s="120"/>
      <c r="H18" s="150">
        <f>母公司TB损益!K18</f>
        <v>0</v>
      </c>
      <c r="I18" s="152"/>
      <c r="J18" s="150">
        <f>上年PL审定!F18</f>
        <v>0</v>
      </c>
      <c r="K18" s="122"/>
    </row>
    <row r="19" spans="1:11" s="40" customFormat="1" ht="12.75">
      <c r="A19" s="950" t="str">
        <f>报表格式!L18</f>
        <v xml:space="preserve">              保单红利支出</v>
      </c>
      <c r="B19" s="120"/>
      <c r="C19" s="150">
        <f>合并TB损益!K19</f>
        <v>0</v>
      </c>
      <c r="D19" s="152"/>
      <c r="E19" s="150">
        <f>上年PL审定!B19</f>
        <v>0</v>
      </c>
      <c r="F19" s="122"/>
      <c r="G19" s="120"/>
      <c r="H19" s="150">
        <f>母公司TB损益!K19</f>
        <v>0</v>
      </c>
      <c r="I19" s="152"/>
      <c r="J19" s="150">
        <f>上年PL审定!F19</f>
        <v>0</v>
      </c>
      <c r="K19" s="122"/>
    </row>
    <row r="20" spans="1:11" s="40" customFormat="1" ht="12.75">
      <c r="A20" s="950" t="str">
        <f>报表格式!L19</f>
        <v xml:space="preserve">              分保费用</v>
      </c>
      <c r="B20" s="120"/>
      <c r="C20" s="150">
        <f>合并TB损益!K20</f>
        <v>0</v>
      </c>
      <c r="D20" s="152"/>
      <c r="E20" s="150">
        <f>上年PL审定!B20</f>
        <v>0</v>
      </c>
      <c r="F20" s="122"/>
      <c r="G20" s="120"/>
      <c r="H20" s="150">
        <f>母公司TB损益!K20</f>
        <v>0</v>
      </c>
      <c r="I20" s="152"/>
      <c r="J20" s="150">
        <f>上年PL审定!F20</f>
        <v>0</v>
      </c>
      <c r="K20" s="122"/>
    </row>
    <row r="21" spans="1:11" s="40" customFormat="1" ht="12.75">
      <c r="A21" s="950" t="str">
        <f>报表格式!L20</f>
        <v xml:space="preserve">              其他业务成本</v>
      </c>
      <c r="B21" s="120"/>
      <c r="C21" s="150">
        <f>合并TB损益!K21</f>
        <v>0</v>
      </c>
      <c r="D21" s="152"/>
      <c r="E21" s="150">
        <f>上年PL审定!B21</f>
        <v>0</v>
      </c>
      <c r="F21" s="122"/>
      <c r="G21" s="120"/>
      <c r="H21" s="150">
        <f>母公司TB损益!K21</f>
        <v>0</v>
      </c>
      <c r="I21" s="152"/>
      <c r="J21" s="150">
        <f>上年PL审定!F21</f>
        <v>0</v>
      </c>
      <c r="K21" s="122"/>
    </row>
    <row r="22" spans="1:11" s="40" customFormat="1" ht="12.75">
      <c r="A22" s="950" t="str">
        <f>报表格式!L21</f>
        <v xml:space="preserve">        税金及附加</v>
      </c>
      <c r="B22" s="120"/>
      <c r="C22" s="150">
        <f>合并TB损益!K22</f>
        <v>0</v>
      </c>
      <c r="D22" s="152"/>
      <c r="E22" s="150">
        <f>上年PL审定!B22</f>
        <v>0</v>
      </c>
      <c r="F22" s="122"/>
      <c r="G22" s="120"/>
      <c r="H22" s="150">
        <f>母公司TB损益!K22</f>
        <v>0</v>
      </c>
      <c r="I22" s="152"/>
      <c r="J22" s="150">
        <f>上年PL审定!F22</f>
        <v>0</v>
      </c>
      <c r="K22" s="122"/>
    </row>
    <row r="23" spans="1:11" s="40" customFormat="1" ht="12.75">
      <c r="A23" s="950" t="str">
        <f>报表格式!L22</f>
        <v xml:space="preserve">        销售费用</v>
      </c>
      <c r="B23" s="120"/>
      <c r="C23" s="150">
        <f>合并TB损益!K23</f>
        <v>0</v>
      </c>
      <c r="D23" s="152"/>
      <c r="E23" s="150">
        <f>上年PL审定!B23</f>
        <v>0</v>
      </c>
      <c r="F23" s="122"/>
      <c r="G23" s="120"/>
      <c r="H23" s="150">
        <f>母公司TB损益!K23</f>
        <v>0</v>
      </c>
      <c r="I23" s="152"/>
      <c r="J23" s="150">
        <f>上年PL审定!F23</f>
        <v>0</v>
      </c>
      <c r="K23" s="122"/>
    </row>
    <row r="24" spans="1:11" s="40" customFormat="1" ht="12.75">
      <c r="A24" s="950" t="str">
        <f>报表格式!L23</f>
        <v xml:space="preserve">        管理费用</v>
      </c>
      <c r="B24" s="120"/>
      <c r="C24" s="150">
        <f>合并TB损益!K24</f>
        <v>0</v>
      </c>
      <c r="D24" s="152"/>
      <c r="E24" s="150">
        <f>上年PL审定!B24</f>
        <v>0</v>
      </c>
      <c r="F24" s="122"/>
      <c r="G24" s="120"/>
      <c r="H24" s="150">
        <f>母公司TB损益!K24</f>
        <v>0</v>
      </c>
      <c r="I24" s="152"/>
      <c r="J24" s="150">
        <f>上年PL审定!F24</f>
        <v>0</v>
      </c>
      <c r="K24" s="122"/>
    </row>
    <row r="25" spans="1:11" s="40" customFormat="1" ht="12.75">
      <c r="A25" s="950" t="str">
        <f>报表格式!L24</f>
        <v xml:space="preserve">        研发费用</v>
      </c>
      <c r="B25" s="120"/>
      <c r="C25" s="150">
        <f>合并TB损益!K25</f>
        <v>0</v>
      </c>
      <c r="D25" s="152"/>
      <c r="E25" s="150">
        <f>上年PL审定!B25</f>
        <v>0</v>
      </c>
      <c r="F25" s="122"/>
      <c r="G25" s="120"/>
      <c r="H25" s="150">
        <f>母公司TB损益!K25</f>
        <v>0</v>
      </c>
      <c r="I25" s="152"/>
      <c r="J25" s="150">
        <f>上年PL审定!F25</f>
        <v>0</v>
      </c>
      <c r="K25" s="122"/>
    </row>
    <row r="26" spans="1:11" s="40" customFormat="1" ht="12.75">
      <c r="A26" s="950" t="str">
        <f>报表格式!L25</f>
        <v xml:space="preserve">        财务费用</v>
      </c>
      <c r="B26" s="120"/>
      <c r="C26" s="150">
        <f>合并TB损益!K26</f>
        <v>0</v>
      </c>
      <c r="D26" s="152"/>
      <c r="E26" s="150">
        <f>上年PL审定!B26</f>
        <v>0</v>
      </c>
      <c r="F26" s="122"/>
      <c r="G26" s="120"/>
      <c r="H26" s="150">
        <f>母公司TB损益!K26</f>
        <v>0</v>
      </c>
      <c r="I26" s="152"/>
      <c r="J26" s="150">
        <f>上年PL审定!F26</f>
        <v>0</v>
      </c>
      <c r="K26" s="122"/>
    </row>
    <row r="27" spans="1:11" s="40" customFormat="1" ht="12.75">
      <c r="A27" s="950" t="str">
        <f>报表格式!L26</f>
        <v xml:space="preserve">        其中：利息费用</v>
      </c>
      <c r="B27" s="120"/>
      <c r="C27" s="150">
        <f>合并TB损益!K27</f>
        <v>0</v>
      </c>
      <c r="D27" s="152"/>
      <c r="E27" s="150">
        <f>上年PL审定!B27</f>
        <v>0</v>
      </c>
      <c r="F27" s="122"/>
      <c r="G27" s="120"/>
      <c r="H27" s="150">
        <f>母公司TB损益!K27</f>
        <v>0</v>
      </c>
      <c r="I27" s="152"/>
      <c r="J27" s="150">
        <f>上年PL审定!F27</f>
        <v>0</v>
      </c>
      <c r="K27" s="122"/>
    </row>
    <row r="28" spans="1:11" s="40" customFormat="1" ht="12.75">
      <c r="A28" s="950" t="str">
        <f>报表格式!L27</f>
        <v xml:space="preserve">              利息收入</v>
      </c>
      <c r="B28" s="120"/>
      <c r="C28" s="150">
        <f>合并TB损益!K28</f>
        <v>0</v>
      </c>
      <c r="D28" s="152"/>
      <c r="E28" s="150">
        <f>上年PL审定!B28</f>
        <v>0</v>
      </c>
      <c r="F28" s="122"/>
      <c r="G28" s="120"/>
      <c r="H28" s="150">
        <f>母公司TB损益!K28</f>
        <v>0</v>
      </c>
      <c r="I28" s="152"/>
      <c r="J28" s="150">
        <f>上年PL审定!F28</f>
        <v>0</v>
      </c>
      <c r="K28" s="121"/>
    </row>
    <row r="29" spans="1:11" s="40" customFormat="1" ht="12.75">
      <c r="A29" s="950" t="str">
        <f>报表格式!L28</f>
        <v xml:space="preserve">    加：其他收益</v>
      </c>
      <c r="B29" s="120"/>
      <c r="C29" s="150">
        <f>合并TB损益!K29</f>
        <v>0</v>
      </c>
      <c r="D29" s="152"/>
      <c r="E29" s="150">
        <f>上年PL审定!B29</f>
        <v>0</v>
      </c>
      <c r="F29" s="122"/>
      <c r="G29" s="120"/>
      <c r="H29" s="150">
        <f>母公司TB损益!K29</f>
        <v>0</v>
      </c>
      <c r="I29" s="152"/>
      <c r="J29" s="150">
        <f>上年PL审定!F29</f>
        <v>0</v>
      </c>
      <c r="K29" s="122"/>
    </row>
    <row r="30" spans="1:11" s="40" customFormat="1" ht="12.75">
      <c r="A30" s="950" t="str">
        <f>报表格式!L29</f>
        <v xml:space="preserve">        投资收益（损失以“－”号填列）</v>
      </c>
      <c r="B30" s="120"/>
      <c r="C30" s="150">
        <f>合并TB损益!K30</f>
        <v>0</v>
      </c>
      <c r="D30" s="152"/>
      <c r="E30" s="150">
        <f>上年PL审定!B30</f>
        <v>0</v>
      </c>
      <c r="F30" s="122"/>
      <c r="G30" s="120"/>
      <c r="H30" s="150">
        <f>母公司TB损益!K30</f>
        <v>0</v>
      </c>
      <c r="I30" s="152"/>
      <c r="J30" s="150">
        <f>上年PL审定!F30</f>
        <v>0</v>
      </c>
      <c r="K30" s="122"/>
    </row>
    <row r="31" spans="1:11" s="40" customFormat="1" ht="12.75">
      <c r="A31" s="950" t="str">
        <f>报表格式!L30</f>
        <v xml:space="preserve">        其中：对联营企业和合营企业的投资收益</v>
      </c>
      <c r="B31" s="120"/>
      <c r="C31" s="150">
        <f>合并TB损益!K31</f>
        <v>0</v>
      </c>
      <c r="D31" s="152"/>
      <c r="E31" s="150">
        <f>上年PL审定!B31</f>
        <v>0</v>
      </c>
      <c r="F31" s="122"/>
      <c r="G31" s="120"/>
      <c r="H31" s="150">
        <f>母公司TB损益!K31</f>
        <v>0</v>
      </c>
      <c r="I31" s="152"/>
      <c r="J31" s="150">
        <f>上年PL审定!F31</f>
        <v>0</v>
      </c>
      <c r="K31" s="122"/>
    </row>
    <row r="32" spans="1:11" s="40" customFormat="1" ht="12.75">
      <c r="A32" s="950" t="str">
        <f>报表格式!L31</f>
        <v xml:space="preserve">              以摊余成本计量的金融资产终止确认收益（损失以“-”号填列）</v>
      </c>
      <c r="B32" s="120"/>
      <c r="C32" s="150">
        <f>合并TB损益!K32</f>
        <v>0</v>
      </c>
      <c r="D32" s="152"/>
      <c r="E32" s="150">
        <f>上年PL审定!B32</f>
        <v>0</v>
      </c>
      <c r="F32" s="122"/>
      <c r="G32" s="120"/>
      <c r="H32" s="150">
        <f>母公司TB损益!K32</f>
        <v>0</v>
      </c>
      <c r="I32" s="152"/>
      <c r="J32" s="150">
        <f>上年PL审定!F32</f>
        <v>0</v>
      </c>
      <c r="K32" s="122"/>
    </row>
    <row r="33" spans="1:11" s="40" customFormat="1" ht="12.75">
      <c r="A33" s="950" t="str">
        <f>报表格式!L32</f>
        <v xml:space="preserve">        净敞口套期收益（损失以“-”号填列）</v>
      </c>
      <c r="B33" s="120"/>
      <c r="C33" s="150">
        <f>合并TB损益!K33</f>
        <v>0</v>
      </c>
      <c r="D33" s="152"/>
      <c r="E33" s="150">
        <f>上年PL审定!B33</f>
        <v>0</v>
      </c>
      <c r="F33" s="122"/>
      <c r="G33" s="120"/>
      <c r="H33" s="150">
        <f>母公司TB损益!K33</f>
        <v>0</v>
      </c>
      <c r="I33" s="152"/>
      <c r="J33" s="150">
        <f>上年PL审定!F33</f>
        <v>0</v>
      </c>
      <c r="K33" s="122"/>
    </row>
    <row r="34" spans="1:11" s="40" customFormat="1" ht="12.75">
      <c r="A34" s="950" t="str">
        <f>报表格式!L33</f>
        <v xml:space="preserve">        公允价值变动收益（损失以“－”号填列）</v>
      </c>
      <c r="B34" s="120"/>
      <c r="C34" s="150">
        <f>合并TB损益!K34</f>
        <v>0</v>
      </c>
      <c r="D34" s="152"/>
      <c r="E34" s="150">
        <f>上年PL审定!B34</f>
        <v>0</v>
      </c>
      <c r="F34" s="122"/>
      <c r="G34" s="120"/>
      <c r="H34" s="150">
        <f>母公司TB损益!K34</f>
        <v>0</v>
      </c>
      <c r="I34" s="152"/>
      <c r="J34" s="150">
        <f>上年PL审定!F34</f>
        <v>0</v>
      </c>
      <c r="K34" s="122"/>
    </row>
    <row r="35" spans="1:11" s="40" customFormat="1" ht="12.75">
      <c r="A35" s="950" t="str">
        <f>报表格式!L34</f>
        <v xml:space="preserve">        信用减值损失(损失以“-”号填列）</v>
      </c>
      <c r="B35" s="120"/>
      <c r="C35" s="150">
        <f>合并TB损益!K35</f>
        <v>0</v>
      </c>
      <c r="D35" s="152"/>
      <c r="E35" s="150">
        <f>上年PL审定!B35</f>
        <v>0</v>
      </c>
      <c r="F35" s="122"/>
      <c r="G35" s="120"/>
      <c r="H35" s="150">
        <f>母公司TB损益!K35</f>
        <v>0</v>
      </c>
      <c r="I35" s="152"/>
      <c r="J35" s="150">
        <f>上年PL审定!F35</f>
        <v>0</v>
      </c>
      <c r="K35" s="122"/>
    </row>
    <row r="36" spans="1:11" s="40" customFormat="1" ht="12.75">
      <c r="A36" s="950" t="str">
        <f>报表格式!L35</f>
        <v xml:space="preserve">        资产减值损失(损失以“-”号填列）</v>
      </c>
      <c r="B36" s="120"/>
      <c r="C36" s="150">
        <f>合并TB损益!K36</f>
        <v>0</v>
      </c>
      <c r="D36" s="152"/>
      <c r="E36" s="150">
        <f>上年PL审定!B36</f>
        <v>0</v>
      </c>
      <c r="F36" s="122"/>
      <c r="G36" s="120"/>
      <c r="H36" s="150">
        <f>母公司TB损益!K36</f>
        <v>0</v>
      </c>
      <c r="I36" s="152"/>
      <c r="J36" s="150">
        <f>上年PL审定!F36</f>
        <v>0</v>
      </c>
      <c r="K36" s="122"/>
    </row>
    <row r="37" spans="1:11" s="40" customFormat="1" ht="12.75">
      <c r="A37" s="950" t="str">
        <f>报表格式!L36</f>
        <v xml:space="preserve">        资产处置收益(损失以“-”号填列）</v>
      </c>
      <c r="B37" s="120"/>
      <c r="C37" s="150">
        <f>合并TB损益!K37</f>
        <v>0</v>
      </c>
      <c r="D37" s="152"/>
      <c r="E37" s="150">
        <f>上年PL审定!B37</f>
        <v>0</v>
      </c>
      <c r="F37" s="122"/>
      <c r="G37" s="120"/>
      <c r="H37" s="150">
        <f>母公司TB损益!K37</f>
        <v>0</v>
      </c>
      <c r="I37" s="152"/>
      <c r="J37" s="150">
        <f>上年PL审定!F37</f>
        <v>0</v>
      </c>
      <c r="K37" s="122"/>
    </row>
    <row r="38" spans="1:11" s="669" customFormat="1" ht="12.75">
      <c r="A38" s="949" t="str">
        <f>报表格式!L37</f>
        <v>二、营业利润（亏损以“－”号填列）</v>
      </c>
      <c r="B38" s="670"/>
      <c r="C38" s="154">
        <f>合并TB损益!K38</f>
        <v>0</v>
      </c>
      <c r="D38" s="156"/>
      <c r="E38" s="154">
        <f>上年PL审定!B38</f>
        <v>0</v>
      </c>
      <c r="F38" s="121"/>
      <c r="G38" s="670"/>
      <c r="H38" s="154">
        <f>母公司TB损益!K38</f>
        <v>0</v>
      </c>
      <c r="I38" s="156"/>
      <c r="J38" s="154">
        <f>上年PL审定!F38</f>
        <v>0</v>
      </c>
      <c r="K38" s="121"/>
    </row>
    <row r="39" spans="1:11" s="40" customFormat="1" ht="12.75">
      <c r="A39" s="950" t="str">
        <f>报表格式!L38</f>
        <v xml:space="preserve">    加：营业外收入</v>
      </c>
      <c r="B39" s="120"/>
      <c r="C39" s="150">
        <f>合并TB损益!K39</f>
        <v>0</v>
      </c>
      <c r="D39" s="152"/>
      <c r="E39" s="150">
        <f>上年PL审定!B39</f>
        <v>0</v>
      </c>
      <c r="F39" s="122"/>
      <c r="G39" s="120"/>
      <c r="H39" s="150">
        <f>母公司TB损益!K39</f>
        <v>0</v>
      </c>
      <c r="I39" s="152"/>
      <c r="J39" s="150">
        <f>上年PL审定!F39</f>
        <v>0</v>
      </c>
      <c r="K39" s="122"/>
    </row>
    <row r="40" spans="1:11" s="40" customFormat="1" ht="12.75">
      <c r="A40" s="950" t="str">
        <f>报表格式!L39</f>
        <v xml:space="preserve">    减：营业外支出</v>
      </c>
      <c r="B40" s="120"/>
      <c r="C40" s="150">
        <f>合并TB损益!K40</f>
        <v>0</v>
      </c>
      <c r="D40" s="152"/>
      <c r="E40" s="150">
        <f>上年PL审定!B40</f>
        <v>0</v>
      </c>
      <c r="F40" s="122"/>
      <c r="G40" s="120"/>
      <c r="H40" s="150">
        <f>母公司TB损益!K40</f>
        <v>0</v>
      </c>
      <c r="I40" s="152"/>
      <c r="J40" s="150">
        <f>上年PL审定!F40</f>
        <v>0</v>
      </c>
      <c r="K40" s="122"/>
    </row>
    <row r="41" spans="1:11" s="669" customFormat="1" ht="12.75">
      <c r="A41" s="949" t="str">
        <f>报表格式!L40</f>
        <v>三、利润总额（亏损总额以“－”号填列）</v>
      </c>
      <c r="B41" s="670"/>
      <c r="C41" s="154">
        <f>合并TB损益!K41</f>
        <v>0</v>
      </c>
      <c r="D41" s="156"/>
      <c r="E41" s="154">
        <f>上年PL审定!B41</f>
        <v>0</v>
      </c>
      <c r="F41" s="121"/>
      <c r="G41" s="670"/>
      <c r="H41" s="154">
        <f>母公司TB损益!K41</f>
        <v>0</v>
      </c>
      <c r="I41" s="156"/>
      <c r="J41" s="154">
        <f>上年PL审定!F41</f>
        <v>0</v>
      </c>
      <c r="K41" s="121"/>
    </row>
    <row r="42" spans="1:11" s="40" customFormat="1" ht="12.75">
      <c r="A42" s="950" t="str">
        <f>报表格式!L41</f>
        <v xml:space="preserve">    减：所得税费用</v>
      </c>
      <c r="B42" s="120"/>
      <c r="C42" s="150">
        <f>合并TB损益!K42</f>
        <v>0</v>
      </c>
      <c r="D42" s="152"/>
      <c r="E42" s="150">
        <f>上年PL审定!B42</f>
        <v>0</v>
      </c>
      <c r="F42" s="122"/>
      <c r="G42" s="120"/>
      <c r="H42" s="150">
        <f>母公司TB损益!K42</f>
        <v>0</v>
      </c>
      <c r="I42" s="152"/>
      <c r="J42" s="150">
        <f>上年PL审定!F42</f>
        <v>0</v>
      </c>
      <c r="K42" s="122"/>
    </row>
    <row r="43" spans="1:11" s="40" customFormat="1" ht="12.75">
      <c r="A43" s="950">
        <f>报表格式!L42</f>
        <v>0</v>
      </c>
      <c r="B43" s="120"/>
      <c r="C43" s="150">
        <f>合并TB损益!K43</f>
        <v>0</v>
      </c>
      <c r="D43" s="152"/>
      <c r="E43" s="150">
        <f>上年PL审定!B43</f>
        <v>0</v>
      </c>
      <c r="F43" s="122"/>
      <c r="G43" s="120"/>
      <c r="H43" s="150">
        <f>母公司TB损益!K43</f>
        <v>0</v>
      </c>
      <c r="I43" s="152"/>
      <c r="J43" s="150">
        <f>上年PL审定!F43</f>
        <v>0</v>
      </c>
      <c r="K43" s="122"/>
    </row>
    <row r="44" spans="1:11" s="669" customFormat="1" ht="12.75">
      <c r="A44" s="949" t="str">
        <f>报表格式!L43</f>
        <v>四、净利润（净亏损以“－”号填列）</v>
      </c>
      <c r="B44" s="670"/>
      <c r="C44" s="154">
        <f>合并TB损益!K44</f>
        <v>0</v>
      </c>
      <c r="D44" s="156"/>
      <c r="E44" s="154">
        <f>上年PL审定!B44</f>
        <v>0</v>
      </c>
      <c r="F44" s="121"/>
      <c r="G44" s="670"/>
      <c r="H44" s="154">
        <f>母公司TB损益!K44</f>
        <v>0</v>
      </c>
      <c r="I44" s="156"/>
      <c r="J44" s="154">
        <f>上年PL审定!F44</f>
        <v>0</v>
      </c>
      <c r="K44" s="121"/>
    </row>
    <row r="45" spans="1:11" s="40" customFormat="1" ht="12.75">
      <c r="A45" s="950" t="str">
        <f>报表格式!L44</f>
        <v xml:space="preserve"> （一）按经营持续性分类</v>
      </c>
      <c r="B45" s="120"/>
      <c r="C45" s="150"/>
      <c r="D45" s="152"/>
      <c r="E45" s="150"/>
      <c r="F45" s="122"/>
      <c r="G45" s="120"/>
      <c r="H45" s="150"/>
      <c r="I45" s="152"/>
      <c r="J45" s="150"/>
      <c r="K45" s="122"/>
    </row>
    <row r="46" spans="1:11" s="40" customFormat="1" ht="12.75">
      <c r="A46" s="950" t="str">
        <f>报表格式!L45</f>
        <v xml:space="preserve">     其中：持续经营净利润（净亏损以“-”号填列）</v>
      </c>
      <c r="B46" s="120"/>
      <c r="C46" s="150">
        <f>合并TB损益!K46</f>
        <v>0</v>
      </c>
      <c r="D46" s="152"/>
      <c r="E46" s="150">
        <f>上年PL审定!B46</f>
        <v>0</v>
      </c>
      <c r="F46" s="122"/>
      <c r="G46" s="120"/>
      <c r="H46" s="150">
        <f>母公司TB损益!K46</f>
        <v>0</v>
      </c>
      <c r="I46" s="152"/>
      <c r="J46" s="150">
        <f>上年PL审定!F46</f>
        <v>0</v>
      </c>
      <c r="K46" s="122"/>
    </row>
    <row r="47" spans="1:11" s="40" customFormat="1" ht="12.75">
      <c r="A47" s="950" t="str">
        <f>报表格式!L46</f>
        <v xml:space="preserve">                 终止经营净利润（净亏损以“-”号填列）</v>
      </c>
      <c r="B47" s="120"/>
      <c r="C47" s="150">
        <f>合并TB损益!K47</f>
        <v>0</v>
      </c>
      <c r="D47" s="152"/>
      <c r="E47" s="150">
        <f>上年PL审定!B47</f>
        <v>0</v>
      </c>
      <c r="F47" s="122"/>
      <c r="G47" s="120"/>
      <c r="H47" s="150">
        <f>母公司TB损益!K47</f>
        <v>0</v>
      </c>
      <c r="I47" s="152"/>
      <c r="J47" s="150">
        <f>上年PL审定!F47</f>
        <v>0</v>
      </c>
      <c r="K47" s="122"/>
    </row>
    <row r="48" spans="1:11" s="40" customFormat="1" ht="12.75">
      <c r="A48" s="950" t="str">
        <f>报表格式!L47</f>
        <v xml:space="preserve"> （二）按所有权归属分类</v>
      </c>
      <c r="B48" s="120"/>
      <c r="C48" s="150"/>
      <c r="D48" s="152"/>
      <c r="E48" s="150"/>
      <c r="F48" s="122"/>
      <c r="G48" s="120"/>
      <c r="H48" s="150"/>
      <c r="I48" s="152"/>
      <c r="J48" s="150"/>
      <c r="K48" s="122"/>
    </row>
    <row r="49" spans="1:12" s="40" customFormat="1" ht="12.75">
      <c r="A49" s="950" t="str">
        <f>报表格式!L48</f>
        <v xml:space="preserve">     其中：归属于母公司股东的净利润（净亏损以“-”号填列）</v>
      </c>
      <c r="B49" s="120"/>
      <c r="C49" s="150">
        <f>合并TB损益!K49</f>
        <v>0</v>
      </c>
      <c r="D49" s="152"/>
      <c r="E49" s="150">
        <f>上年PL审定!B49</f>
        <v>0</v>
      </c>
      <c r="F49" s="122"/>
      <c r="G49" s="120"/>
      <c r="H49" s="150">
        <f>母公司TB损益!K49</f>
        <v>0</v>
      </c>
      <c r="I49" s="152"/>
      <c r="J49" s="150">
        <f>上年PL审定!F49</f>
        <v>0</v>
      </c>
      <c r="K49" s="122"/>
    </row>
    <row r="50" spans="1:12" s="669" customFormat="1" ht="12.75">
      <c r="A50" s="950" t="str">
        <f>报表格式!L49</f>
        <v xml:space="preserve">                少数股东损益（净亏损以“-”号填列）</v>
      </c>
      <c r="B50" s="670"/>
      <c r="C50" s="150">
        <f>合并TB损益!K50</f>
        <v>0</v>
      </c>
      <c r="D50" s="152"/>
      <c r="E50" s="150">
        <f>上年PL审定!B50</f>
        <v>0</v>
      </c>
      <c r="F50" s="122"/>
      <c r="G50" s="120"/>
      <c r="H50" s="150">
        <f>母公司TB损益!K50</f>
        <v>0</v>
      </c>
      <c r="I50" s="152"/>
      <c r="J50" s="150">
        <f>上年PL审定!F50</f>
        <v>0</v>
      </c>
      <c r="K50" s="121"/>
    </row>
    <row r="51" spans="1:12" s="669" customFormat="1" ht="12.75">
      <c r="A51" s="949" t="str">
        <f>报表格式!L50</f>
        <v>五、其他综合收益的税后净额</v>
      </c>
      <c r="B51" s="670"/>
      <c r="C51" s="154">
        <f>合并TB损益!K51</f>
        <v>0</v>
      </c>
      <c r="D51" s="156"/>
      <c r="E51" s="154">
        <f>上年PL审定!B51</f>
        <v>0</v>
      </c>
      <c r="F51" s="121"/>
      <c r="G51" s="670"/>
      <c r="H51" s="154">
        <f>母公司TB损益!K51</f>
        <v>0</v>
      </c>
      <c r="I51" s="156"/>
      <c r="J51" s="154">
        <f>上年PL审定!F51</f>
        <v>0</v>
      </c>
      <c r="K51" s="121"/>
    </row>
    <row r="52" spans="1:12" s="40" customFormat="1" ht="12.75">
      <c r="A52" s="950" t="str">
        <f>报表格式!L51</f>
        <v>归属于母公司股东的其他综合收益的税后净额</v>
      </c>
      <c r="B52" s="670"/>
      <c r="C52" s="150">
        <f>合并TB损益!K52</f>
        <v>0</v>
      </c>
      <c r="D52" s="152"/>
      <c r="E52" s="150">
        <f>上年PL审定!B52</f>
        <v>0</v>
      </c>
      <c r="F52" s="122"/>
      <c r="G52" s="120"/>
      <c r="H52" s="150">
        <f>母公司TB损益!K52</f>
        <v>0</v>
      </c>
      <c r="I52" s="152"/>
      <c r="J52" s="150">
        <f>上年PL审定!F52</f>
        <v>0</v>
      </c>
      <c r="K52" s="121"/>
      <c r="L52" s="669"/>
    </row>
    <row r="53" spans="1:12" s="40" customFormat="1" ht="12.75">
      <c r="A53" s="950" t="str">
        <f>报表格式!L52</f>
        <v xml:space="preserve">  （一）不能重分类进损益的其他综合收益</v>
      </c>
      <c r="B53" s="670"/>
      <c r="C53" s="150">
        <f>合并TB损益!K53</f>
        <v>0</v>
      </c>
      <c r="D53" s="152"/>
      <c r="E53" s="150">
        <f>上年PL审定!B53</f>
        <v>0</v>
      </c>
      <c r="F53" s="122"/>
      <c r="G53" s="120"/>
      <c r="H53" s="150">
        <f>母公司TB损益!K53</f>
        <v>0</v>
      </c>
      <c r="I53" s="152"/>
      <c r="J53" s="150">
        <f>上年PL审定!F53</f>
        <v>0</v>
      </c>
      <c r="K53" s="121"/>
      <c r="L53" s="669"/>
    </row>
    <row r="54" spans="1:12" s="40" customFormat="1" ht="12.75">
      <c r="A54" s="951" t="str">
        <f>报表格式!L53</f>
        <v>1.重新计量设定受益计划变动额</v>
      </c>
      <c r="B54" s="670"/>
      <c r="C54" s="150">
        <f>合并TB损益!K54</f>
        <v>0</v>
      </c>
      <c r="D54" s="152"/>
      <c r="E54" s="150">
        <f>上年PL审定!B54</f>
        <v>0</v>
      </c>
      <c r="F54" s="122"/>
      <c r="G54" s="120"/>
      <c r="H54" s="150">
        <f>母公司TB损益!K54</f>
        <v>0</v>
      </c>
      <c r="I54" s="152"/>
      <c r="J54" s="150">
        <f>上年PL审定!F54</f>
        <v>0</v>
      </c>
      <c r="K54" s="121"/>
      <c r="L54" s="669"/>
    </row>
    <row r="55" spans="1:12" s="40" customFormat="1" ht="12.75">
      <c r="A55" s="951" t="str">
        <f>报表格式!L54</f>
        <v>2.权益法下不能转损益的其他综合收益</v>
      </c>
      <c r="B55" s="670"/>
      <c r="C55" s="150">
        <f>合并TB损益!K55</f>
        <v>0</v>
      </c>
      <c r="D55" s="152"/>
      <c r="E55" s="150">
        <f>上年PL审定!B55</f>
        <v>0</v>
      </c>
      <c r="F55" s="122"/>
      <c r="G55" s="120"/>
      <c r="H55" s="150">
        <f>母公司TB损益!K55</f>
        <v>0</v>
      </c>
      <c r="I55" s="152"/>
      <c r="J55" s="150">
        <f>上年PL审定!F55</f>
        <v>0</v>
      </c>
      <c r="K55" s="121"/>
      <c r="L55" s="669"/>
    </row>
    <row r="56" spans="1:12" s="40" customFormat="1" ht="12.75">
      <c r="A56" s="951" t="str">
        <f>报表格式!L55</f>
        <v xml:space="preserve">3.其他权益工具投资公允价值变动 </v>
      </c>
      <c r="B56" s="670"/>
      <c r="C56" s="150">
        <f>合并TB损益!K56</f>
        <v>0</v>
      </c>
      <c r="D56" s="152"/>
      <c r="E56" s="150">
        <f>上年PL审定!B56</f>
        <v>0</v>
      </c>
      <c r="F56" s="122"/>
      <c r="G56" s="120"/>
      <c r="H56" s="150">
        <f>母公司TB损益!K56</f>
        <v>0</v>
      </c>
      <c r="I56" s="152"/>
      <c r="J56" s="150">
        <f>上年PL审定!F56</f>
        <v>0</v>
      </c>
      <c r="K56" s="121"/>
      <c r="L56" s="669"/>
    </row>
    <row r="57" spans="1:12" s="40" customFormat="1" ht="12.75">
      <c r="A57" s="951" t="str">
        <f>报表格式!L56</f>
        <v xml:space="preserve">4.企业自身信用风险公允价值变动 </v>
      </c>
      <c r="B57" s="670"/>
      <c r="C57" s="150">
        <f>合并TB损益!K57</f>
        <v>0</v>
      </c>
      <c r="D57" s="152"/>
      <c r="E57" s="150">
        <f>上年PL审定!B57</f>
        <v>0</v>
      </c>
      <c r="F57" s="122"/>
      <c r="G57" s="120"/>
      <c r="H57" s="150">
        <f>母公司TB损益!K57</f>
        <v>0</v>
      </c>
      <c r="I57" s="152"/>
      <c r="J57" s="150">
        <f>上年PL审定!F57</f>
        <v>0</v>
      </c>
      <c r="K57" s="121"/>
      <c r="L57" s="669"/>
    </row>
    <row r="58" spans="1:12" s="40" customFormat="1" ht="12.75">
      <c r="A58" s="951" t="str">
        <f>报表格式!L57</f>
        <v>5.其他</v>
      </c>
      <c r="B58" s="670"/>
      <c r="C58" s="150">
        <f>合并TB损益!K58</f>
        <v>0</v>
      </c>
      <c r="D58" s="152"/>
      <c r="E58" s="150">
        <f>上年PL审定!B58</f>
        <v>0</v>
      </c>
      <c r="F58" s="122"/>
      <c r="G58" s="120"/>
      <c r="H58" s="150">
        <f>母公司TB损益!K58</f>
        <v>0</v>
      </c>
      <c r="I58" s="152"/>
      <c r="J58" s="150">
        <f>上年PL审定!F58</f>
        <v>0</v>
      </c>
      <c r="K58" s="121"/>
      <c r="L58" s="669"/>
    </row>
    <row r="59" spans="1:12" s="40" customFormat="1" ht="12.75">
      <c r="A59" s="950" t="str">
        <f>报表格式!L58</f>
        <v xml:space="preserve">  （二）将重分类进损益的其他综合收益</v>
      </c>
      <c r="B59" s="670"/>
      <c r="C59" s="150">
        <f>合并TB损益!K59</f>
        <v>0</v>
      </c>
      <c r="D59" s="152"/>
      <c r="E59" s="150">
        <f>上年PL审定!B59</f>
        <v>0</v>
      </c>
      <c r="F59" s="122"/>
      <c r="G59" s="120"/>
      <c r="H59" s="150">
        <f>母公司TB损益!K59</f>
        <v>0</v>
      </c>
      <c r="I59" s="152"/>
      <c r="J59" s="150">
        <f>上年PL审定!F59</f>
        <v>0</v>
      </c>
      <c r="K59" s="121"/>
      <c r="L59" s="669"/>
    </row>
    <row r="60" spans="1:12" s="40" customFormat="1" ht="12.75">
      <c r="A60" s="951" t="str">
        <f>报表格式!L59</f>
        <v>1.权益法下可转损益的其他综合收益</v>
      </c>
      <c r="B60" s="670"/>
      <c r="C60" s="150">
        <f>合并TB损益!K60</f>
        <v>0</v>
      </c>
      <c r="D60" s="152"/>
      <c r="E60" s="150">
        <f>上年PL审定!B60</f>
        <v>0</v>
      </c>
      <c r="F60" s="122"/>
      <c r="G60" s="120"/>
      <c r="H60" s="150">
        <f>母公司TB损益!K60</f>
        <v>0</v>
      </c>
      <c r="I60" s="152"/>
      <c r="J60" s="150">
        <f>上年PL审定!F60</f>
        <v>0</v>
      </c>
      <c r="K60" s="121"/>
      <c r="L60" s="669"/>
    </row>
    <row r="61" spans="1:12" s="40" customFormat="1" ht="12.75">
      <c r="A61" s="951" t="str">
        <f>报表格式!L60</f>
        <v xml:space="preserve">2.其他债权投资公允价值变动 </v>
      </c>
      <c r="B61" s="670"/>
      <c r="C61" s="150">
        <f>合并TB损益!K61</f>
        <v>0</v>
      </c>
      <c r="D61" s="152"/>
      <c r="E61" s="150">
        <f>上年PL审定!B61</f>
        <v>0</v>
      </c>
      <c r="F61" s="122"/>
      <c r="G61" s="120"/>
      <c r="H61" s="150">
        <f>母公司TB损益!K61</f>
        <v>0</v>
      </c>
      <c r="I61" s="152"/>
      <c r="J61" s="150">
        <f>上年PL审定!F61</f>
        <v>0</v>
      </c>
      <c r="K61" s="121"/>
      <c r="L61" s="669"/>
    </row>
    <row r="62" spans="1:12" s="40" customFormat="1" ht="12.75">
      <c r="A62" s="951" t="str">
        <f>报表格式!L61</f>
        <v>3.可供出售金融资产公允价值变动损益</v>
      </c>
      <c r="B62" s="670"/>
      <c r="C62" s="150">
        <f>合并TB损益!K62</f>
        <v>0</v>
      </c>
      <c r="D62" s="152"/>
      <c r="E62" s="150">
        <f>上年PL审定!B62</f>
        <v>0</v>
      </c>
      <c r="F62" s="122"/>
      <c r="G62" s="120"/>
      <c r="H62" s="150">
        <f>母公司TB损益!K62</f>
        <v>0</v>
      </c>
      <c r="I62" s="152"/>
      <c r="J62" s="150">
        <f>上年PL审定!F62</f>
        <v>0</v>
      </c>
      <c r="K62" s="121"/>
      <c r="L62" s="669"/>
    </row>
    <row r="63" spans="1:12" s="40" customFormat="1" ht="12.75">
      <c r="A63" s="951" t="str">
        <f>报表格式!L62</f>
        <v xml:space="preserve">4.金融资产重分类计入其他综合收益的金额 </v>
      </c>
      <c r="B63" s="670"/>
      <c r="C63" s="150">
        <f>合并TB损益!K63</f>
        <v>0</v>
      </c>
      <c r="D63" s="152"/>
      <c r="E63" s="150">
        <f>上年PL审定!B63</f>
        <v>0</v>
      </c>
      <c r="F63" s="122"/>
      <c r="G63" s="120"/>
      <c r="H63" s="150">
        <f>母公司TB损益!K63</f>
        <v>0</v>
      </c>
      <c r="I63" s="152"/>
      <c r="J63" s="150">
        <f>上年PL审定!F63</f>
        <v>0</v>
      </c>
      <c r="K63" s="121"/>
      <c r="L63" s="669"/>
    </row>
    <row r="64" spans="1:12" s="40" customFormat="1" ht="12.75">
      <c r="A64" s="951" t="str">
        <f>报表格式!L63</f>
        <v>5.持有至到期投资重分类为可供出售金融资产损益</v>
      </c>
      <c r="B64" s="670"/>
      <c r="C64" s="150">
        <f>合并TB损益!K64</f>
        <v>0</v>
      </c>
      <c r="D64" s="152"/>
      <c r="E64" s="150">
        <f>上年PL审定!B64</f>
        <v>0</v>
      </c>
      <c r="F64" s="122"/>
      <c r="G64" s="120"/>
      <c r="H64" s="150">
        <f>母公司TB损益!K64</f>
        <v>0</v>
      </c>
      <c r="I64" s="152"/>
      <c r="J64" s="150">
        <f>上年PL审定!F64</f>
        <v>0</v>
      </c>
      <c r="K64" s="121"/>
      <c r="L64" s="669"/>
    </row>
    <row r="65" spans="1:12" s="40" customFormat="1" ht="12.75">
      <c r="A65" s="951" t="str">
        <f>报表格式!L64</f>
        <v>6.其他债权投资信用减值准备</v>
      </c>
      <c r="B65" s="670"/>
      <c r="C65" s="150">
        <f>合并TB损益!K65</f>
        <v>0</v>
      </c>
      <c r="D65" s="152"/>
      <c r="E65" s="150">
        <f>上年PL审定!B65</f>
        <v>0</v>
      </c>
      <c r="F65" s="122"/>
      <c r="G65" s="120"/>
      <c r="H65" s="150">
        <f>母公司TB损益!K65</f>
        <v>0</v>
      </c>
      <c r="I65" s="152"/>
      <c r="J65" s="150">
        <f>上年PL审定!F65</f>
        <v>0</v>
      </c>
      <c r="K65" s="121"/>
      <c r="L65" s="669"/>
    </row>
    <row r="66" spans="1:12" s="669" customFormat="1" ht="12.75">
      <c r="A66" s="951" t="str">
        <f>报表格式!L65</f>
        <v>7.现金流量套期储备</v>
      </c>
      <c r="B66" s="670"/>
      <c r="C66" s="150">
        <f>合并TB损益!K66</f>
        <v>0</v>
      </c>
      <c r="D66" s="152"/>
      <c r="E66" s="150">
        <f>上年PL审定!B66</f>
        <v>0</v>
      </c>
      <c r="F66" s="122"/>
      <c r="G66" s="120"/>
      <c r="H66" s="150">
        <f>母公司TB损益!K66</f>
        <v>0</v>
      </c>
      <c r="I66" s="152"/>
      <c r="J66" s="150">
        <f>上年PL审定!F66</f>
        <v>0</v>
      </c>
      <c r="K66" s="121"/>
    </row>
    <row r="67" spans="1:12" s="669" customFormat="1" ht="12.75">
      <c r="A67" s="951" t="str">
        <f>报表格式!L66</f>
        <v>8.外币财务报表折算差额</v>
      </c>
      <c r="B67" s="670"/>
      <c r="C67" s="150">
        <f>合并TB损益!K67</f>
        <v>0</v>
      </c>
      <c r="D67" s="152"/>
      <c r="E67" s="150">
        <f>上年PL审定!B67</f>
        <v>0</v>
      </c>
      <c r="F67" s="122"/>
      <c r="G67" s="120"/>
      <c r="H67" s="150">
        <f>母公司TB损益!K67</f>
        <v>0</v>
      </c>
      <c r="I67" s="152"/>
      <c r="J67" s="150">
        <f>上年PL审定!F67</f>
        <v>0</v>
      </c>
      <c r="K67" s="121"/>
    </row>
    <row r="68" spans="1:12" s="669" customFormat="1" ht="12.75">
      <c r="A68" s="951" t="str">
        <f>报表格式!L67</f>
        <v>9.自用房地产或作为存货的房地产转换为以公允价值计量的投资性房地产在转换日公允价值大于账面价值部分</v>
      </c>
      <c r="B68" s="670"/>
      <c r="C68" s="150">
        <f>合并TB损益!K68</f>
        <v>0</v>
      </c>
      <c r="D68" s="152"/>
      <c r="E68" s="150">
        <f>上年PL审定!B68</f>
        <v>0</v>
      </c>
      <c r="F68" s="122"/>
      <c r="G68" s="120"/>
      <c r="H68" s="150">
        <f>母公司TB损益!K68</f>
        <v>0</v>
      </c>
      <c r="I68" s="152"/>
      <c r="J68" s="150">
        <f>上年PL审定!F68</f>
        <v>0</v>
      </c>
      <c r="K68" s="121"/>
    </row>
    <row r="69" spans="1:12" s="669" customFormat="1" ht="12.75">
      <c r="A69" s="951" t="str">
        <f>报表格式!L68</f>
        <v>10.多次交易分步处置子公司股权构成一揽子交易的，丧失控制权之前各次交易处置价款与对应净资产账面价值份额的差额</v>
      </c>
      <c r="B69" s="670"/>
      <c r="C69" s="150">
        <f>合并TB损益!K69</f>
        <v>0</v>
      </c>
      <c r="D69" s="152"/>
      <c r="E69" s="150">
        <f>上年PL审定!B69</f>
        <v>0</v>
      </c>
      <c r="F69" s="122"/>
      <c r="G69" s="120"/>
      <c r="H69" s="150">
        <f>母公司TB损益!K69</f>
        <v>0</v>
      </c>
      <c r="I69" s="152"/>
      <c r="J69" s="150">
        <f>上年PL审定!F69</f>
        <v>0</v>
      </c>
      <c r="K69" s="121"/>
    </row>
    <row r="70" spans="1:12" s="669" customFormat="1" ht="12.75">
      <c r="A70" s="951" t="str">
        <f>报表格式!L69</f>
        <v>11.其他</v>
      </c>
      <c r="B70" s="670"/>
      <c r="C70" s="150">
        <f>合并TB损益!K70</f>
        <v>0</v>
      </c>
      <c r="D70" s="152"/>
      <c r="E70" s="150">
        <f>上年PL审定!B70</f>
        <v>0</v>
      </c>
      <c r="F70" s="122"/>
      <c r="G70" s="120"/>
      <c r="H70" s="150">
        <f>母公司TB损益!K70</f>
        <v>0</v>
      </c>
      <c r="I70" s="152"/>
      <c r="J70" s="150">
        <f>上年PL审定!F70</f>
        <v>0</v>
      </c>
      <c r="K70" s="121"/>
    </row>
    <row r="71" spans="1:12" s="669" customFormat="1" ht="12.75">
      <c r="A71" s="950" t="str">
        <f>报表格式!L70</f>
        <v>归属于少数股东的其他综合收益的税后净额</v>
      </c>
      <c r="B71" s="670"/>
      <c r="C71" s="150">
        <f>合并TB损益!K71</f>
        <v>0</v>
      </c>
      <c r="D71" s="152"/>
      <c r="E71" s="150">
        <f>上年PL审定!B71</f>
        <v>0</v>
      </c>
      <c r="F71" s="122"/>
      <c r="G71" s="120"/>
      <c r="H71" s="150">
        <f>母公司TB损益!K71</f>
        <v>0</v>
      </c>
      <c r="I71" s="152"/>
      <c r="J71" s="150">
        <f>上年PL审定!F71</f>
        <v>0</v>
      </c>
      <c r="K71" s="121"/>
    </row>
    <row r="72" spans="1:12" s="669" customFormat="1" ht="12.75">
      <c r="A72" s="949" t="str">
        <f>报表格式!L71</f>
        <v>六、综合收益总额</v>
      </c>
      <c r="B72" s="670"/>
      <c r="C72" s="154">
        <f>合并TB损益!K72</f>
        <v>0</v>
      </c>
      <c r="D72" s="156"/>
      <c r="E72" s="154">
        <f>上年PL审定!B72</f>
        <v>0</v>
      </c>
      <c r="F72" s="121"/>
      <c r="G72" s="670"/>
      <c r="H72" s="154">
        <f>母公司TB损益!K72</f>
        <v>0</v>
      </c>
      <c r="I72" s="156"/>
      <c r="J72" s="154">
        <f>上年PL审定!F72</f>
        <v>0</v>
      </c>
      <c r="K72" s="121"/>
    </row>
    <row r="73" spans="1:12" s="669" customFormat="1" ht="12.75">
      <c r="A73" s="950" t="str">
        <f>报表格式!L72</f>
        <v xml:space="preserve">     归属于母公司股东的综合收益总额</v>
      </c>
      <c r="B73" s="670"/>
      <c r="C73" s="150">
        <f>合并TB损益!K73</f>
        <v>0</v>
      </c>
      <c r="D73" s="152"/>
      <c r="E73" s="150">
        <f>上年PL审定!B73</f>
        <v>0</v>
      </c>
      <c r="F73" s="122"/>
      <c r="G73" s="120"/>
      <c r="H73" s="150">
        <f>母公司TB损益!K73</f>
        <v>0</v>
      </c>
      <c r="I73" s="152"/>
      <c r="J73" s="150">
        <f>上年PL审定!F73</f>
        <v>0</v>
      </c>
      <c r="K73" s="121"/>
    </row>
    <row r="74" spans="1:12" s="669" customFormat="1" ht="12.75">
      <c r="A74" s="950" t="str">
        <f>报表格式!L73</f>
        <v xml:space="preserve">     归属于少数股东的综合收益总额</v>
      </c>
      <c r="B74" s="670"/>
      <c r="C74" s="150">
        <f>合并TB损益!K74</f>
        <v>0</v>
      </c>
      <c r="D74" s="152"/>
      <c r="E74" s="150">
        <f>上年PL审定!B74</f>
        <v>0</v>
      </c>
      <c r="F74" s="122"/>
      <c r="G74" s="120"/>
      <c r="H74" s="150">
        <f>母公司TB损益!K74</f>
        <v>0</v>
      </c>
      <c r="I74" s="152"/>
      <c r="J74" s="150">
        <f>上年PL审定!F74</f>
        <v>0</v>
      </c>
      <c r="K74" s="121"/>
    </row>
    <row r="75" spans="1:12" s="669" customFormat="1" ht="12.75">
      <c r="A75" s="949" t="str">
        <f>报表格式!L74</f>
        <v>七、每股收益</v>
      </c>
      <c r="B75" s="670"/>
      <c r="C75" s="150">
        <f>合并TB损益!K75</f>
        <v>0</v>
      </c>
      <c r="D75" s="152"/>
      <c r="E75" s="150">
        <f>上年PL审定!B75</f>
        <v>0</v>
      </c>
      <c r="F75" s="122"/>
      <c r="G75" s="120"/>
      <c r="H75" s="150">
        <f>母公司TB损益!K75</f>
        <v>0</v>
      </c>
      <c r="I75" s="152"/>
      <c r="J75" s="150">
        <f>上年PL审定!F75</f>
        <v>0</v>
      </c>
      <c r="K75" s="121"/>
    </row>
    <row r="76" spans="1:12" s="669" customFormat="1" ht="12.75">
      <c r="A76" s="950" t="str">
        <f>报表格式!L75</f>
        <v xml:space="preserve">   （一）基本每股收益</v>
      </c>
      <c r="B76" s="670"/>
      <c r="C76" s="150">
        <f>合并TB损益!K76</f>
        <v>0</v>
      </c>
      <c r="D76" s="152"/>
      <c r="E76" s="150">
        <f>上年PL审定!B76</f>
        <v>0</v>
      </c>
      <c r="F76" s="122"/>
      <c r="G76" s="120"/>
      <c r="H76" s="150">
        <f>母公司TB损益!K76</f>
        <v>0</v>
      </c>
      <c r="I76" s="152"/>
      <c r="J76" s="150">
        <f>上年PL审定!F76</f>
        <v>0</v>
      </c>
      <c r="K76" s="121"/>
    </row>
    <row r="77" spans="1:12" s="669" customFormat="1" ht="13.5" thickBot="1">
      <c r="A77" s="952" t="str">
        <f>报表格式!L76</f>
        <v xml:space="preserve">   （二）稀释每股收益</v>
      </c>
      <c r="B77" s="664"/>
      <c r="C77" s="665">
        <f>合并TB损益!K77</f>
        <v>0</v>
      </c>
      <c r="D77" s="666"/>
      <c r="E77" s="665">
        <f>上年PL审定!B77</f>
        <v>0</v>
      </c>
      <c r="F77" s="667"/>
      <c r="G77" s="664"/>
      <c r="H77" s="665">
        <f>母公司TB损益!K77</f>
        <v>0</v>
      </c>
      <c r="I77" s="666"/>
      <c r="J77" s="665">
        <f>上年PL审定!F7077</f>
        <v>0</v>
      </c>
      <c r="K77" s="668"/>
    </row>
    <row r="78" spans="1:12" s="669" customFormat="1" ht="12.75">
      <c r="A78" s="953" t="str">
        <f>报表格式!L77</f>
        <v>八、利润分配</v>
      </c>
      <c r="B78" s="803"/>
      <c r="C78" s="154"/>
      <c r="D78" s="156"/>
      <c r="E78" s="154"/>
      <c r="F78" s="121"/>
      <c r="G78" s="670"/>
      <c r="H78" s="154"/>
      <c r="I78" s="156"/>
      <c r="J78" s="154"/>
      <c r="K78" s="804"/>
    </row>
    <row r="79" spans="1:12" s="669" customFormat="1" ht="12.75">
      <c r="A79" s="950" t="str">
        <f>报表格式!L78</f>
        <v xml:space="preserve">   （一）年初未分配利润</v>
      </c>
      <c r="B79" s="120"/>
      <c r="C79" s="150">
        <f>合并TB损益!K79</f>
        <v>0</v>
      </c>
      <c r="D79" s="152"/>
      <c r="E79" s="150">
        <f>上年PL审定!B79</f>
        <v>0</v>
      </c>
      <c r="F79" s="122"/>
      <c r="G79" s="120"/>
      <c r="H79" s="150">
        <f>母公司TB损益!K79</f>
        <v>0</v>
      </c>
      <c r="I79" s="152"/>
      <c r="J79" s="150">
        <f>上年PL审定!F79</f>
        <v>0</v>
      </c>
      <c r="K79" s="121"/>
    </row>
    <row r="80" spans="1:12" s="669" customFormat="1" ht="12.75">
      <c r="A80" s="950" t="str">
        <f>报表格式!L79</f>
        <v xml:space="preserve">   （二）可供分配的利润</v>
      </c>
      <c r="B80" s="120"/>
      <c r="C80" s="150">
        <f>合并TB损益!K80</f>
        <v>0</v>
      </c>
      <c r="D80" s="152"/>
      <c r="E80" s="150">
        <f>上年PL审定!B80</f>
        <v>0</v>
      </c>
      <c r="F80" s="122"/>
      <c r="G80" s="120"/>
      <c r="H80" s="150">
        <f>母公司TB损益!K80</f>
        <v>0</v>
      </c>
      <c r="I80" s="152"/>
      <c r="J80" s="150">
        <f>上年PL审定!F80</f>
        <v>0</v>
      </c>
      <c r="K80" s="121"/>
    </row>
    <row r="81" spans="1:12" s="669" customFormat="1" ht="12.75">
      <c r="A81" s="950" t="str">
        <f>报表格式!L80</f>
        <v xml:space="preserve">    1、提取法定盈余公积</v>
      </c>
      <c r="B81" s="120"/>
      <c r="C81" s="150">
        <f>合并TB损益!K81</f>
        <v>0</v>
      </c>
      <c r="D81" s="152"/>
      <c r="E81" s="150">
        <f>上年PL审定!B81</f>
        <v>0</v>
      </c>
      <c r="F81" s="122"/>
      <c r="G81" s="120"/>
      <c r="H81" s="150">
        <f>母公司TB损益!K81</f>
        <v>0</v>
      </c>
      <c r="I81" s="152"/>
      <c r="J81" s="150">
        <f>上年PL审定!F81</f>
        <v>0</v>
      </c>
      <c r="K81" s="121"/>
    </row>
    <row r="82" spans="1:12" s="669" customFormat="1" ht="12.75">
      <c r="A82" s="950" t="str">
        <f>报表格式!L81</f>
        <v xml:space="preserve">    2、其他</v>
      </c>
      <c r="B82" s="120"/>
      <c r="C82" s="150">
        <f>合并TB损益!K82</f>
        <v>0</v>
      </c>
      <c r="D82" s="152"/>
      <c r="E82" s="150">
        <f>上年PL审定!B82</f>
        <v>0</v>
      </c>
      <c r="F82" s="122"/>
      <c r="G82" s="120"/>
      <c r="H82" s="150">
        <f>母公司TB损益!K82</f>
        <v>0</v>
      </c>
      <c r="I82" s="152"/>
      <c r="J82" s="150">
        <f>上年PL审定!F82</f>
        <v>0</v>
      </c>
      <c r="K82" s="121"/>
    </row>
    <row r="83" spans="1:12" s="669" customFormat="1" ht="12.75">
      <c r="A83" s="950" t="str">
        <f>报表格式!L82</f>
        <v xml:space="preserve">   （三）可供投资者分配的利润</v>
      </c>
      <c r="B83" s="120"/>
      <c r="C83" s="150">
        <f>合并TB损益!K83</f>
        <v>0</v>
      </c>
      <c r="D83" s="152"/>
      <c r="E83" s="150">
        <f>上年PL审定!B83</f>
        <v>0</v>
      </c>
      <c r="F83" s="122"/>
      <c r="G83" s="120"/>
      <c r="H83" s="150">
        <f>母公司TB损益!K83</f>
        <v>0</v>
      </c>
      <c r="I83" s="152"/>
      <c r="J83" s="150">
        <f>上年PL审定!F83</f>
        <v>0</v>
      </c>
      <c r="K83" s="121"/>
    </row>
    <row r="84" spans="1:12" s="669" customFormat="1" ht="12.75">
      <c r="A84" s="950" t="str">
        <f>报表格式!L83</f>
        <v xml:space="preserve">    1、应付优先股股利</v>
      </c>
      <c r="B84" s="120"/>
      <c r="C84" s="150">
        <f>合并TB损益!K84</f>
        <v>0</v>
      </c>
      <c r="D84" s="152"/>
      <c r="E84" s="150">
        <f>上年PL审定!B84</f>
        <v>0</v>
      </c>
      <c r="F84" s="122"/>
      <c r="G84" s="120"/>
      <c r="H84" s="150">
        <f>母公司TB损益!K84</f>
        <v>0</v>
      </c>
      <c r="I84" s="152"/>
      <c r="J84" s="150">
        <f>上年PL审定!F84</f>
        <v>0</v>
      </c>
      <c r="K84" s="121"/>
    </row>
    <row r="85" spans="1:12" s="669" customFormat="1" ht="12.75">
      <c r="A85" s="950" t="str">
        <f>报表格式!L84</f>
        <v xml:space="preserve">    2、提取任意盈余公积</v>
      </c>
      <c r="B85" s="120"/>
      <c r="C85" s="150">
        <f>合并TB损益!K85</f>
        <v>0</v>
      </c>
      <c r="D85" s="152"/>
      <c r="E85" s="150">
        <f>上年PL审定!B85</f>
        <v>0</v>
      </c>
      <c r="F85" s="122"/>
      <c r="G85" s="120"/>
      <c r="H85" s="150">
        <f>母公司TB损益!K85</f>
        <v>0</v>
      </c>
      <c r="I85" s="152"/>
      <c r="J85" s="150">
        <f>上年PL审定!F85</f>
        <v>0</v>
      </c>
      <c r="K85" s="121"/>
    </row>
    <row r="86" spans="1:12" s="669" customFormat="1" ht="12.75">
      <c r="A86" s="950" t="str">
        <f>报表格式!L85</f>
        <v xml:space="preserve">    3、应付普通股股利（应付利润）</v>
      </c>
      <c r="B86" s="120"/>
      <c r="C86" s="150">
        <f>合并TB损益!K86</f>
        <v>0</v>
      </c>
      <c r="D86" s="152"/>
      <c r="E86" s="150">
        <f>上年PL审定!B86</f>
        <v>0</v>
      </c>
      <c r="F86" s="122"/>
      <c r="G86" s="120"/>
      <c r="H86" s="150">
        <f>母公司TB损益!K86</f>
        <v>0</v>
      </c>
      <c r="I86" s="152"/>
      <c r="J86" s="150">
        <f>上年PL审定!F86</f>
        <v>0</v>
      </c>
      <c r="K86" s="121"/>
    </row>
    <row r="87" spans="1:12" s="669" customFormat="1" ht="12.75">
      <c r="A87" s="950" t="str">
        <f>报表格式!L86</f>
        <v xml:space="preserve">    4、转作资本（或股本）的普通股股利</v>
      </c>
      <c r="B87" s="120"/>
      <c r="C87" s="150">
        <f>合并TB损益!K87</f>
        <v>0</v>
      </c>
      <c r="D87" s="152"/>
      <c r="E87" s="150">
        <f>上年PL审定!B87</f>
        <v>0</v>
      </c>
      <c r="F87" s="122"/>
      <c r="G87" s="120"/>
      <c r="H87" s="150">
        <f>母公司TB损益!K87</f>
        <v>0</v>
      </c>
      <c r="I87" s="152"/>
      <c r="J87" s="150">
        <f>上年PL审定!F87</f>
        <v>0</v>
      </c>
      <c r="K87" s="121"/>
    </row>
    <row r="88" spans="1:12" s="669" customFormat="1" ht="12.75">
      <c r="A88" s="950" t="str">
        <f>报表格式!L87</f>
        <v xml:space="preserve">    5、其他</v>
      </c>
      <c r="B88" s="120"/>
      <c r="C88" s="150">
        <f>合并TB损益!K88</f>
        <v>0</v>
      </c>
      <c r="D88" s="152"/>
      <c r="E88" s="150">
        <f>上年PL审定!B88</f>
        <v>0</v>
      </c>
      <c r="F88" s="122"/>
      <c r="G88" s="120"/>
      <c r="H88" s="150">
        <f>母公司TB损益!K88</f>
        <v>0</v>
      </c>
      <c r="I88" s="152"/>
      <c r="J88" s="150">
        <f>上年PL审定!F88</f>
        <v>0</v>
      </c>
      <c r="K88" s="121"/>
    </row>
    <row r="89" spans="1:12" s="669" customFormat="1" ht="13.5" thickBot="1">
      <c r="A89" s="954" t="str">
        <f>报表格式!L88</f>
        <v>九、未分配利润</v>
      </c>
      <c r="B89" s="865"/>
      <c r="C89" s="866">
        <f>合并TB损益!K89</f>
        <v>0</v>
      </c>
      <c r="D89" s="867"/>
      <c r="E89" s="866">
        <f>E83-SUM(E84:E88)</f>
        <v>0</v>
      </c>
      <c r="F89" s="668"/>
      <c r="G89" s="865"/>
      <c r="H89" s="866">
        <f>母公司TB损益!K89</f>
        <v>0</v>
      </c>
      <c r="I89" s="867"/>
      <c r="J89" s="866">
        <f>J83-SUM(J84:J88)</f>
        <v>0</v>
      </c>
      <c r="K89" s="668"/>
    </row>
    <row r="90" spans="1:12" s="40" customFormat="1" ht="5.25" customHeight="1">
      <c r="A90" s="955"/>
      <c r="B90" s="41"/>
      <c r="G90" s="41"/>
    </row>
    <row r="91" spans="1:12" s="63" customFormat="1" ht="17.100000000000001" customHeight="1">
      <c r="A91" s="944" t="str">
        <f>CONCATENATE(说明!D24,说明!E24,"　　　　    　　　　　           ",说明!D25,说明!E25)</f>
        <v>法定代表人：　　　　    　　　　　           财务负责人：</v>
      </c>
      <c r="B91" s="65"/>
      <c r="C91" s="65"/>
      <c r="D91" s="61"/>
      <c r="F91" s="61"/>
      <c r="G91" s="65"/>
      <c r="H91" s="65" t="str">
        <f>CONCATENATE(说明!D26,说明!E26)</f>
        <v>会计主管：</v>
      </c>
      <c r="I91" s="61"/>
      <c r="J91" s="65" t="str">
        <f>CONCATENATE(说明!I26,说明!J26)</f>
        <v/>
      </c>
      <c r="K91" s="61"/>
      <c r="L91" s="62"/>
    </row>
    <row r="92" spans="1:12" s="40" customFormat="1" ht="12">
      <c r="A92" s="956"/>
      <c r="B92" s="41"/>
      <c r="G92" s="41"/>
    </row>
    <row r="93" spans="1:12">
      <c r="A93" s="907" t="s">
        <v>539</v>
      </c>
      <c r="B93" s="383"/>
    </row>
    <row r="94" spans="1:12">
      <c r="A94" s="909" t="s">
        <v>547</v>
      </c>
      <c r="B94" s="433"/>
      <c r="C94" s="433">
        <f>SUM(C6)-SUM(C12,C22:C26)+SUM(C29:C30,C33:C37)-C38</f>
        <v>0</v>
      </c>
      <c r="D94" s="433"/>
      <c r="E94" s="433">
        <f>SUM(E6)-SUM(E12,E22:E26)+SUM(E29:E30,E33:E37)-E38</f>
        <v>0</v>
      </c>
      <c r="F94" s="671"/>
      <c r="G94" s="433"/>
      <c r="H94" s="433">
        <f>SUM(H6)-SUM(H12,H22:H26)+SUM(H29:H30,H33:H37)-H38</f>
        <v>0</v>
      </c>
      <c r="I94" s="433"/>
      <c r="J94" s="433">
        <f>SUM(J6)-SUM(J12,J22:J26)+SUM(J29:J30,J33:J37)-J38</f>
        <v>0</v>
      </c>
      <c r="K94" s="433"/>
    </row>
    <row r="95" spans="1:12">
      <c r="A95" s="909" t="s">
        <v>548</v>
      </c>
      <c r="B95" s="433"/>
      <c r="C95" s="433">
        <f>SUM(C38,C39,-C40)-C41</f>
        <v>0</v>
      </c>
      <c r="D95" s="433"/>
      <c r="E95" s="433">
        <f>SUM(E38,E39,-E40)-E41</f>
        <v>0</v>
      </c>
      <c r="F95" s="672"/>
      <c r="G95" s="433"/>
      <c r="H95" s="433">
        <f>SUM(H38,H39,-H40)-H41</f>
        <v>0</v>
      </c>
      <c r="I95" s="433"/>
      <c r="J95" s="433">
        <f>SUM(J38,J39,-J40)-J41</f>
        <v>0</v>
      </c>
      <c r="K95" s="433"/>
    </row>
    <row r="96" spans="1:12">
      <c r="A96" s="908" t="s">
        <v>149</v>
      </c>
      <c r="B96" s="433"/>
      <c r="C96" s="433">
        <f>SUM(C41,-C42,-C43)-C44</f>
        <v>0</v>
      </c>
      <c r="D96" s="433"/>
      <c r="E96" s="433">
        <f>SUM(E41,-E42,-E43)-E44</f>
        <v>0</v>
      </c>
      <c r="F96" s="672"/>
      <c r="G96" s="433"/>
      <c r="H96" s="433">
        <f>SUM(H41,-H42,-H43)-H44</f>
        <v>0</v>
      </c>
      <c r="I96" s="433"/>
      <c r="J96" s="433">
        <f>SUM(J41,-J42,-J43)-J44</f>
        <v>0</v>
      </c>
      <c r="K96" s="433"/>
    </row>
    <row r="97" spans="1:11">
      <c r="A97" s="908" t="s">
        <v>150</v>
      </c>
      <c r="B97" s="433"/>
      <c r="C97" s="433">
        <f>SUM(C44,-C50)-C49</f>
        <v>0</v>
      </c>
      <c r="D97" s="433"/>
      <c r="E97" s="433">
        <f>SUM(E44,-E50)-E49</f>
        <v>0</v>
      </c>
      <c r="F97" s="672"/>
      <c r="G97" s="433"/>
      <c r="H97" s="433">
        <f>SUM(H44,-H50)-H49</f>
        <v>0</v>
      </c>
      <c r="I97" s="433"/>
      <c r="J97" s="433">
        <f>SUM(J44,-J50)-J49</f>
        <v>0</v>
      </c>
      <c r="K97" s="433"/>
    </row>
    <row r="98" spans="1:11">
      <c r="A98" s="909" t="s">
        <v>549</v>
      </c>
      <c r="B98" s="433"/>
      <c r="C98" s="433">
        <f>SUM(C80)-SUM(C81:C82)-SUM(C84:C88)-C89</f>
        <v>0</v>
      </c>
      <c r="D98" s="433"/>
      <c r="E98" s="433">
        <f>SUM(E80)-SUM(E81:E82)-SUM(E84:E88)-E89</f>
        <v>0</v>
      </c>
      <c r="F98" s="672"/>
      <c r="G98" s="433"/>
      <c r="H98" s="433">
        <f>SUM(H80)-SUM(H81:H82)-SUM(H84:H88)-H89</f>
        <v>0</v>
      </c>
      <c r="I98" s="433"/>
      <c r="J98" s="433">
        <f>SUM(J80)-SUM(J81:J82)-SUM(J84:J88)-J89</f>
        <v>0</v>
      </c>
      <c r="K98" s="433"/>
    </row>
    <row r="99" spans="1:11">
      <c r="A99" s="908" t="s">
        <v>219</v>
      </c>
      <c r="B99" s="433"/>
      <c r="C99" s="433">
        <f>C79-E89</f>
        <v>0</v>
      </c>
      <c r="D99" s="433"/>
      <c r="E99" s="433"/>
      <c r="F99" s="672"/>
      <c r="G99" s="433"/>
      <c r="H99" s="433">
        <f>H79-J89</f>
        <v>0</v>
      </c>
      <c r="I99" s="433"/>
      <c r="J99" s="433"/>
      <c r="K99" s="433"/>
    </row>
    <row r="100" spans="1:11" s="738" customFormat="1">
      <c r="A100" s="957"/>
      <c r="B100" s="587"/>
      <c r="C100" s="587"/>
      <c r="D100" s="587"/>
      <c r="E100" s="587"/>
      <c r="F100" s="177"/>
      <c r="G100" s="587"/>
      <c r="H100" s="587"/>
      <c r="I100" s="587"/>
      <c r="J100" s="587"/>
      <c r="K100" s="587"/>
    </row>
    <row r="101" spans="1:11">
      <c r="A101" s="908" t="s">
        <v>147</v>
      </c>
      <c r="B101" s="433"/>
      <c r="C101" s="433">
        <f>SUM(C7:C11)-C6</f>
        <v>0</v>
      </c>
      <c r="D101" s="433"/>
      <c r="E101" s="433">
        <f>SUM(E7:E11)-E6</f>
        <v>0</v>
      </c>
      <c r="F101" s="671"/>
      <c r="G101" s="433"/>
      <c r="H101" s="433">
        <f>SUM(H7:H11)-H6</f>
        <v>0</v>
      </c>
      <c r="I101" s="433"/>
      <c r="J101" s="433">
        <f>SUM(J7:J11)-J6</f>
        <v>0</v>
      </c>
      <c r="K101" s="433"/>
    </row>
    <row r="102" spans="1:11">
      <c r="A102" s="908" t="s">
        <v>148</v>
      </c>
      <c r="B102" s="433"/>
      <c r="C102" s="433">
        <f>SUM(C13:C21)-C12</f>
        <v>0</v>
      </c>
      <c r="D102" s="433"/>
      <c r="E102" s="433">
        <f>SUM(E13:E21)-E12</f>
        <v>0</v>
      </c>
      <c r="F102" s="671"/>
      <c r="G102" s="433"/>
      <c r="H102" s="433">
        <f>SUM(H13:H21)-H12</f>
        <v>0</v>
      </c>
      <c r="I102" s="433"/>
      <c r="J102" s="433">
        <f>SUM(J13:J21)-J12</f>
        <v>0</v>
      </c>
      <c r="K102" s="433"/>
    </row>
    <row r="103" spans="1:11">
      <c r="A103" s="935" t="s">
        <v>678</v>
      </c>
    </row>
    <row r="104" spans="1:11" s="40" customFormat="1" ht="12.75">
      <c r="A104" s="946" t="s">
        <v>152</v>
      </c>
      <c r="B104" s="578"/>
      <c r="C104" s="578"/>
      <c r="D104" s="578"/>
      <c r="E104" s="578"/>
      <c r="F104" s="578"/>
      <c r="G104" s="579"/>
      <c r="H104" s="578"/>
      <c r="I104" s="578"/>
      <c r="J104" s="578"/>
      <c r="K104" s="578"/>
    </row>
    <row r="105" spans="1:11" s="177" customFormat="1" ht="12.75">
      <c r="A105" s="947" t="s">
        <v>687</v>
      </c>
      <c r="B105" s="578"/>
      <c r="C105" s="578">
        <f>C49-H44</f>
        <v>0</v>
      </c>
      <c r="D105" s="578"/>
      <c r="E105" s="578"/>
      <c r="F105" s="578"/>
      <c r="G105" s="579"/>
      <c r="H105" s="578"/>
      <c r="I105" s="578"/>
      <c r="J105" s="578"/>
      <c r="K105" s="578"/>
    </row>
    <row r="106" spans="1:11" s="177" customFormat="1" ht="12.75">
      <c r="A106" s="947" t="s">
        <v>686</v>
      </c>
      <c r="B106" s="578"/>
      <c r="C106" s="578"/>
      <c r="D106" s="578"/>
      <c r="E106" s="578" t="s">
        <v>154</v>
      </c>
      <c r="F106" s="578"/>
      <c r="G106" s="579"/>
      <c r="H106" s="578"/>
      <c r="I106" s="578"/>
      <c r="J106" s="578"/>
      <c r="K106" s="578"/>
    </row>
    <row r="107" spans="1:11" s="177" customFormat="1" ht="12.75">
      <c r="A107" s="948"/>
      <c r="B107" s="578"/>
      <c r="C107" s="578"/>
      <c r="D107" s="578"/>
      <c r="E107" s="578" t="s">
        <v>153</v>
      </c>
      <c r="F107" s="578"/>
      <c r="G107" s="579"/>
      <c r="H107" s="578"/>
      <c r="I107" s="578"/>
      <c r="J107" s="578"/>
      <c r="K107" s="578"/>
    </row>
    <row r="108" spans="1:11" s="40" customFormat="1" ht="12.75">
      <c r="A108" s="947" t="s">
        <v>688</v>
      </c>
      <c r="B108" s="578"/>
      <c r="C108" s="578">
        <f>SUM(C105:C107)</f>
        <v>0</v>
      </c>
      <c r="D108" s="578"/>
      <c r="E108" s="578"/>
      <c r="F108" s="578"/>
      <c r="G108" s="579"/>
      <c r="H108" s="578"/>
      <c r="I108" s="578"/>
      <c r="J108" s="578"/>
      <c r="K108" s="578"/>
    </row>
    <row r="109" spans="1:11" s="40" customFormat="1" ht="12.75">
      <c r="A109" s="958"/>
      <c r="B109" s="41"/>
      <c r="G109" s="41"/>
    </row>
  </sheetData>
  <sheetProtection formatCells="0" insertRows="0" autoFilter="0" pivotTables="0"/>
  <mergeCells count="7">
    <mergeCell ref="A1:J1"/>
    <mergeCell ref="G4:G5"/>
    <mergeCell ref="H4:K4"/>
    <mergeCell ref="A3:C3"/>
    <mergeCell ref="A4:A5"/>
    <mergeCell ref="B4:B5"/>
    <mergeCell ref="C4:F4"/>
  </mergeCells>
  <phoneticPr fontId="7" type="noConversion"/>
  <conditionalFormatting sqref="A3:C3 G3:H3">
    <cfRule type="cellIs" dxfId="29" priority="1" stopIfTrue="1" operator="equal">
      <formula>"            对不起，请到参数表中确定报表类型！"</formula>
    </cfRule>
    <cfRule type="cellIs" dxfId="28" priority="2" stopIfTrue="1" operator="equal">
      <formula>"对不起，试用期已到，请查看系统信息，并与作者联系。"</formula>
    </cfRule>
  </conditionalFormatting>
  <printOptions horizontalCentered="1" verticalCentered="1"/>
  <pageMargins left="0.59055118110236227" right="0.23" top="0.32" bottom="0.31" header="0.23" footer="0.2"/>
  <pageSetup paperSize="9" scale="76" orientation="portrait" horizontalDpi="36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sheetPr>
  <dimension ref="A1:L150"/>
  <sheetViews>
    <sheetView zoomScaleNormal="100" workbookViewId="0">
      <pane xSplit="2" ySplit="5" topLeftCell="C6" activePane="bottomRight" state="frozen"/>
      <selection activeCell="H6" sqref="H6"/>
      <selection pane="topRight" activeCell="H6" sqref="H6"/>
      <selection pane="bottomLeft" activeCell="H6" sqref="H6"/>
      <selection pane="bottomRight" activeCell="M39" sqref="M39"/>
    </sheetView>
  </sheetViews>
  <sheetFormatPr defaultColWidth="16.375" defaultRowHeight="14.1" customHeight="1"/>
  <cols>
    <col min="1" max="1" width="49.25" style="42" customWidth="1"/>
    <col min="2" max="2" width="7.75" style="56" customWidth="1"/>
    <col min="3" max="3" width="15" style="42" customWidth="1"/>
    <col min="4" max="4" width="0.5" style="42" customWidth="1"/>
    <col min="5" max="5" width="12.75" style="42" customWidth="1"/>
    <col min="6" max="6" width="0.625" style="42" customWidth="1"/>
    <col min="7" max="7" width="6.625" style="42" customWidth="1"/>
    <col min="8" max="8" width="13.125" style="42" customWidth="1"/>
    <col min="9" max="9" width="0.375" style="42" customWidth="1"/>
    <col min="10" max="10" width="13.375" style="42" customWidth="1"/>
    <col min="11" max="11" width="0.375" style="42" customWidth="1"/>
    <col min="12" max="12" width="12.875" style="42" customWidth="1"/>
    <col min="13" max="16384" width="16.375" style="42"/>
  </cols>
  <sheetData>
    <row r="1" spans="1:11" ht="29.25" customHeight="1">
      <c r="A1" s="1208" t="s">
        <v>320</v>
      </c>
      <c r="B1" s="1208"/>
      <c r="C1" s="1208"/>
      <c r="D1" s="1208"/>
      <c r="E1" s="1208"/>
      <c r="F1" s="1208"/>
      <c r="G1" s="1208"/>
      <c r="H1" s="1208"/>
      <c r="I1" s="1208"/>
      <c r="J1" s="1208"/>
      <c r="K1" s="1208"/>
    </row>
    <row r="2" spans="1:11" ht="12" customHeight="1">
      <c r="A2" s="1209"/>
      <c r="B2" s="1209"/>
      <c r="C2" s="1209"/>
      <c r="D2" s="1209"/>
      <c r="E2" s="1209"/>
      <c r="F2" s="1209"/>
      <c r="G2" s="1209"/>
      <c r="H2" s="1209"/>
      <c r="I2" s="1209"/>
      <c r="J2" s="1209"/>
      <c r="K2" s="1209"/>
    </row>
    <row r="3" spans="1:11" s="36" customFormat="1" ht="20.25" customHeight="1" thickBot="1">
      <c r="A3" s="140" t="str">
        <f>IF(报表格式!G58="","    对不起，请到参数表中确定报表类型！",CONCATENATE(" 编制单位：",说明!E23))</f>
        <v xml:space="preserve"> 编制单位：</v>
      </c>
      <c r="B3" s="43"/>
      <c r="C3" s="141"/>
      <c r="D3" s="141"/>
      <c r="E3" s="141"/>
      <c r="F3" s="141"/>
      <c r="G3" s="141"/>
      <c r="H3" s="141"/>
      <c r="I3" s="141"/>
      <c r="J3" s="141" t="str">
        <f>CONCATENATE("单位：",说明!$E$33)</f>
        <v>单位：人民币元</v>
      </c>
    </row>
    <row r="4" spans="1:11" s="36" customFormat="1" ht="14.1" customHeight="1">
      <c r="A4" s="1206" t="s">
        <v>301</v>
      </c>
      <c r="B4" s="1206" t="s">
        <v>220</v>
      </c>
      <c r="C4" s="1193" t="s">
        <v>577</v>
      </c>
      <c r="D4" s="1194"/>
      <c r="E4" s="1194"/>
      <c r="F4" s="1195"/>
      <c r="G4" s="1206" t="s">
        <v>220</v>
      </c>
      <c r="H4" s="1193" t="s">
        <v>578</v>
      </c>
      <c r="I4" s="1194"/>
      <c r="J4" s="1194"/>
      <c r="K4" s="1195"/>
    </row>
    <row r="5" spans="1:11" s="36" customFormat="1" ht="14.1" customHeight="1">
      <c r="A5" s="1207"/>
      <c r="B5" s="1207"/>
      <c r="C5" s="465" t="str">
        <f>说明!E30</f>
        <v>2019年度</v>
      </c>
      <c r="D5" s="464"/>
      <c r="E5" s="465" t="str">
        <f>说明!E29</f>
        <v>2018年度</v>
      </c>
      <c r="F5" s="464"/>
      <c r="G5" s="1207"/>
      <c r="H5" s="465" t="str">
        <f>说明!E30</f>
        <v>2019年度</v>
      </c>
      <c r="I5" s="464"/>
      <c r="J5" s="465" t="str">
        <f>说明!E29</f>
        <v>2018年度</v>
      </c>
      <c r="K5" s="464"/>
    </row>
    <row r="6" spans="1:11" s="36" customFormat="1" ht="18" customHeight="1">
      <c r="A6" s="44" t="str">
        <f>报表格式!Q5</f>
        <v>一、经营活动产生的现金流量</v>
      </c>
      <c r="B6" s="45"/>
      <c r="C6" s="675"/>
      <c r="D6" s="162"/>
      <c r="E6" s="675"/>
      <c r="F6" s="162"/>
      <c r="G6" s="162"/>
      <c r="H6" s="675"/>
      <c r="I6" s="162"/>
      <c r="J6" s="675"/>
      <c r="K6" s="162"/>
    </row>
    <row r="7" spans="1:11" s="36" customFormat="1" ht="18" customHeight="1">
      <c r="A7" s="46" t="str">
        <f>报表格式!Q6</f>
        <v xml:space="preserve">     销售商品、提供劳务收到的现金</v>
      </c>
      <c r="B7" s="47"/>
      <c r="C7" s="676">
        <f>TB合并CF!I7</f>
        <v>0</v>
      </c>
      <c r="D7" s="74"/>
      <c r="E7" s="676"/>
      <c r="F7" s="74"/>
      <c r="G7" s="74"/>
      <c r="H7" s="676">
        <f>TB母公司CF!I7</f>
        <v>0</v>
      </c>
      <c r="I7" s="74"/>
      <c r="J7" s="676"/>
      <c r="K7" s="74"/>
    </row>
    <row r="8" spans="1:11" s="36" customFormat="1" ht="18" customHeight="1">
      <c r="A8" s="46" t="str">
        <f>报表格式!Q7</f>
        <v xml:space="preserve">     客户存款和同业存放款项净增加额</v>
      </c>
      <c r="B8" s="47"/>
      <c r="C8" s="676">
        <f>TB合并CF!I8</f>
        <v>0</v>
      </c>
      <c r="D8" s="74"/>
      <c r="E8" s="676"/>
      <c r="F8" s="74"/>
      <c r="G8" s="74"/>
      <c r="H8" s="676">
        <f>TB母公司CF!I8</f>
        <v>0</v>
      </c>
      <c r="I8" s="74"/>
      <c r="J8" s="676"/>
      <c r="K8" s="74"/>
    </row>
    <row r="9" spans="1:11" s="36" customFormat="1" ht="18" customHeight="1">
      <c r="A9" s="46" t="str">
        <f>报表格式!Q8</f>
        <v xml:space="preserve">     向中央银行借款净增加额</v>
      </c>
      <c r="B9" s="47"/>
      <c r="C9" s="676">
        <f>TB合并CF!I9</f>
        <v>0</v>
      </c>
      <c r="D9" s="74"/>
      <c r="E9" s="676"/>
      <c r="F9" s="74"/>
      <c r="G9" s="74"/>
      <c r="H9" s="676">
        <f>TB母公司CF!I9</f>
        <v>0</v>
      </c>
      <c r="I9" s="74"/>
      <c r="J9" s="676"/>
      <c r="K9" s="74"/>
    </row>
    <row r="10" spans="1:11" s="36" customFormat="1" ht="18" customHeight="1">
      <c r="A10" s="46" t="str">
        <f>报表格式!Q9</f>
        <v xml:space="preserve">     向其他金融机构拆入资金净增加额</v>
      </c>
      <c r="B10" s="47"/>
      <c r="C10" s="676">
        <f>TB合并CF!I10</f>
        <v>0</v>
      </c>
      <c r="D10" s="74"/>
      <c r="E10" s="676"/>
      <c r="F10" s="74"/>
      <c r="G10" s="74"/>
      <c r="H10" s="676">
        <f>TB母公司CF!I10</f>
        <v>0</v>
      </c>
      <c r="I10" s="74"/>
      <c r="J10" s="676"/>
      <c r="K10" s="74"/>
    </row>
    <row r="11" spans="1:11" s="36" customFormat="1" ht="18" customHeight="1">
      <c r="A11" s="46" t="str">
        <f>报表格式!Q10</f>
        <v xml:space="preserve">     收到原保险合同保费取得的现金</v>
      </c>
      <c r="B11" s="47"/>
      <c r="C11" s="676">
        <f>TB合并CF!I11</f>
        <v>0</v>
      </c>
      <c r="D11" s="74"/>
      <c r="E11" s="676"/>
      <c r="F11" s="74"/>
      <c r="G11" s="74"/>
      <c r="H11" s="676">
        <f>TB母公司CF!I11</f>
        <v>0</v>
      </c>
      <c r="I11" s="74"/>
      <c r="J11" s="676"/>
      <c r="K11" s="74"/>
    </row>
    <row r="12" spans="1:11" s="36" customFormat="1" ht="18" customHeight="1">
      <c r="A12" s="46" t="str">
        <f>报表格式!Q11</f>
        <v xml:space="preserve">     收到再保险业务现金净额</v>
      </c>
      <c r="B12" s="47"/>
      <c r="C12" s="676">
        <f>TB合并CF!I12</f>
        <v>0</v>
      </c>
      <c r="D12" s="74"/>
      <c r="E12" s="676"/>
      <c r="F12" s="74"/>
      <c r="G12" s="74"/>
      <c r="H12" s="676">
        <f>TB母公司CF!I12</f>
        <v>0</v>
      </c>
      <c r="I12" s="74"/>
      <c r="J12" s="676"/>
      <c r="K12" s="74"/>
    </row>
    <row r="13" spans="1:11" s="36" customFormat="1" ht="18" customHeight="1">
      <c r="A13" s="46" t="str">
        <f>报表格式!Q12</f>
        <v xml:space="preserve">     保户储金及投资款净增加额</v>
      </c>
      <c r="B13" s="47"/>
      <c r="C13" s="676">
        <f>TB合并CF!I13</f>
        <v>0</v>
      </c>
      <c r="D13" s="74"/>
      <c r="E13" s="676"/>
      <c r="F13" s="74"/>
      <c r="G13" s="74"/>
      <c r="H13" s="676">
        <f>TB母公司CF!I13</f>
        <v>0</v>
      </c>
      <c r="I13" s="74"/>
      <c r="J13" s="676"/>
      <c r="K13" s="74"/>
    </row>
    <row r="14" spans="1:11" s="36" customFormat="1" ht="18" customHeight="1">
      <c r="A14" s="46" t="str">
        <f>报表格式!Q13</f>
        <v xml:space="preserve">     收取利息、手续费及佣金的现金</v>
      </c>
      <c r="B14" s="47"/>
      <c r="C14" s="676">
        <f>TB合并CF!I14</f>
        <v>0</v>
      </c>
      <c r="D14" s="74"/>
      <c r="E14" s="676"/>
      <c r="F14" s="74"/>
      <c r="G14" s="74"/>
      <c r="H14" s="676">
        <f>TB母公司CF!I14</f>
        <v>0</v>
      </c>
      <c r="I14" s="74"/>
      <c r="J14" s="676"/>
      <c r="K14" s="74"/>
    </row>
    <row r="15" spans="1:11" s="36" customFormat="1" ht="18" customHeight="1">
      <c r="A15" s="46" t="str">
        <f>报表格式!Q14</f>
        <v xml:space="preserve">     拆入资金净增加额</v>
      </c>
      <c r="B15" s="47"/>
      <c r="C15" s="676">
        <f>TB合并CF!I15</f>
        <v>0</v>
      </c>
      <c r="D15" s="74"/>
      <c r="E15" s="676"/>
      <c r="F15" s="74"/>
      <c r="G15" s="74"/>
      <c r="H15" s="676">
        <f>TB母公司CF!I15</f>
        <v>0</v>
      </c>
      <c r="I15" s="74"/>
      <c r="J15" s="676"/>
      <c r="K15" s="74"/>
    </row>
    <row r="16" spans="1:11" s="36" customFormat="1" ht="18" customHeight="1">
      <c r="A16" s="46" t="str">
        <f>报表格式!Q15</f>
        <v xml:space="preserve">     回购业务资金净增加额</v>
      </c>
      <c r="B16" s="47"/>
      <c r="C16" s="676">
        <f>TB合并CF!I16</f>
        <v>0</v>
      </c>
      <c r="D16" s="74"/>
      <c r="E16" s="676"/>
      <c r="F16" s="74"/>
      <c r="G16" s="74"/>
      <c r="H16" s="676">
        <f>TB母公司CF!I16</f>
        <v>0</v>
      </c>
      <c r="I16" s="74"/>
      <c r="J16" s="676"/>
      <c r="K16" s="74"/>
    </row>
    <row r="17" spans="1:11" s="36" customFormat="1" ht="18" customHeight="1">
      <c r="A17" s="46" t="str">
        <f>报表格式!Q16</f>
        <v xml:space="preserve">     收到的税费返还</v>
      </c>
      <c r="B17" s="47"/>
      <c r="C17" s="676">
        <f>TB合并CF!I17</f>
        <v>0</v>
      </c>
      <c r="D17" s="74"/>
      <c r="E17" s="676"/>
      <c r="F17" s="74"/>
      <c r="G17" s="74"/>
      <c r="H17" s="676">
        <f>TB母公司CF!I17</f>
        <v>0</v>
      </c>
      <c r="I17" s="74"/>
      <c r="J17" s="676"/>
      <c r="K17" s="74"/>
    </row>
    <row r="18" spans="1:11" s="36" customFormat="1" ht="18" customHeight="1">
      <c r="A18" s="46" t="str">
        <f>报表格式!Q17</f>
        <v xml:space="preserve">     收到的其他与经营活动有关的现金</v>
      </c>
      <c r="B18" s="47"/>
      <c r="C18" s="676">
        <f>TB合并CF!I18</f>
        <v>0</v>
      </c>
      <c r="D18" s="74"/>
      <c r="E18" s="676"/>
      <c r="F18" s="74"/>
      <c r="G18" s="74"/>
      <c r="H18" s="676">
        <f>TB母公司CF!I18</f>
        <v>0</v>
      </c>
      <c r="I18" s="74"/>
      <c r="J18" s="676"/>
      <c r="K18" s="74"/>
    </row>
    <row r="19" spans="1:11" s="36" customFormat="1" ht="18" customHeight="1">
      <c r="A19" s="46">
        <f>报表格式!Q18</f>
        <v>0</v>
      </c>
      <c r="B19" s="47"/>
      <c r="C19" s="676">
        <f>TB合并CF!I19</f>
        <v>0</v>
      </c>
      <c r="D19" s="74"/>
      <c r="E19" s="676"/>
      <c r="F19" s="74"/>
      <c r="G19" s="74"/>
      <c r="H19" s="676">
        <f>TB母公司CF!I19</f>
        <v>0</v>
      </c>
      <c r="I19" s="74"/>
      <c r="J19" s="676"/>
      <c r="K19" s="74"/>
    </row>
    <row r="20" spans="1:11" s="36" customFormat="1" ht="18" customHeight="1">
      <c r="A20" s="674" t="str">
        <f>报表格式!Q20</f>
        <v xml:space="preserve">     经营活动现金流入小计</v>
      </c>
      <c r="B20" s="47"/>
      <c r="C20" s="676">
        <f>TB合并CF!I20</f>
        <v>0</v>
      </c>
      <c r="D20" s="74"/>
      <c r="E20" s="676">
        <f>SUM(E7:E19)</f>
        <v>0</v>
      </c>
      <c r="F20" s="74"/>
      <c r="G20" s="74"/>
      <c r="H20" s="676">
        <f>TB母公司CF!I20</f>
        <v>0</v>
      </c>
      <c r="I20" s="74"/>
      <c r="J20" s="676">
        <f>SUM(J7:J19)</f>
        <v>0</v>
      </c>
      <c r="K20" s="74"/>
    </row>
    <row r="21" spans="1:11" s="36" customFormat="1" ht="18" customHeight="1">
      <c r="A21" s="46" t="str">
        <f>报表格式!Q21</f>
        <v xml:space="preserve">     购买商品、接受劳务支付的现金</v>
      </c>
      <c r="B21" s="47"/>
      <c r="C21" s="676">
        <f>TB合并CF!I21</f>
        <v>0</v>
      </c>
      <c r="D21" s="74"/>
      <c r="E21" s="676"/>
      <c r="F21" s="74"/>
      <c r="G21" s="74"/>
      <c r="H21" s="676">
        <f>TB母公司CF!I21</f>
        <v>0</v>
      </c>
      <c r="I21" s="74"/>
      <c r="J21" s="676"/>
      <c r="K21" s="74"/>
    </row>
    <row r="22" spans="1:11" s="36" customFormat="1" ht="18" customHeight="1">
      <c r="A22" s="46" t="str">
        <f>报表格式!Q22</f>
        <v xml:space="preserve">     客户贷款及垫款净增加额</v>
      </c>
      <c r="B22" s="47"/>
      <c r="C22" s="676">
        <f>TB合并CF!I22</f>
        <v>0</v>
      </c>
      <c r="D22" s="74"/>
      <c r="E22" s="676"/>
      <c r="F22" s="74"/>
      <c r="G22" s="74"/>
      <c r="H22" s="676">
        <f>TB母公司CF!I22</f>
        <v>0</v>
      </c>
      <c r="I22" s="74"/>
      <c r="J22" s="676"/>
      <c r="K22" s="74"/>
    </row>
    <row r="23" spans="1:11" s="36" customFormat="1" ht="18" customHeight="1">
      <c r="A23" s="46" t="str">
        <f>报表格式!Q23</f>
        <v xml:space="preserve">     存放中央银行和同业款项净增加额</v>
      </c>
      <c r="B23" s="47"/>
      <c r="C23" s="676">
        <f>TB合并CF!I23</f>
        <v>0</v>
      </c>
      <c r="D23" s="74"/>
      <c r="E23" s="676"/>
      <c r="F23" s="74"/>
      <c r="G23" s="74"/>
      <c r="H23" s="676">
        <f>TB母公司CF!I23</f>
        <v>0</v>
      </c>
      <c r="I23" s="74"/>
      <c r="J23" s="676"/>
      <c r="K23" s="74"/>
    </row>
    <row r="24" spans="1:11" s="36" customFormat="1" ht="18" customHeight="1">
      <c r="A24" s="46" t="str">
        <f>报表格式!Q24</f>
        <v xml:space="preserve">     支付原保险合同赔付款项的现金</v>
      </c>
      <c r="B24" s="47"/>
      <c r="C24" s="676">
        <f>TB合并CF!I24</f>
        <v>0</v>
      </c>
      <c r="D24" s="74"/>
      <c r="E24" s="676"/>
      <c r="F24" s="74"/>
      <c r="G24" s="74"/>
      <c r="H24" s="676">
        <f>TB母公司CF!I24</f>
        <v>0</v>
      </c>
      <c r="I24" s="74"/>
      <c r="J24" s="676"/>
      <c r="K24" s="74"/>
    </row>
    <row r="25" spans="1:11" s="36" customFormat="1" ht="18" customHeight="1">
      <c r="A25" s="46" t="str">
        <f>报表格式!Q25</f>
        <v xml:space="preserve">     支付利息、手续费及佣金的现金</v>
      </c>
      <c r="B25" s="47"/>
      <c r="C25" s="676">
        <f>TB合并CF!I25</f>
        <v>0</v>
      </c>
      <c r="D25" s="74"/>
      <c r="E25" s="676"/>
      <c r="F25" s="74"/>
      <c r="G25" s="74"/>
      <c r="H25" s="676">
        <f>TB母公司CF!I25</f>
        <v>0</v>
      </c>
      <c r="I25" s="74"/>
      <c r="J25" s="676"/>
      <c r="K25" s="74"/>
    </row>
    <row r="26" spans="1:11" s="36" customFormat="1" ht="18" customHeight="1">
      <c r="A26" s="46" t="str">
        <f>报表格式!Q26</f>
        <v xml:space="preserve">     支付保单红利的现金</v>
      </c>
      <c r="B26" s="47"/>
      <c r="C26" s="676">
        <f>TB合并CF!I26</f>
        <v>0</v>
      </c>
      <c r="D26" s="74"/>
      <c r="E26" s="676"/>
      <c r="F26" s="74"/>
      <c r="G26" s="74"/>
      <c r="H26" s="676">
        <f>TB母公司CF!I26</f>
        <v>0</v>
      </c>
      <c r="I26" s="74"/>
      <c r="J26" s="676"/>
      <c r="K26" s="74"/>
    </row>
    <row r="27" spans="1:11" s="36" customFormat="1" ht="18" customHeight="1">
      <c r="A27" s="46" t="str">
        <f>报表格式!Q27</f>
        <v xml:space="preserve">     支付给职工以及为职工支付的现金</v>
      </c>
      <c r="B27" s="47"/>
      <c r="C27" s="676">
        <f>TB合并CF!I27</f>
        <v>0</v>
      </c>
      <c r="D27" s="74"/>
      <c r="E27" s="676"/>
      <c r="F27" s="74"/>
      <c r="G27" s="74"/>
      <c r="H27" s="676">
        <f>TB母公司CF!I27</f>
        <v>0</v>
      </c>
      <c r="I27" s="74"/>
      <c r="J27" s="676"/>
      <c r="K27" s="74"/>
    </row>
    <row r="28" spans="1:11" s="36" customFormat="1" ht="18" customHeight="1">
      <c r="A28" s="46" t="str">
        <f>报表格式!Q28</f>
        <v xml:space="preserve">     支付各项税费</v>
      </c>
      <c r="B28" s="48"/>
      <c r="C28" s="676">
        <f>TB合并CF!I28</f>
        <v>0</v>
      </c>
      <c r="D28" s="74"/>
      <c r="E28" s="676"/>
      <c r="F28" s="74"/>
      <c r="G28" s="74"/>
      <c r="H28" s="676">
        <f>TB母公司CF!I28</f>
        <v>0</v>
      </c>
      <c r="I28" s="74"/>
      <c r="J28" s="676"/>
      <c r="K28" s="74"/>
    </row>
    <row r="29" spans="1:11" s="36" customFormat="1" ht="18" customHeight="1">
      <c r="A29" s="46" t="str">
        <f>报表格式!Q29</f>
        <v xml:space="preserve">     支付的其他与经营活动有关的现金</v>
      </c>
      <c r="B29" s="47"/>
      <c r="C29" s="676">
        <f>TB合并CF!I29</f>
        <v>0</v>
      </c>
      <c r="D29" s="74"/>
      <c r="E29" s="676"/>
      <c r="F29" s="74"/>
      <c r="G29" s="74"/>
      <c r="H29" s="676">
        <f>TB母公司CF!I29</f>
        <v>0</v>
      </c>
      <c r="I29" s="74"/>
      <c r="J29" s="676"/>
      <c r="K29" s="74"/>
    </row>
    <row r="30" spans="1:11" s="36" customFormat="1" ht="18" customHeight="1">
      <c r="A30" s="674" t="str">
        <f>报表格式!Q31</f>
        <v xml:space="preserve">     经营活动现金流出小计</v>
      </c>
      <c r="B30" s="47"/>
      <c r="C30" s="676">
        <f>TB合并CF!I30</f>
        <v>0</v>
      </c>
      <c r="D30" s="74"/>
      <c r="E30" s="676">
        <f>SUM(E21:E29)</f>
        <v>0</v>
      </c>
      <c r="F30" s="74"/>
      <c r="G30" s="163"/>
      <c r="H30" s="676">
        <f>TB母公司CF!I30</f>
        <v>0</v>
      </c>
      <c r="I30" s="163"/>
      <c r="J30" s="676">
        <f>SUM(J21:J29)</f>
        <v>0</v>
      </c>
      <c r="K30" s="74"/>
    </row>
    <row r="31" spans="1:11" s="50" customFormat="1" ht="18" customHeight="1">
      <c r="A31" s="674" t="str">
        <f>报表格式!Q32</f>
        <v xml:space="preserve">     经营活动产生的现金流量净额</v>
      </c>
      <c r="B31" s="49"/>
      <c r="C31" s="677">
        <f>TB合并CF!I31</f>
        <v>0</v>
      </c>
      <c r="D31" s="164"/>
      <c r="E31" s="680">
        <f>E20-E30</f>
        <v>0</v>
      </c>
      <c r="F31" s="164"/>
      <c r="G31" s="164"/>
      <c r="H31" s="677">
        <f>TB母公司CF!I31</f>
        <v>0</v>
      </c>
      <c r="I31" s="164"/>
      <c r="J31" s="680">
        <f>J20-J30</f>
        <v>0</v>
      </c>
      <c r="K31" s="164"/>
    </row>
    <row r="32" spans="1:11" s="36" customFormat="1" ht="18" customHeight="1">
      <c r="A32" s="44" t="str">
        <f>报表格式!Q33</f>
        <v>二、投资活动产生的现金流量</v>
      </c>
      <c r="B32" s="47"/>
      <c r="C32" s="676"/>
      <c r="D32" s="74"/>
      <c r="E32" s="676"/>
      <c r="F32" s="74"/>
      <c r="G32" s="74"/>
      <c r="H32" s="676"/>
      <c r="I32" s="74"/>
      <c r="J32" s="676"/>
      <c r="K32" s="74"/>
    </row>
    <row r="33" spans="1:11" s="36" customFormat="1" ht="18" customHeight="1">
      <c r="A33" s="46" t="str">
        <f>报表格式!Q34</f>
        <v xml:space="preserve">     收回投资所收到的现金</v>
      </c>
      <c r="B33" s="47"/>
      <c r="C33" s="676">
        <f>TB合并CF!I33</f>
        <v>0</v>
      </c>
      <c r="D33" s="74"/>
      <c r="E33" s="676"/>
      <c r="F33" s="74"/>
      <c r="G33" s="74"/>
      <c r="H33" s="676">
        <f>TB母公司CF!I33</f>
        <v>0</v>
      </c>
      <c r="I33" s="74"/>
      <c r="J33" s="676"/>
      <c r="K33" s="74"/>
    </row>
    <row r="34" spans="1:11" s="36" customFormat="1" ht="18" customHeight="1">
      <c r="A34" s="46" t="str">
        <f>报表格式!Q35</f>
        <v xml:space="preserve">     取得投资收益所收到的现金</v>
      </c>
      <c r="B34" s="47"/>
      <c r="C34" s="676">
        <f>TB合并CF!I34</f>
        <v>0</v>
      </c>
      <c r="D34" s="74"/>
      <c r="E34" s="676"/>
      <c r="F34" s="74"/>
      <c r="G34" s="74"/>
      <c r="H34" s="676">
        <f>TB母公司CF!I34</f>
        <v>0</v>
      </c>
      <c r="I34" s="74"/>
      <c r="J34" s="676"/>
      <c r="K34" s="74"/>
    </row>
    <row r="35" spans="1:11" s="36" customFormat="1" ht="18" customHeight="1">
      <c r="A35" s="46" t="str">
        <f>报表格式!Q36</f>
        <v xml:space="preserve">     处置固定资产、无形资产和其他长期资产而收到的现金净额</v>
      </c>
      <c r="B35" s="47"/>
      <c r="C35" s="676">
        <f>TB合并CF!I35</f>
        <v>0</v>
      </c>
      <c r="D35" s="74"/>
      <c r="E35" s="676"/>
      <c r="F35" s="74"/>
      <c r="G35" s="74"/>
      <c r="H35" s="676">
        <f>TB母公司CF!I35</f>
        <v>0</v>
      </c>
      <c r="I35" s="74"/>
      <c r="J35" s="676"/>
      <c r="K35" s="74"/>
    </row>
    <row r="36" spans="1:11" s="36" customFormat="1" ht="18" customHeight="1">
      <c r="A36" s="46" t="str">
        <f>报表格式!Q37</f>
        <v xml:space="preserve">     处置子公司及其他营业单位收到的现金净额</v>
      </c>
      <c r="B36" s="47"/>
      <c r="C36" s="676">
        <f>TB合并CF!I36</f>
        <v>0</v>
      </c>
      <c r="D36" s="74"/>
      <c r="E36" s="676"/>
      <c r="F36" s="74"/>
      <c r="G36" s="74"/>
      <c r="H36" s="676">
        <f>TB母公司CF!I36</f>
        <v>0</v>
      </c>
      <c r="I36" s="74"/>
      <c r="J36" s="676"/>
      <c r="K36" s="74"/>
    </row>
    <row r="37" spans="1:11" s="36" customFormat="1" ht="18" customHeight="1">
      <c r="A37" s="46" t="str">
        <f>报表格式!Q38</f>
        <v xml:space="preserve">     收到其他与投资活动有关的现金</v>
      </c>
      <c r="B37" s="47"/>
      <c r="C37" s="676">
        <f>TB合并CF!I37</f>
        <v>0</v>
      </c>
      <c r="D37" s="74"/>
      <c r="E37" s="676"/>
      <c r="F37" s="74"/>
      <c r="G37" s="74"/>
      <c r="H37" s="676">
        <f>TB母公司CF!I37</f>
        <v>0</v>
      </c>
      <c r="I37" s="74"/>
      <c r="J37" s="676"/>
      <c r="K37" s="74"/>
    </row>
    <row r="38" spans="1:11" s="36" customFormat="1" ht="18" customHeight="1">
      <c r="A38" s="674" t="str">
        <f>报表格式!Q40</f>
        <v xml:space="preserve">     投资活动现金流入小计</v>
      </c>
      <c r="B38" s="47"/>
      <c r="C38" s="676">
        <f>TB合并CF!I38</f>
        <v>0</v>
      </c>
      <c r="D38" s="74"/>
      <c r="E38" s="676">
        <f>SUM(E33:E37)</f>
        <v>0</v>
      </c>
      <c r="F38" s="74"/>
      <c r="G38" s="74"/>
      <c r="H38" s="676">
        <f>TB母公司CF!I38</f>
        <v>0</v>
      </c>
      <c r="I38" s="74"/>
      <c r="J38" s="676">
        <f>SUM(J33:J37)</f>
        <v>0</v>
      </c>
      <c r="K38" s="74"/>
    </row>
    <row r="39" spans="1:11" s="36" customFormat="1" ht="18" customHeight="1">
      <c r="A39" s="46" t="str">
        <f>报表格式!Q41</f>
        <v xml:space="preserve">     购置固定资产、无形资产和其他长期资产所支付现金 </v>
      </c>
      <c r="B39" s="47"/>
      <c r="C39" s="676">
        <f>TB合并CF!I39</f>
        <v>0</v>
      </c>
      <c r="D39" s="74"/>
      <c r="E39" s="676"/>
      <c r="F39" s="74"/>
      <c r="G39" s="74"/>
      <c r="H39" s="676">
        <f>TB母公司CF!I39</f>
        <v>0</v>
      </c>
      <c r="I39" s="74"/>
      <c r="J39" s="676"/>
      <c r="K39" s="74"/>
    </row>
    <row r="40" spans="1:11" s="36" customFormat="1" ht="18" customHeight="1">
      <c r="A40" s="46" t="str">
        <f>报表格式!Q42</f>
        <v xml:space="preserve">     投资所支付的现金</v>
      </c>
      <c r="B40" s="47"/>
      <c r="C40" s="676">
        <f>TB合并CF!I40</f>
        <v>0</v>
      </c>
      <c r="D40" s="74"/>
      <c r="E40" s="676"/>
      <c r="F40" s="74"/>
      <c r="G40" s="74"/>
      <c r="H40" s="676">
        <f>TB母公司CF!I40</f>
        <v>0</v>
      </c>
      <c r="I40" s="74"/>
      <c r="J40" s="676"/>
      <c r="K40" s="74"/>
    </row>
    <row r="41" spans="1:11" s="36" customFormat="1" ht="18" customHeight="1">
      <c r="A41" s="46" t="str">
        <f>报表格式!Q43</f>
        <v xml:space="preserve">     质押贷款净增加额</v>
      </c>
      <c r="B41" s="47"/>
      <c r="C41" s="676">
        <f>TB合并CF!I41</f>
        <v>0</v>
      </c>
      <c r="D41" s="74"/>
      <c r="E41" s="676"/>
      <c r="F41" s="74"/>
      <c r="G41" s="74"/>
      <c r="H41" s="676">
        <f>TB母公司CF!I41</f>
        <v>0</v>
      </c>
      <c r="I41" s="74"/>
      <c r="J41" s="676"/>
      <c r="K41" s="74"/>
    </row>
    <row r="42" spans="1:11" s="36" customFormat="1" ht="18" customHeight="1">
      <c r="A42" s="46" t="str">
        <f>报表格式!Q44</f>
        <v xml:space="preserve">     取得子公司及其他营业单位支付的现金净额</v>
      </c>
      <c r="B42" s="47"/>
      <c r="C42" s="676">
        <f>TB合并CF!I42</f>
        <v>0</v>
      </c>
      <c r="D42" s="74"/>
      <c r="E42" s="676"/>
      <c r="F42" s="74"/>
      <c r="G42" s="74"/>
      <c r="H42" s="676">
        <f>TB母公司CF!I42</f>
        <v>0</v>
      </c>
      <c r="I42" s="74"/>
      <c r="J42" s="676"/>
      <c r="K42" s="74"/>
    </row>
    <row r="43" spans="1:11" s="50" customFormat="1" ht="18" customHeight="1">
      <c r="A43" s="46" t="str">
        <f>报表格式!Q45</f>
        <v xml:space="preserve">     支付其他与投资活动有关的现金</v>
      </c>
      <c r="B43" s="49"/>
      <c r="C43" s="676">
        <f>TB合并CF!I43</f>
        <v>0</v>
      </c>
      <c r="D43" s="74"/>
      <c r="E43" s="676"/>
      <c r="F43" s="74"/>
      <c r="G43" s="73"/>
      <c r="H43" s="676">
        <f>TB母公司CF!I43</f>
        <v>0</v>
      </c>
      <c r="I43" s="73"/>
      <c r="J43" s="677"/>
      <c r="K43" s="74"/>
    </row>
    <row r="44" spans="1:11" s="50" customFormat="1" ht="18" customHeight="1">
      <c r="A44" s="674" t="str">
        <f>报表格式!Q47</f>
        <v xml:space="preserve">      投资活动现金流出小计</v>
      </c>
      <c r="B44" s="49"/>
      <c r="C44" s="676">
        <f>TB合并CF!I44</f>
        <v>0</v>
      </c>
      <c r="D44" s="74"/>
      <c r="E44" s="676">
        <f>SUM(E39:E43)</f>
        <v>0</v>
      </c>
      <c r="F44" s="74"/>
      <c r="G44" s="164"/>
      <c r="H44" s="676">
        <f>TB母公司CF!I44</f>
        <v>0</v>
      </c>
      <c r="I44" s="164"/>
      <c r="J44" s="676">
        <f>SUM(J39:J43)</f>
        <v>0</v>
      </c>
      <c r="K44" s="74"/>
    </row>
    <row r="45" spans="1:11" s="50" customFormat="1" ht="18" customHeight="1">
      <c r="A45" s="674" t="str">
        <f>报表格式!Q48</f>
        <v xml:space="preserve">     投资活动产生的现金流量净额</v>
      </c>
      <c r="B45" s="49"/>
      <c r="C45" s="677">
        <f>TB合并CF!I45</f>
        <v>0</v>
      </c>
      <c r="D45" s="73"/>
      <c r="E45" s="677">
        <f>E38-E44</f>
        <v>0</v>
      </c>
      <c r="F45" s="73"/>
      <c r="G45" s="73"/>
      <c r="H45" s="677">
        <f>TB母公司CF!I45</f>
        <v>0</v>
      </c>
      <c r="I45" s="73"/>
      <c r="J45" s="677">
        <f>J38-J44</f>
        <v>0</v>
      </c>
      <c r="K45" s="73"/>
    </row>
    <row r="46" spans="1:11" s="36" customFormat="1" ht="18" customHeight="1">
      <c r="A46" s="44" t="str">
        <f>报表格式!Q49</f>
        <v>三、筹资活动产生的现金流量</v>
      </c>
      <c r="B46" s="47"/>
      <c r="C46" s="676"/>
      <c r="D46" s="74"/>
      <c r="E46" s="676"/>
      <c r="F46" s="74"/>
      <c r="G46" s="74"/>
      <c r="H46" s="676"/>
      <c r="I46" s="74"/>
      <c r="J46" s="676"/>
      <c r="K46" s="74"/>
    </row>
    <row r="47" spans="1:11" s="36" customFormat="1" ht="18" customHeight="1">
      <c r="A47" s="46" t="str">
        <f>报表格式!Q50</f>
        <v xml:space="preserve">     吸收投资所收到的现金</v>
      </c>
      <c r="B47" s="47"/>
      <c r="C47" s="676">
        <f>TB合并CF!I47</f>
        <v>0</v>
      </c>
      <c r="D47" s="74"/>
      <c r="E47" s="676"/>
      <c r="F47" s="74"/>
      <c r="G47" s="74"/>
      <c r="H47" s="676">
        <f>TB母公司CF!I47</f>
        <v>0</v>
      </c>
      <c r="I47" s="74"/>
      <c r="J47" s="676"/>
      <c r="K47" s="74"/>
    </row>
    <row r="48" spans="1:11" s="36" customFormat="1" ht="18" customHeight="1">
      <c r="A48" s="476" t="str">
        <f>报表格式!Q51</f>
        <v xml:space="preserve">     其中：子公司吸收少数股东投资收到的现金</v>
      </c>
      <c r="B48" s="47"/>
      <c r="C48" s="676">
        <f>TB合并CF!I48</f>
        <v>0</v>
      </c>
      <c r="D48" s="74"/>
      <c r="E48" s="676"/>
      <c r="F48" s="74"/>
      <c r="G48" s="74"/>
      <c r="H48" s="676">
        <f>TB母公司CF!I48</f>
        <v>0</v>
      </c>
      <c r="I48" s="74"/>
      <c r="J48" s="676"/>
      <c r="K48" s="74"/>
    </row>
    <row r="49" spans="1:11" s="36" customFormat="1" ht="18" customHeight="1">
      <c r="A49" s="46" t="str">
        <f>报表格式!Q52</f>
        <v xml:space="preserve">     取得借款收到的现金</v>
      </c>
      <c r="B49" s="47"/>
      <c r="C49" s="676">
        <f>TB合并CF!I49</f>
        <v>0</v>
      </c>
      <c r="D49" s="74"/>
      <c r="E49" s="676"/>
      <c r="F49" s="74"/>
      <c r="G49" s="74"/>
      <c r="H49" s="676">
        <f>TB母公司CF!I49</f>
        <v>0</v>
      </c>
      <c r="I49" s="74"/>
      <c r="J49" s="676"/>
      <c r="K49" s="74"/>
    </row>
    <row r="50" spans="1:11" s="36" customFormat="1" ht="18" customHeight="1">
      <c r="A50" s="46" t="str">
        <f>报表格式!Q53</f>
        <v xml:space="preserve">     收到的其他与筹资活动有关的现金</v>
      </c>
      <c r="B50" s="47"/>
      <c r="C50" s="676">
        <f>TB合并CF!I50</f>
        <v>0</v>
      </c>
      <c r="D50" s="74"/>
      <c r="E50" s="676"/>
      <c r="F50" s="74"/>
      <c r="G50" s="74"/>
      <c r="H50" s="676">
        <f>TB母公司CF!I50</f>
        <v>0</v>
      </c>
      <c r="I50" s="74"/>
      <c r="J50" s="676"/>
      <c r="K50" s="74"/>
    </row>
    <row r="51" spans="1:11" s="36" customFormat="1" ht="18" customHeight="1">
      <c r="A51" s="46">
        <f>报表格式!Q54</f>
        <v>0</v>
      </c>
      <c r="B51" s="47"/>
      <c r="C51" s="676">
        <f>TB合并CF!I51</f>
        <v>0</v>
      </c>
      <c r="D51" s="74"/>
      <c r="E51" s="676"/>
      <c r="F51" s="74"/>
      <c r="G51" s="74"/>
      <c r="H51" s="676">
        <f>TB母公司CF!I51</f>
        <v>0</v>
      </c>
      <c r="I51" s="74"/>
      <c r="J51" s="676"/>
      <c r="K51" s="74"/>
    </row>
    <row r="52" spans="1:11" s="36" customFormat="1" ht="18" customHeight="1">
      <c r="A52" s="674" t="str">
        <f>报表格式!Q55</f>
        <v xml:space="preserve">     筹资活动现金流入小计</v>
      </c>
      <c r="B52" s="47"/>
      <c r="C52" s="676">
        <f>TB合并CF!I52</f>
        <v>0</v>
      </c>
      <c r="D52" s="74"/>
      <c r="E52" s="676">
        <f>SUM(E47:E51)-E48</f>
        <v>0</v>
      </c>
      <c r="F52" s="74"/>
      <c r="G52" s="74"/>
      <c r="H52" s="676">
        <f>TB母公司CF!I52</f>
        <v>0</v>
      </c>
      <c r="I52" s="74"/>
      <c r="J52" s="676">
        <f>SUM(J47:J51)-J48</f>
        <v>0</v>
      </c>
      <c r="K52" s="74"/>
    </row>
    <row r="53" spans="1:11" s="36" customFormat="1" ht="18" customHeight="1">
      <c r="A53" s="46" t="str">
        <f>报表格式!Q56</f>
        <v xml:space="preserve">     偿还债务支付的现金</v>
      </c>
      <c r="B53" s="47"/>
      <c r="C53" s="676">
        <f>TB合并CF!I53</f>
        <v>0</v>
      </c>
      <c r="D53" s="74"/>
      <c r="E53" s="676"/>
      <c r="F53" s="74"/>
      <c r="G53" s="165"/>
      <c r="H53" s="676">
        <f>TB母公司CF!I53</f>
        <v>0</v>
      </c>
      <c r="I53" s="74"/>
      <c r="J53" s="676"/>
      <c r="K53" s="74"/>
    </row>
    <row r="54" spans="1:11" s="50" customFormat="1" ht="18" customHeight="1">
      <c r="A54" s="46" t="str">
        <f>报表格式!Q57</f>
        <v xml:space="preserve">     分配股利、利润或偿付利息支付的现金</v>
      </c>
      <c r="B54" s="49"/>
      <c r="C54" s="676">
        <f>TB合并CF!I54</f>
        <v>0</v>
      </c>
      <c r="D54" s="74"/>
      <c r="E54" s="676"/>
      <c r="F54" s="74"/>
      <c r="G54" s="72"/>
      <c r="H54" s="676">
        <f>TB母公司CF!I54</f>
        <v>0</v>
      </c>
      <c r="I54" s="72"/>
      <c r="J54" s="680"/>
      <c r="K54" s="74"/>
    </row>
    <row r="55" spans="1:11" s="36" customFormat="1" ht="18" customHeight="1">
      <c r="A55" s="476" t="str">
        <f>报表格式!Q58</f>
        <v xml:space="preserve">      其中：子公司支付给少数股东的股利、利润</v>
      </c>
      <c r="B55" s="47"/>
      <c r="C55" s="676">
        <f>TB合并CF!I55</f>
        <v>0</v>
      </c>
      <c r="D55" s="74"/>
      <c r="E55" s="676"/>
      <c r="F55" s="74"/>
      <c r="G55" s="163"/>
      <c r="H55" s="676">
        <f>TB母公司CF!I55</f>
        <v>0</v>
      </c>
      <c r="I55" s="163"/>
      <c r="J55" s="679"/>
      <c r="K55" s="74"/>
    </row>
    <row r="56" spans="1:11" s="36" customFormat="1" ht="18" customHeight="1">
      <c r="A56" s="855" t="str">
        <f>报表格式!Q59</f>
        <v xml:space="preserve">     支付其他与筹资活动有关的现金</v>
      </c>
      <c r="B56" s="47"/>
      <c r="C56" s="676">
        <f>TB合并CF!I56</f>
        <v>0</v>
      </c>
      <c r="D56" s="74"/>
      <c r="E56" s="676"/>
      <c r="F56" s="74"/>
      <c r="G56" s="74"/>
      <c r="H56" s="676">
        <f>TB母公司CF!I56</f>
        <v>0</v>
      </c>
      <c r="I56" s="74"/>
      <c r="J56" s="676"/>
      <c r="K56" s="74"/>
    </row>
    <row r="57" spans="1:11" s="36" customFormat="1" ht="18" customHeight="1">
      <c r="A57" s="856">
        <f>报表格式!Q60</f>
        <v>0</v>
      </c>
      <c r="B57" s="47"/>
      <c r="C57" s="676">
        <f>TB合并CF!I57</f>
        <v>0</v>
      </c>
      <c r="D57" s="74"/>
      <c r="E57" s="676"/>
      <c r="F57" s="74"/>
      <c r="G57" s="74"/>
      <c r="H57" s="676">
        <f>TB母公司CF!I57</f>
        <v>0</v>
      </c>
      <c r="I57" s="74"/>
      <c r="J57" s="676"/>
      <c r="K57" s="74"/>
    </row>
    <row r="58" spans="1:11" s="36" customFormat="1" ht="18" customHeight="1">
      <c r="A58" s="674" t="str">
        <f>报表格式!Q61</f>
        <v xml:space="preserve">     筹资活动现金流出小计</v>
      </c>
      <c r="B58" s="47"/>
      <c r="C58" s="676">
        <f>TB合并CF!I58</f>
        <v>0</v>
      </c>
      <c r="D58" s="74"/>
      <c r="E58" s="676">
        <f>SUM(E53:E54,E56)</f>
        <v>0</v>
      </c>
      <c r="F58" s="74"/>
      <c r="G58" s="74"/>
      <c r="H58" s="676">
        <f>TB母公司CF!I58</f>
        <v>0</v>
      </c>
      <c r="I58" s="74"/>
      <c r="J58" s="676">
        <f>SUM(J53:J54,J56)</f>
        <v>0</v>
      </c>
      <c r="K58" s="74"/>
    </row>
    <row r="59" spans="1:11" s="50" customFormat="1" ht="18" customHeight="1">
      <c r="A59" s="674" t="str">
        <f>报表格式!Q62</f>
        <v xml:space="preserve">     筹资活动产生的现金流量净额</v>
      </c>
      <c r="B59" s="49"/>
      <c r="C59" s="677">
        <f>TB合并CF!I59</f>
        <v>0</v>
      </c>
      <c r="D59" s="73"/>
      <c r="E59" s="677">
        <f>E52-E58</f>
        <v>0</v>
      </c>
      <c r="F59" s="73"/>
      <c r="G59" s="73"/>
      <c r="H59" s="677">
        <f>TB母公司CF!I59</f>
        <v>0</v>
      </c>
      <c r="I59" s="73"/>
      <c r="J59" s="677">
        <f>J52-J58</f>
        <v>0</v>
      </c>
      <c r="K59" s="73"/>
    </row>
    <row r="60" spans="1:11" s="36" customFormat="1" ht="18" customHeight="1">
      <c r="A60" s="46"/>
      <c r="B60" s="47"/>
      <c r="C60" s="676"/>
      <c r="D60" s="74"/>
      <c r="E60" s="676"/>
      <c r="F60" s="74"/>
      <c r="G60" s="74"/>
      <c r="H60" s="676"/>
      <c r="I60" s="74"/>
      <c r="J60" s="676"/>
      <c r="K60" s="74"/>
    </row>
    <row r="61" spans="1:11" s="50" customFormat="1" ht="18" customHeight="1">
      <c r="A61" s="44" t="str">
        <f>报表格式!Q63</f>
        <v>四、汇率变动对现金及现金等价物的影响</v>
      </c>
      <c r="B61" s="49"/>
      <c r="C61" s="677">
        <f>TB合并CF!I61</f>
        <v>0</v>
      </c>
      <c r="D61" s="73"/>
      <c r="E61" s="677"/>
      <c r="F61" s="73"/>
      <c r="G61" s="73"/>
      <c r="H61" s="677">
        <f>TB母公司CF!I61</f>
        <v>0</v>
      </c>
      <c r="I61" s="73"/>
      <c r="J61" s="677"/>
      <c r="K61" s="73"/>
    </row>
    <row r="62" spans="1:11" s="50" customFormat="1" ht="18" customHeight="1">
      <c r="A62" s="44" t="str">
        <f>报表格式!Q64</f>
        <v>五、现金及现金等价物净增加额</v>
      </c>
      <c r="B62" s="49"/>
      <c r="C62" s="677">
        <f>TB合并CF!I62</f>
        <v>0</v>
      </c>
      <c r="D62" s="73"/>
      <c r="E62" s="677">
        <f>SUM(E31,E45,E59,E61)</f>
        <v>0</v>
      </c>
      <c r="F62" s="73"/>
      <c r="G62" s="73"/>
      <c r="H62" s="677">
        <f>TB母公司CF!I62</f>
        <v>0</v>
      </c>
      <c r="I62" s="73"/>
      <c r="J62" s="677">
        <f>SUM(J31,J45,J59,J61)</f>
        <v>0</v>
      </c>
      <c r="K62" s="73"/>
    </row>
    <row r="63" spans="1:11" s="36" customFormat="1" ht="18" customHeight="1">
      <c r="A63" s="46" t="str">
        <f>报表格式!Q65</f>
        <v xml:space="preserve">    加：期初现金及现金等价物余额</v>
      </c>
      <c r="B63" s="47"/>
      <c r="C63" s="676">
        <f>TB合并CF!I63</f>
        <v>0</v>
      </c>
      <c r="D63" s="74"/>
      <c r="E63" s="676"/>
      <c r="F63" s="74"/>
      <c r="G63" s="74"/>
      <c r="H63" s="676">
        <f>TB母公司CF!I63</f>
        <v>0</v>
      </c>
      <c r="I63" s="74"/>
      <c r="J63" s="676"/>
      <c r="K63" s="74"/>
    </row>
    <row r="64" spans="1:11" s="50" customFormat="1" ht="18" customHeight="1">
      <c r="A64" s="51" t="str">
        <f>报表格式!Q66</f>
        <v>六、期末现金及现金等价物余额</v>
      </c>
      <c r="B64" s="52"/>
      <c r="C64" s="729">
        <f>TB合并CF!I64</f>
        <v>0</v>
      </c>
      <c r="D64" s="166"/>
      <c r="E64" s="678">
        <f>SUM(E62:E63)</f>
        <v>0</v>
      </c>
      <c r="F64" s="166"/>
      <c r="G64" s="166"/>
      <c r="H64" s="729">
        <f>TB母公司CF!I64</f>
        <v>0</v>
      </c>
      <c r="I64" s="166"/>
      <c r="J64" s="678">
        <f>SUM(J62:J63)</f>
        <v>0</v>
      </c>
      <c r="K64" s="166" t="e">
        <f>#REF!+K43+K54+K56</f>
        <v>#REF!</v>
      </c>
    </row>
    <row r="65" spans="1:12" s="50" customFormat="1" ht="11.25" customHeight="1">
      <c r="A65" s="53"/>
      <c r="B65" s="54"/>
      <c r="C65" s="55"/>
      <c r="D65" s="55"/>
      <c r="E65" s="55"/>
      <c r="F65" s="55"/>
      <c r="G65" s="55"/>
      <c r="H65" s="55"/>
      <c r="I65" s="55"/>
      <c r="J65" s="55"/>
      <c r="K65" s="55"/>
    </row>
    <row r="66" spans="1:12" s="63" customFormat="1" ht="17.100000000000001" customHeight="1">
      <c r="A66" s="64" t="str">
        <f>CONCATENATE(说明!D24,说明!E24,"　　　　　　　               ",说明!D25,说明!E25)</f>
        <v>法定代表人：　　　　　　　               财务负责人：</v>
      </c>
      <c r="B66" s="65"/>
      <c r="G66" s="65" t="str">
        <f>CONCATENATE(说明!D26,说明!E26)</f>
        <v>会计主管：</v>
      </c>
      <c r="H66" s="65"/>
      <c r="I66" s="65"/>
      <c r="J66" s="65"/>
      <c r="K66" s="65"/>
      <c r="L66" s="65"/>
    </row>
    <row r="67" spans="1:12" ht="14.1" customHeight="1">
      <c r="C67" s="56"/>
      <c r="D67" s="56"/>
      <c r="E67" s="56"/>
      <c r="F67" s="56"/>
      <c r="G67" s="56"/>
      <c r="H67" s="56"/>
      <c r="I67" s="56"/>
      <c r="J67" s="56"/>
      <c r="K67" s="56"/>
    </row>
    <row r="69" spans="1:12" ht="21.75" customHeight="1">
      <c r="A69" s="1208" t="s">
        <v>305</v>
      </c>
      <c r="B69" s="1208"/>
      <c r="C69" s="1208"/>
      <c r="D69" s="1208"/>
      <c r="E69" s="1208"/>
      <c r="F69" s="1208"/>
      <c r="G69" s="1208"/>
      <c r="H69" s="1208"/>
      <c r="I69" s="1208"/>
      <c r="J69" s="1208"/>
      <c r="K69" s="1208"/>
    </row>
    <row r="70" spans="1:12" ht="21.75" customHeight="1">
      <c r="A70" s="1212">
        <f>A2</f>
        <v>0</v>
      </c>
      <c r="B70" s="1212"/>
      <c r="C70" s="1212"/>
      <c r="D70" s="1212"/>
      <c r="E70" s="1212"/>
      <c r="F70" s="1212"/>
      <c r="G70" s="1212"/>
      <c r="H70" s="1212"/>
      <c r="I70" s="1212"/>
      <c r="J70" s="1212"/>
      <c r="K70" s="1212"/>
    </row>
    <row r="71" spans="1:12" ht="21.75" customHeight="1" thickBot="1">
      <c r="A71" s="36" t="str">
        <f>IF(报表格式!G58="","    对不起，请到参数表中确定报表类型！",CONCATENATE(" 编制单位：",说明!E23))</f>
        <v xml:space="preserve"> 编制单位：</v>
      </c>
      <c r="B71" s="36"/>
      <c r="C71" s="57"/>
      <c r="D71" s="57"/>
      <c r="E71" s="57"/>
      <c r="F71" s="57"/>
      <c r="G71" s="57"/>
      <c r="H71" s="57"/>
      <c r="I71" s="57"/>
      <c r="J71" s="57"/>
      <c r="K71" s="57" t="str">
        <f>CONCATENATE("单位：",说明!$E$33)</f>
        <v>单位：人民币元</v>
      </c>
    </row>
    <row r="72" spans="1:12" ht="13.5">
      <c r="A72" s="1210" t="s">
        <v>306</v>
      </c>
      <c r="B72" s="1210" t="s">
        <v>220</v>
      </c>
      <c r="C72" s="1193" t="s">
        <v>577</v>
      </c>
      <c r="D72" s="1194"/>
      <c r="E72" s="1194"/>
      <c r="F72" s="1195"/>
      <c r="G72" s="1206" t="s">
        <v>220</v>
      </c>
      <c r="H72" s="1193" t="s">
        <v>578</v>
      </c>
      <c r="I72" s="1194"/>
      <c r="J72" s="1194"/>
      <c r="K72" s="1195"/>
    </row>
    <row r="73" spans="1:12" ht="13.5">
      <c r="A73" s="1211"/>
      <c r="B73" s="1211"/>
      <c r="C73" s="465" t="str">
        <f>C5</f>
        <v>2019年度</v>
      </c>
      <c r="D73" s="464"/>
      <c r="E73" s="465" t="str">
        <f>E5</f>
        <v>2018年度</v>
      </c>
      <c r="F73" s="464"/>
      <c r="G73" s="1207"/>
      <c r="H73" s="465" t="str">
        <f>H5</f>
        <v>2019年度</v>
      </c>
      <c r="I73" s="464"/>
      <c r="J73" s="465" t="str">
        <f>J5</f>
        <v>2018年度</v>
      </c>
      <c r="K73" s="464"/>
    </row>
    <row r="74" spans="1:12" ht="21.75" customHeight="1">
      <c r="A74" s="44" t="s">
        <v>307</v>
      </c>
      <c r="B74" s="47"/>
      <c r="C74" s="675"/>
      <c r="D74" s="162"/>
      <c r="E74" s="675"/>
      <c r="F74" s="162"/>
      <c r="G74" s="162"/>
      <c r="H74" s="675"/>
      <c r="I74" s="162"/>
      <c r="J74" s="675"/>
      <c r="K74" s="162"/>
    </row>
    <row r="75" spans="1:12" ht="21.75" customHeight="1">
      <c r="A75" s="44" t="str">
        <f>报表格式!U6</f>
        <v xml:space="preserve">     净利润</v>
      </c>
      <c r="B75" s="47"/>
      <c r="C75" s="677">
        <f>TB合并CF!I69</f>
        <v>0</v>
      </c>
      <c r="D75" s="73"/>
      <c r="E75" s="677"/>
      <c r="F75" s="73"/>
      <c r="G75" s="73"/>
      <c r="H75" s="677">
        <f>TB母公司CF!I69</f>
        <v>0</v>
      </c>
      <c r="I75" s="73"/>
      <c r="J75" s="677"/>
      <c r="K75" s="73">
        <f>TB母公司CF!I69</f>
        <v>0</v>
      </c>
    </row>
    <row r="76" spans="1:12" ht="21.75" customHeight="1">
      <c r="A76" s="46" t="str">
        <f>报表格式!U9</f>
        <v>加：资产减值损失</v>
      </c>
      <c r="B76" s="47"/>
      <c r="C76" s="676">
        <f>TB合并CF!I70</f>
        <v>0</v>
      </c>
      <c r="D76" s="74"/>
      <c r="E76" s="676"/>
      <c r="F76" s="74"/>
      <c r="G76" s="74"/>
      <c r="H76" s="676">
        <f>TB母公司CF!I70</f>
        <v>0</v>
      </c>
      <c r="I76" s="74"/>
      <c r="J76" s="676"/>
      <c r="K76" s="74" t="e">
        <f>TB母公司CF!#REF!</f>
        <v>#REF!</v>
      </c>
    </row>
    <row r="77" spans="1:12" ht="21.75" customHeight="1">
      <c r="A77" s="46" t="str">
        <f>报表格式!U10</f>
        <v xml:space="preserve">     信用减值损失</v>
      </c>
      <c r="B77" s="47"/>
      <c r="C77" s="676">
        <f>TB合并CF!I71</f>
        <v>0</v>
      </c>
      <c r="D77" s="74"/>
      <c r="E77" s="676"/>
      <c r="F77" s="74"/>
      <c r="G77" s="74"/>
      <c r="H77" s="676">
        <f>TB母公司CF!I71</f>
        <v>0</v>
      </c>
      <c r="I77" s="74"/>
      <c r="J77" s="676"/>
      <c r="K77" s="74" t="e">
        <f>TB母公司CF!#REF!</f>
        <v>#REF!</v>
      </c>
    </row>
    <row r="78" spans="1:12" ht="21.75" customHeight="1">
      <c r="A78" s="46" t="str">
        <f>报表格式!U11</f>
        <v xml:space="preserve">     固定资产折旧、油气资产折耗、生产性生物资产折旧</v>
      </c>
      <c r="B78" s="47"/>
      <c r="C78" s="676">
        <f>TB合并CF!I72</f>
        <v>0</v>
      </c>
      <c r="D78" s="74"/>
      <c r="E78" s="676"/>
      <c r="F78" s="74"/>
      <c r="G78" s="74"/>
      <c r="H78" s="676">
        <f>TB母公司CF!I72</f>
        <v>0</v>
      </c>
      <c r="I78" s="74"/>
      <c r="J78" s="676"/>
      <c r="K78" s="74">
        <f>TB母公司CF!I70</f>
        <v>0</v>
      </c>
    </row>
    <row r="79" spans="1:12" ht="21.75" customHeight="1">
      <c r="A79" s="46" t="str">
        <f>报表格式!U12</f>
        <v xml:space="preserve">     无形资产摊销</v>
      </c>
      <c r="B79" s="47"/>
      <c r="C79" s="676">
        <f>TB合并CF!I73</f>
        <v>0</v>
      </c>
      <c r="D79" s="74"/>
      <c r="E79" s="676"/>
      <c r="F79" s="74"/>
      <c r="G79" s="74"/>
      <c r="H79" s="676">
        <f>TB母公司CF!I73</f>
        <v>0</v>
      </c>
      <c r="I79" s="74"/>
      <c r="J79" s="676"/>
      <c r="K79" s="74">
        <f>TB母公司CF!I71</f>
        <v>0</v>
      </c>
    </row>
    <row r="80" spans="1:12" ht="21.75" customHeight="1">
      <c r="A80" s="46" t="str">
        <f>报表格式!U13</f>
        <v xml:space="preserve">     长期待摊费用摊销</v>
      </c>
      <c r="B80" s="47"/>
      <c r="C80" s="676">
        <f>TB合并CF!I74</f>
        <v>0</v>
      </c>
      <c r="D80" s="74"/>
      <c r="E80" s="676"/>
      <c r="F80" s="74"/>
      <c r="G80" s="74"/>
      <c r="H80" s="676">
        <f>TB母公司CF!I74</f>
        <v>0</v>
      </c>
      <c r="I80" s="74"/>
      <c r="J80" s="676"/>
      <c r="K80" s="74">
        <f>TB母公司CF!I72</f>
        <v>0</v>
      </c>
    </row>
    <row r="81" spans="1:11" ht="21.75" customHeight="1">
      <c r="A81" s="46" t="str">
        <f>报表格式!U14</f>
        <v xml:space="preserve">     处置固定资产、无形资产和其他长期资产的损失（收益以“－”号填列）</v>
      </c>
      <c r="B81" s="47"/>
      <c r="C81" s="676">
        <f>TB合并CF!I75</f>
        <v>0</v>
      </c>
      <c r="D81" s="74"/>
      <c r="E81" s="676"/>
      <c r="F81" s="74"/>
      <c r="G81" s="74"/>
      <c r="H81" s="676">
        <f>TB母公司CF!I75</f>
        <v>0</v>
      </c>
      <c r="I81" s="74"/>
      <c r="J81" s="676"/>
      <c r="K81" s="74">
        <f>TB母公司CF!I73</f>
        <v>0</v>
      </c>
    </row>
    <row r="82" spans="1:11" ht="21.75" customHeight="1">
      <c r="A82" s="46" t="str">
        <f>报表格式!U15</f>
        <v xml:space="preserve">     固定资产报废损失（收益以“－”号填列）</v>
      </c>
      <c r="B82" s="47"/>
      <c r="C82" s="676">
        <f>TB合并CF!I76</f>
        <v>0</v>
      </c>
      <c r="D82" s="74"/>
      <c r="E82" s="676"/>
      <c r="F82" s="74"/>
      <c r="G82" s="74"/>
      <c r="H82" s="676">
        <f>TB母公司CF!I76</f>
        <v>0</v>
      </c>
      <c r="I82" s="74"/>
      <c r="J82" s="676"/>
      <c r="K82" s="74">
        <f>TB母公司CF!I74</f>
        <v>0</v>
      </c>
    </row>
    <row r="83" spans="1:11" ht="21.75" customHeight="1">
      <c r="A83" s="46" t="str">
        <f>报表格式!U16</f>
        <v xml:space="preserve">     公允价值变动损失（收益以“－”号填列）</v>
      </c>
      <c r="B83" s="47"/>
      <c r="C83" s="676">
        <f>TB合并CF!I77</f>
        <v>0</v>
      </c>
      <c r="D83" s="74"/>
      <c r="E83" s="676"/>
      <c r="F83" s="74"/>
      <c r="G83" s="74"/>
      <c r="H83" s="676">
        <f>TB母公司CF!I77</f>
        <v>0</v>
      </c>
      <c r="I83" s="74"/>
      <c r="J83" s="676"/>
      <c r="K83" s="74">
        <f>TB母公司CF!I75</f>
        <v>0</v>
      </c>
    </row>
    <row r="84" spans="1:11" ht="21.75" customHeight="1">
      <c r="A84" s="46" t="str">
        <f>报表格式!U17</f>
        <v xml:space="preserve">     财务费用（收益以“－”号填列）</v>
      </c>
      <c r="B84" s="47"/>
      <c r="C84" s="676">
        <f>TB合并CF!I78</f>
        <v>0</v>
      </c>
      <c r="D84" s="74"/>
      <c r="E84" s="676"/>
      <c r="F84" s="74"/>
      <c r="G84" s="74"/>
      <c r="H84" s="676">
        <f>TB母公司CF!I78</f>
        <v>0</v>
      </c>
      <c r="I84" s="74"/>
      <c r="J84" s="676"/>
      <c r="K84" s="74">
        <f>TB母公司CF!I76</f>
        <v>0</v>
      </c>
    </row>
    <row r="85" spans="1:11" ht="21.75" customHeight="1">
      <c r="A85" s="46" t="str">
        <f>报表格式!U18</f>
        <v xml:space="preserve">     投资损失（收益以“－”号填列）</v>
      </c>
      <c r="B85" s="47"/>
      <c r="C85" s="676">
        <f>TB合并CF!I79</f>
        <v>0</v>
      </c>
      <c r="D85" s="74"/>
      <c r="E85" s="676"/>
      <c r="F85" s="74"/>
      <c r="G85" s="74"/>
      <c r="H85" s="676">
        <f>TB母公司CF!I79</f>
        <v>0</v>
      </c>
      <c r="I85" s="74"/>
      <c r="J85" s="676"/>
      <c r="K85" s="74">
        <f>TB母公司CF!I77</f>
        <v>0</v>
      </c>
    </row>
    <row r="86" spans="1:11" ht="21.75" customHeight="1">
      <c r="A86" s="46" t="str">
        <f>报表格式!U19</f>
        <v xml:space="preserve">     递延所得税资产减少（增加以“－”号填列）</v>
      </c>
      <c r="B86" s="47"/>
      <c r="C86" s="676">
        <f>TB合并CF!I80</f>
        <v>0</v>
      </c>
      <c r="D86" s="74"/>
      <c r="E86" s="676"/>
      <c r="F86" s="74"/>
      <c r="G86" s="74"/>
      <c r="H86" s="676">
        <f>TB母公司CF!I80</f>
        <v>0</v>
      </c>
      <c r="I86" s="74"/>
      <c r="J86" s="676"/>
      <c r="K86" s="74">
        <f>TB母公司CF!I78</f>
        <v>0</v>
      </c>
    </row>
    <row r="87" spans="1:11" ht="21.75" customHeight="1">
      <c r="A87" s="46" t="str">
        <f>报表格式!U20</f>
        <v xml:space="preserve">     递延所得税负债增加（减少以“－”号填列）</v>
      </c>
      <c r="B87" s="47"/>
      <c r="C87" s="676">
        <f>TB合并CF!I81</f>
        <v>0</v>
      </c>
      <c r="D87" s="74"/>
      <c r="E87" s="676"/>
      <c r="F87" s="74"/>
      <c r="G87" s="74"/>
      <c r="H87" s="676">
        <f>TB母公司CF!I81</f>
        <v>0</v>
      </c>
      <c r="I87" s="74"/>
      <c r="J87" s="676"/>
      <c r="K87" s="74">
        <f>TB母公司CF!I79</f>
        <v>0</v>
      </c>
    </row>
    <row r="88" spans="1:11" ht="21.75" customHeight="1">
      <c r="A88" s="46" t="str">
        <f>报表格式!U21</f>
        <v xml:space="preserve">     存货的减少（增加以“－”号填列）</v>
      </c>
      <c r="B88" s="47"/>
      <c r="C88" s="676">
        <f>TB合并CF!I82</f>
        <v>0</v>
      </c>
      <c r="D88" s="74"/>
      <c r="E88" s="676"/>
      <c r="F88" s="74"/>
      <c r="G88" s="74"/>
      <c r="H88" s="676">
        <f>TB母公司CF!I82</f>
        <v>0</v>
      </c>
      <c r="I88" s="74"/>
      <c r="J88" s="676"/>
      <c r="K88" s="74">
        <f>TB母公司CF!I80</f>
        <v>0</v>
      </c>
    </row>
    <row r="89" spans="1:11" ht="21.75" customHeight="1">
      <c r="A89" s="46" t="str">
        <f>报表格式!U22</f>
        <v xml:space="preserve">     经营性应收项目的减少（增加以“－”号填列）</v>
      </c>
      <c r="B89" s="47"/>
      <c r="C89" s="676">
        <f>TB合并CF!I83</f>
        <v>0</v>
      </c>
      <c r="D89" s="74"/>
      <c r="E89" s="676"/>
      <c r="F89" s="74"/>
      <c r="G89" s="74"/>
      <c r="H89" s="676">
        <f>TB母公司CF!I83</f>
        <v>0</v>
      </c>
      <c r="I89" s="74"/>
      <c r="J89" s="676"/>
      <c r="K89" s="74">
        <f>TB母公司CF!I81</f>
        <v>0</v>
      </c>
    </row>
    <row r="90" spans="1:11" ht="21.75" customHeight="1">
      <c r="A90" s="46" t="str">
        <f>报表格式!U23</f>
        <v xml:space="preserve">     经营性应付项目的增加（减少以“－”号填列）</v>
      </c>
      <c r="B90" s="47"/>
      <c r="C90" s="676">
        <f>TB合并CF!I84</f>
        <v>0</v>
      </c>
      <c r="D90" s="74"/>
      <c r="E90" s="676"/>
      <c r="F90" s="74"/>
      <c r="G90" s="74"/>
      <c r="H90" s="676">
        <f>TB母公司CF!I84</f>
        <v>0</v>
      </c>
      <c r="I90" s="74"/>
      <c r="J90" s="676"/>
      <c r="K90" s="74">
        <f>TB母公司CF!I82</f>
        <v>0</v>
      </c>
    </row>
    <row r="91" spans="1:11" ht="21.75" customHeight="1">
      <c r="A91" s="44" t="str">
        <f>报表格式!U26</f>
        <v xml:space="preserve">     经营活动产生的现金流量净额</v>
      </c>
      <c r="B91" s="47"/>
      <c r="C91" s="677">
        <f>SUM(C75:C90)</f>
        <v>0</v>
      </c>
      <c r="D91" s="73"/>
      <c r="E91" s="677">
        <f>SUM(E75:E90)</f>
        <v>0</v>
      </c>
      <c r="F91" s="73"/>
      <c r="G91" s="73"/>
      <c r="H91" s="677">
        <f>SUM(H75:H90)</f>
        <v>0</v>
      </c>
      <c r="I91" s="73"/>
      <c r="J91" s="677">
        <f>SUM(J75:J90)</f>
        <v>0</v>
      </c>
      <c r="K91" s="73" t="e">
        <f>SUM(K75:K76,-K77,K78:K90)</f>
        <v>#REF!</v>
      </c>
    </row>
    <row r="92" spans="1:11" ht="21.75" customHeight="1">
      <c r="A92" s="58"/>
      <c r="B92" s="47"/>
      <c r="C92" s="728"/>
      <c r="D92" s="162"/>
      <c r="E92" s="728"/>
      <c r="F92" s="162"/>
      <c r="G92" s="162"/>
      <c r="H92" s="728"/>
      <c r="I92" s="162"/>
      <c r="J92" s="728"/>
      <c r="K92" s="162"/>
    </row>
    <row r="93" spans="1:11" ht="21.75" customHeight="1">
      <c r="A93" s="59" t="str">
        <f>报表格式!U28</f>
        <v>2、不涉及现金收支的投资和筹资活动：</v>
      </c>
      <c r="B93" s="47"/>
      <c r="C93" s="728"/>
      <c r="D93" s="162"/>
      <c r="E93" s="728"/>
      <c r="F93" s="162"/>
      <c r="G93" s="162"/>
      <c r="H93" s="728"/>
      <c r="I93" s="162"/>
      <c r="J93" s="728"/>
      <c r="K93" s="162"/>
    </row>
    <row r="94" spans="1:11" ht="21.75" customHeight="1">
      <c r="A94" s="58" t="str">
        <f>报表格式!U29</f>
        <v xml:space="preserve">     债务转为资本</v>
      </c>
      <c r="B94" s="47"/>
      <c r="C94" s="728">
        <f>TB合并CF!I88</f>
        <v>0</v>
      </c>
      <c r="D94" s="162"/>
      <c r="E94" s="728"/>
      <c r="F94" s="162"/>
      <c r="G94" s="162"/>
      <c r="H94" s="728">
        <f>TB母公司CF!I88</f>
        <v>0</v>
      </c>
      <c r="I94" s="162"/>
      <c r="J94" s="728"/>
      <c r="K94" s="162">
        <f>TB母公司CF!I88</f>
        <v>0</v>
      </c>
    </row>
    <row r="95" spans="1:11" ht="21.75" customHeight="1">
      <c r="A95" s="58" t="str">
        <f>报表格式!U30</f>
        <v xml:space="preserve">     一年内到期的可转换公司债券</v>
      </c>
      <c r="B95" s="47"/>
      <c r="C95" s="728">
        <f>TB合并CF!I89</f>
        <v>0</v>
      </c>
      <c r="D95" s="162"/>
      <c r="E95" s="728"/>
      <c r="F95" s="162"/>
      <c r="G95" s="162"/>
      <c r="H95" s="728">
        <f>TB母公司CF!I89</f>
        <v>0</v>
      </c>
      <c r="I95" s="162"/>
      <c r="J95" s="728"/>
      <c r="K95" s="162">
        <f>TB母公司CF!I89</f>
        <v>0</v>
      </c>
    </row>
    <row r="96" spans="1:11" ht="21.75" customHeight="1">
      <c r="A96" s="58" t="str">
        <f>报表格式!U31</f>
        <v xml:space="preserve">     融资租入固定资产</v>
      </c>
      <c r="B96" s="47"/>
      <c r="C96" s="728">
        <f>TB合并CF!I90</f>
        <v>0</v>
      </c>
      <c r="D96" s="162"/>
      <c r="E96" s="728"/>
      <c r="F96" s="162"/>
      <c r="G96" s="162"/>
      <c r="H96" s="728">
        <f>TB母公司CF!I90</f>
        <v>0</v>
      </c>
      <c r="I96" s="162"/>
      <c r="J96" s="728"/>
      <c r="K96" s="162">
        <f>TB母公司CF!I90</f>
        <v>0</v>
      </c>
    </row>
    <row r="97" spans="1:12" ht="21.75" customHeight="1">
      <c r="A97" s="58" t="str">
        <f>报表格式!U32</f>
        <v xml:space="preserve">     其他</v>
      </c>
      <c r="B97" s="49"/>
      <c r="C97" s="728">
        <f>TB合并CF!I91</f>
        <v>0</v>
      </c>
      <c r="D97" s="162"/>
      <c r="E97" s="728"/>
      <c r="F97" s="162"/>
      <c r="G97" s="73"/>
      <c r="H97" s="728">
        <f>TB母公司CF!I91</f>
        <v>0</v>
      </c>
      <c r="I97" s="73"/>
      <c r="J97" s="677"/>
      <c r="K97" s="162">
        <f>TB母公司CF!I91</f>
        <v>0</v>
      </c>
    </row>
    <row r="98" spans="1:12" ht="21.75" customHeight="1">
      <c r="A98" s="44" t="str">
        <f>报表格式!U35</f>
        <v>3、现金及现金等价物净变动情况：</v>
      </c>
      <c r="B98" s="47"/>
      <c r="C98" s="679"/>
      <c r="D98" s="163"/>
      <c r="E98" s="679"/>
      <c r="F98" s="163"/>
      <c r="G98" s="163"/>
      <c r="H98" s="679"/>
      <c r="I98" s="163"/>
      <c r="J98" s="679"/>
      <c r="K98" s="163"/>
    </row>
    <row r="99" spans="1:12" ht="21.75" customHeight="1">
      <c r="A99" s="46" t="str">
        <f>报表格式!U36</f>
        <v xml:space="preserve">     现金的期末余额</v>
      </c>
      <c r="B99" s="47"/>
      <c r="C99" s="728">
        <f>TB合并CF!I94</f>
        <v>0</v>
      </c>
      <c r="D99" s="162"/>
      <c r="E99" s="728"/>
      <c r="F99" s="162"/>
      <c r="G99" s="162"/>
      <c r="H99" s="728">
        <f>TB母公司CF!I94</f>
        <v>0</v>
      </c>
      <c r="I99" s="162"/>
      <c r="J99" s="728"/>
      <c r="K99" s="162">
        <f>TB母公司CF!I94</f>
        <v>0</v>
      </c>
    </row>
    <row r="100" spans="1:12" ht="21.75" customHeight="1">
      <c r="A100" s="46" t="str">
        <f>报表格式!U37</f>
        <v xml:space="preserve">     减：现金的期初余额</v>
      </c>
      <c r="B100" s="47"/>
      <c r="C100" s="728">
        <f>TB合并CF!I95</f>
        <v>0</v>
      </c>
      <c r="D100" s="162"/>
      <c r="E100" s="728"/>
      <c r="F100" s="162"/>
      <c r="G100" s="162"/>
      <c r="H100" s="728">
        <f>TB母公司CF!I95</f>
        <v>0</v>
      </c>
      <c r="I100" s="162"/>
      <c r="J100" s="728"/>
      <c r="K100" s="162">
        <f>TB母公司CF!I95</f>
        <v>0</v>
      </c>
    </row>
    <row r="101" spans="1:12" ht="21.75" customHeight="1">
      <c r="A101" s="46" t="str">
        <f>报表格式!U38</f>
        <v xml:space="preserve">     加：现金等价物的期末余额</v>
      </c>
      <c r="B101" s="47"/>
      <c r="C101" s="728">
        <f>TB合并CF!I96</f>
        <v>0</v>
      </c>
      <c r="D101" s="162"/>
      <c r="E101" s="728"/>
      <c r="F101" s="162"/>
      <c r="G101" s="162"/>
      <c r="H101" s="728">
        <f>TB母公司CF!I96</f>
        <v>0</v>
      </c>
      <c r="I101" s="162"/>
      <c r="J101" s="728"/>
      <c r="K101" s="162">
        <f>TB母公司CF!I96</f>
        <v>0</v>
      </c>
    </row>
    <row r="102" spans="1:12" ht="21.75" customHeight="1">
      <c r="A102" s="46" t="str">
        <f>报表格式!U39</f>
        <v xml:space="preserve">     减：现金等价物的期初余额</v>
      </c>
      <c r="B102" s="47"/>
      <c r="C102" s="728">
        <f>TB合并CF!I97</f>
        <v>0</v>
      </c>
      <c r="D102" s="162"/>
      <c r="E102" s="728"/>
      <c r="F102" s="162"/>
      <c r="G102" s="162"/>
      <c r="H102" s="728">
        <f>TB母公司CF!I97</f>
        <v>0</v>
      </c>
      <c r="I102" s="162"/>
      <c r="J102" s="728"/>
      <c r="K102" s="162">
        <f>TB母公司CF!I97</f>
        <v>0</v>
      </c>
    </row>
    <row r="103" spans="1:12" ht="21.75" customHeight="1">
      <c r="A103" s="51" t="str">
        <f>报表格式!U50</f>
        <v xml:space="preserve">     现金及现金等价物净增加额</v>
      </c>
      <c r="B103" s="52"/>
      <c r="C103" s="729">
        <f>C99-C100+C101-C102</f>
        <v>0</v>
      </c>
      <c r="D103" s="167"/>
      <c r="E103" s="729">
        <f>E99-E100+E101-E102</f>
        <v>0</v>
      </c>
      <c r="F103" s="167"/>
      <c r="G103" s="167"/>
      <c r="H103" s="729">
        <f>H99-H100+H101-H102</f>
        <v>0</v>
      </c>
      <c r="I103" s="167"/>
      <c r="J103" s="729">
        <f>J99-J100+J101-J102</f>
        <v>0</v>
      </c>
      <c r="K103" s="167">
        <f>K99-K100+K101-K102</f>
        <v>0</v>
      </c>
    </row>
    <row r="104" spans="1:12" ht="10.5" customHeight="1">
      <c r="A104" s="53"/>
      <c r="B104" s="54"/>
      <c r="C104" s="16"/>
      <c r="D104" s="16"/>
      <c r="E104" s="16"/>
      <c r="F104" s="16"/>
      <c r="G104" s="16"/>
      <c r="H104" s="16"/>
      <c r="I104" s="16"/>
      <c r="J104" s="16"/>
      <c r="K104" s="16"/>
    </row>
    <row r="105" spans="1:12" s="63" customFormat="1" ht="17.100000000000001" customHeight="1">
      <c r="A105" s="64" t="str">
        <f>CONCATENATE(说明!D24,说明!E24," 　　　　　　　               ",说明!D25,说明!E25)</f>
        <v>法定代表人： 　　　　　　　               财务负责人：</v>
      </c>
      <c r="B105" s="65"/>
      <c r="G105" s="65" t="str">
        <f>CONCATENATE(说明!D26,说明!E26)</f>
        <v>会计主管：</v>
      </c>
      <c r="H105" s="65"/>
      <c r="I105" s="65"/>
      <c r="J105" s="65"/>
      <c r="K105" s="65"/>
      <c r="L105" s="65"/>
    </row>
    <row r="107" spans="1:12" customFormat="1" ht="14.1" customHeight="1"/>
    <row r="108" spans="1:12" customFormat="1" ht="14.1" customHeight="1"/>
    <row r="109" spans="1:12" ht="14.1" customHeight="1">
      <c r="A109" s="633" t="s">
        <v>539</v>
      </c>
      <c r="C109"/>
      <c r="D109"/>
      <c r="E109"/>
      <c r="F109"/>
      <c r="G109"/>
      <c r="H109"/>
      <c r="I109"/>
      <c r="J109"/>
      <c r="K109"/>
      <c r="L109"/>
    </row>
    <row r="110" spans="1:12" ht="14.1" customHeight="1">
      <c r="A110" s="431" t="s">
        <v>652</v>
      </c>
      <c r="B110" s="580"/>
      <c r="C110" s="581">
        <f>SUM(C7:C19)-SUM(C21:C29)-C31</f>
        <v>0</v>
      </c>
      <c r="D110" s="581"/>
      <c r="E110" s="581">
        <f>SUM(E7:E19)-SUM(E21:E29)-E31</f>
        <v>0</v>
      </c>
      <c r="F110" s="581"/>
      <c r="G110" s="581"/>
      <c r="H110" s="581">
        <f>SUM(H7:H19)-SUM(H21:H29)-H31</f>
        <v>0</v>
      </c>
      <c r="I110" s="581"/>
      <c r="J110" s="581">
        <f>SUM(J7:J19)-SUM(J21:J29)-J31</f>
        <v>0</v>
      </c>
      <c r="K110"/>
      <c r="L110"/>
    </row>
    <row r="111" spans="1:12" ht="14.1" customHeight="1">
      <c r="A111" s="431" t="s">
        <v>653</v>
      </c>
      <c r="B111" s="580"/>
      <c r="C111" s="581">
        <f>SUM(C33:C37)-SUM(C39:C43)-C45</f>
        <v>0</v>
      </c>
      <c r="D111" s="581"/>
      <c r="E111" s="581">
        <f>SUM(E33:E37)-SUM(E39:E43)-E45</f>
        <v>0</v>
      </c>
      <c r="F111" s="581"/>
      <c r="G111" s="581"/>
      <c r="H111" s="581">
        <f>SUM(H33:H37)-SUM(H39:H43)-H45</f>
        <v>0</v>
      </c>
      <c r="I111" s="581"/>
      <c r="J111" s="581">
        <f>SUM(J33:J37)-SUM(J39:J43)-J45</f>
        <v>0</v>
      </c>
      <c r="K111"/>
      <c r="L111"/>
    </row>
    <row r="112" spans="1:12" ht="14.1" customHeight="1">
      <c r="A112" s="431" t="s">
        <v>654</v>
      </c>
      <c r="B112" s="580"/>
      <c r="C112" s="857">
        <f>SUM(C47,C49:C51)-SUM(C53:C54,C56)-C59</f>
        <v>0</v>
      </c>
      <c r="D112" s="857"/>
      <c r="E112" s="857">
        <f>SUM(E47,E49:E51)-SUM(E53:E54,E56)-E59</f>
        <v>0</v>
      </c>
      <c r="F112" s="857"/>
      <c r="G112" s="857"/>
      <c r="H112" s="857">
        <f>SUM(H47,H49:H51)-SUM(H53:H54,H56)-H59</f>
        <v>0</v>
      </c>
      <c r="I112" s="857"/>
      <c r="J112" s="857">
        <f>SUM(J47,J49:J51)-SUM(J53:J54,J56)-J59</f>
        <v>0</v>
      </c>
      <c r="K112"/>
      <c r="L112"/>
    </row>
    <row r="113" spans="1:12" ht="14.1" customHeight="1">
      <c r="A113" s="431" t="s">
        <v>655</v>
      </c>
      <c r="B113" s="580"/>
      <c r="C113" s="581">
        <f>SUM(C31,C45,C59,C61)-C62</f>
        <v>0</v>
      </c>
      <c r="D113" s="581"/>
      <c r="E113" s="581">
        <f>SUM(E31,E45,E59,E61)-E62</f>
        <v>0</v>
      </c>
      <c r="F113" s="581"/>
      <c r="G113" s="581"/>
      <c r="H113" s="581">
        <f>SUM(H31,H45,H59,H61)-H62</f>
        <v>0</v>
      </c>
      <c r="I113" s="581"/>
      <c r="J113" s="581">
        <f>SUM(J31,J45,J59,J61)-J62</f>
        <v>0</v>
      </c>
      <c r="K113"/>
      <c r="L113"/>
    </row>
    <row r="114" spans="1:12" ht="14.1" customHeight="1">
      <c r="A114" s="431" t="s">
        <v>117</v>
      </c>
      <c r="B114" s="580"/>
      <c r="C114" s="581">
        <f>SUM(C62:C63)-C64</f>
        <v>0</v>
      </c>
      <c r="D114" s="581"/>
      <c r="E114" s="581">
        <f>SUM(E62:E63)-E64</f>
        <v>0</v>
      </c>
      <c r="F114" s="581"/>
      <c r="G114" s="581"/>
      <c r="H114" s="581">
        <f>SUM(H62:H63)-H64</f>
        <v>0</v>
      </c>
      <c r="I114" s="581"/>
      <c r="J114" s="581">
        <f>SUM(J62:J63)-J64</f>
        <v>0</v>
      </c>
      <c r="K114"/>
      <c r="L114"/>
    </row>
    <row r="115" spans="1:12" ht="14.1" customHeight="1">
      <c r="A115" s="434" t="s">
        <v>650</v>
      </c>
      <c r="B115" s="580"/>
      <c r="C115" s="581">
        <f>SUM(C75:C90)-C91</f>
        <v>0</v>
      </c>
      <c r="D115" s="581"/>
      <c r="E115" s="581">
        <f>SUM(E75:E90)-E91</f>
        <v>0</v>
      </c>
      <c r="F115" s="581"/>
      <c r="G115" s="581"/>
      <c r="H115" s="581">
        <f>SUM(H75:H90)-H91</f>
        <v>0</v>
      </c>
      <c r="I115" s="581"/>
      <c r="J115" s="581">
        <f>SUM(J75:J90)-J91</f>
        <v>0</v>
      </c>
      <c r="K115"/>
      <c r="L115"/>
    </row>
    <row r="116" spans="1:12" ht="14.1" customHeight="1">
      <c r="A116" s="431" t="s">
        <v>651</v>
      </c>
      <c r="B116" s="580"/>
      <c r="C116" s="581">
        <f>C99-C100+C101-C102-C103</f>
        <v>0</v>
      </c>
      <c r="D116" s="581"/>
      <c r="E116" s="581">
        <f t="shared" ref="E116:J116" si="0">E99-E100+E101-E102-E103</f>
        <v>0</v>
      </c>
      <c r="F116" s="581"/>
      <c r="G116" s="581"/>
      <c r="H116" s="581">
        <f t="shared" si="0"/>
        <v>0</v>
      </c>
      <c r="I116" s="581"/>
      <c r="J116" s="581">
        <f t="shared" si="0"/>
        <v>0</v>
      </c>
      <c r="K116"/>
      <c r="L116"/>
    </row>
    <row r="117" spans="1:12" ht="14.1" customHeight="1">
      <c r="A117" s="431" t="s">
        <v>648</v>
      </c>
      <c r="B117" s="580"/>
      <c r="C117" s="581">
        <f>C31-C91</f>
        <v>0</v>
      </c>
      <c r="D117" s="581"/>
      <c r="E117" s="581">
        <f>E31-E91</f>
        <v>0</v>
      </c>
      <c r="F117" s="581"/>
      <c r="G117" s="581"/>
      <c r="H117" s="581">
        <f>H31-H91</f>
        <v>0</v>
      </c>
      <c r="I117" s="581"/>
      <c r="J117" s="581">
        <f>J31-J91</f>
        <v>0</v>
      </c>
      <c r="K117"/>
      <c r="L117"/>
    </row>
    <row r="118" spans="1:12" ht="14.1" customHeight="1">
      <c r="A118" s="431" t="s">
        <v>649</v>
      </c>
      <c r="B118" s="580"/>
      <c r="C118" s="581">
        <f>C62-C103</f>
        <v>0</v>
      </c>
      <c r="D118" s="581"/>
      <c r="E118" s="581">
        <f>E62-E103</f>
        <v>0</v>
      </c>
      <c r="F118" s="581"/>
      <c r="G118" s="581"/>
      <c r="H118" s="581">
        <f>H62-H103</f>
        <v>0</v>
      </c>
      <c r="I118" s="581"/>
      <c r="J118" s="581">
        <f>J62-J103</f>
        <v>0</v>
      </c>
      <c r="K118"/>
      <c r="L118"/>
    </row>
    <row r="119" spans="1:12" ht="14.1" customHeight="1">
      <c r="A119" s="431" t="s">
        <v>679</v>
      </c>
      <c r="B119" s="580"/>
      <c r="C119" s="581">
        <f>C75-审定合并PL!C44</f>
        <v>0</v>
      </c>
      <c r="D119" s="581"/>
      <c r="E119" s="581">
        <f>E75-审定合并PL!E44</f>
        <v>0</v>
      </c>
      <c r="F119" s="581"/>
      <c r="G119" s="581"/>
      <c r="H119" s="581">
        <f>H75-审定合并PL!H44</f>
        <v>0</v>
      </c>
      <c r="I119" s="581"/>
      <c r="J119" s="581">
        <f>J75-审定合并PL!J44</f>
        <v>0</v>
      </c>
      <c r="K119"/>
      <c r="L119"/>
    </row>
    <row r="120" spans="1:12" ht="14.1" customHeight="1">
      <c r="A120" s="431" t="s">
        <v>886</v>
      </c>
      <c r="B120" s="580"/>
      <c r="C120" s="581">
        <f>C76-审定合并PL!C30</f>
        <v>0</v>
      </c>
      <c r="D120" s="581"/>
      <c r="E120" s="581">
        <f>E76-审定合并PL!E30</f>
        <v>0</v>
      </c>
      <c r="F120" s="581"/>
      <c r="G120" s="581"/>
      <c r="H120" s="581">
        <f>H76-审定合并PL!H30</f>
        <v>0</v>
      </c>
      <c r="I120" s="581"/>
      <c r="J120" s="581">
        <f>J76-审定合并PL!J30</f>
        <v>0</v>
      </c>
      <c r="K120"/>
      <c r="L120"/>
    </row>
    <row r="121" spans="1:12" ht="14.1" customHeight="1">
      <c r="A121" s="431" t="s">
        <v>118</v>
      </c>
      <c r="B121" s="580"/>
      <c r="C121" s="581">
        <f>C82+审定合并PL!C36</f>
        <v>0</v>
      </c>
      <c r="D121" s="581"/>
      <c r="E121" s="581">
        <f>E82+审定合并PL!E36</f>
        <v>0</v>
      </c>
      <c r="F121" s="581"/>
      <c r="G121" s="581"/>
      <c r="H121" s="581">
        <f>H82+审定合并PL!H36</f>
        <v>0</v>
      </c>
      <c r="I121" s="581"/>
      <c r="J121" s="581">
        <f>J82+审定合并PL!J36</f>
        <v>0</v>
      </c>
      <c r="K121"/>
      <c r="L121"/>
    </row>
    <row r="122" spans="1:12" ht="14.1" customHeight="1">
      <c r="A122" s="431" t="s">
        <v>119</v>
      </c>
      <c r="B122" s="580"/>
      <c r="C122" s="581">
        <f>C83-审定合并PL!C27</f>
        <v>0</v>
      </c>
      <c r="D122" s="581"/>
      <c r="E122" s="581">
        <f>E83-审定合并PL!E27</f>
        <v>0</v>
      </c>
      <c r="F122" s="581"/>
      <c r="G122" s="581"/>
      <c r="H122" s="581">
        <f>H83-审定合并PL!H27</f>
        <v>0</v>
      </c>
      <c r="I122" s="581"/>
      <c r="J122" s="581">
        <f>J83-审定合并PL!J27</f>
        <v>0</v>
      </c>
      <c r="K122"/>
      <c r="L122"/>
    </row>
    <row r="123" spans="1:12" ht="14.1" customHeight="1">
      <c r="A123" s="431" t="s">
        <v>680</v>
      </c>
      <c r="B123" s="580"/>
      <c r="C123" s="581">
        <f>C84+审定合并PL!C33</f>
        <v>0</v>
      </c>
      <c r="D123" s="581"/>
      <c r="E123" s="581">
        <f>E84+审定合并PL!E33</f>
        <v>0</v>
      </c>
      <c r="F123" s="581"/>
      <c r="G123" s="581"/>
      <c r="H123" s="581">
        <f>H84+审定合并PL!H33</f>
        <v>0</v>
      </c>
      <c r="I123" s="581"/>
      <c r="J123" s="581">
        <f>J84+审定合并PL!J33</f>
        <v>0</v>
      </c>
      <c r="K123"/>
      <c r="L123"/>
    </row>
    <row r="124" spans="1:12" ht="14.1" customHeight="1">
      <c r="A124" s="431" t="s">
        <v>120</v>
      </c>
      <c r="B124" s="580"/>
      <c r="C124" s="581">
        <f>C85-(审定合并BS!E52-审定合并BS!C52)</f>
        <v>0</v>
      </c>
      <c r="D124" s="581"/>
      <c r="E124" s="581"/>
      <c r="F124" s="581"/>
      <c r="G124" s="581"/>
      <c r="H124" s="581">
        <f>H85-(审定合并BS!J52-审定合并BS!H52)</f>
        <v>0</v>
      </c>
      <c r="I124" s="581"/>
      <c r="J124" s="581"/>
      <c r="K124"/>
      <c r="L124"/>
    </row>
    <row r="125" spans="1:12" ht="14.1" customHeight="1">
      <c r="A125" s="431" t="s">
        <v>121</v>
      </c>
      <c r="B125" s="580"/>
      <c r="C125" s="581">
        <f>C86-(审定合并BS!C103-审定合并BS!E103)</f>
        <v>0</v>
      </c>
      <c r="D125" s="581"/>
      <c r="E125" s="581"/>
      <c r="F125" s="581"/>
      <c r="G125" s="581"/>
      <c r="H125" s="581">
        <f>H86-(审定合并BS!H103-审定合并BS!J103)</f>
        <v>0</v>
      </c>
      <c r="I125" s="581"/>
      <c r="J125" s="581"/>
      <c r="K125"/>
      <c r="L125"/>
    </row>
    <row r="126" spans="1:12" ht="14.1" customHeight="1">
      <c r="A126" s="431" t="s">
        <v>681</v>
      </c>
      <c r="B126" s="580"/>
      <c r="C126" s="581">
        <f>C99-审定合并BS!C7</f>
        <v>0</v>
      </c>
      <c r="D126" s="581"/>
      <c r="E126" s="581">
        <f>E99-审定合并BS!E7</f>
        <v>0</v>
      </c>
      <c r="F126" s="581"/>
      <c r="G126" s="581"/>
      <c r="H126" s="581">
        <f>H99-审定合并BS!H7</f>
        <v>0</v>
      </c>
      <c r="I126" s="581"/>
      <c r="J126" s="581">
        <f>J99-审定合并BS!J7</f>
        <v>0</v>
      </c>
      <c r="K126"/>
      <c r="L126"/>
    </row>
    <row r="127" spans="1:12" ht="14.1" customHeight="1">
      <c r="A127" s="431" t="s">
        <v>682</v>
      </c>
      <c r="B127" s="580"/>
      <c r="C127" s="581">
        <f>C100-审定合并BS!E7</f>
        <v>0</v>
      </c>
      <c r="D127" s="581"/>
      <c r="E127" s="581"/>
      <c r="F127" s="581"/>
      <c r="G127" s="581"/>
      <c r="H127" s="581">
        <f>H100-审定合并BS!J7</f>
        <v>0</v>
      </c>
      <c r="I127" s="581"/>
      <c r="J127" s="581"/>
      <c r="K127"/>
      <c r="L127"/>
    </row>
    <row r="128" spans="1:12" ht="14.1" customHeight="1">
      <c r="A128" s="570" t="s">
        <v>122</v>
      </c>
      <c r="B128" s="582"/>
      <c r="C128" s="583"/>
      <c r="D128"/>
      <c r="E128"/>
      <c r="F128"/>
      <c r="G128"/>
      <c r="H128"/>
      <c r="I128"/>
      <c r="J128"/>
      <c r="K128"/>
      <c r="L128"/>
    </row>
    <row r="129" spans="1:12" ht="14.1" customHeight="1">
      <c r="A129" s="571" t="s">
        <v>685</v>
      </c>
      <c r="B129" s="584"/>
      <c r="C129" s="585">
        <f>(C49-C53)-SUM(审定合并BS!C67,审定合并BS!C90,审定合并BS!C94,-审定合并BS!E67,-审定合并BS!E90,-审定合并BS!E94)</f>
        <v>0</v>
      </c>
      <c r="D129" s="585"/>
      <c r="E129" s="585"/>
      <c r="F129" s="585"/>
      <c r="G129" s="585"/>
      <c r="H129" s="585">
        <f>(H49-H53)-SUM(审定合并BS!H67,审定合并BS!H90,审定合并BS!H94,-审定合并BS!J67,-审定合并BS!J90,-审定合并BS!J94)</f>
        <v>0</v>
      </c>
      <c r="I129" s="585"/>
      <c r="J129" s="585"/>
      <c r="K129"/>
      <c r="L129"/>
    </row>
    <row r="130" spans="1:12" ht="14.1" customHeight="1">
      <c r="A130" s="571" t="s">
        <v>123</v>
      </c>
      <c r="B130" s="584"/>
      <c r="C130" s="858">
        <f>C87-(审定合并BS!E24-审定合并BS!C24)</f>
        <v>0</v>
      </c>
      <c r="D130" s="858"/>
      <c r="E130" s="858"/>
      <c r="F130" s="858"/>
      <c r="G130" s="858"/>
      <c r="H130" s="858">
        <f>H87-(审定合并BS!J24-审定合并BS!H24)</f>
        <v>0</v>
      </c>
      <c r="I130" s="585"/>
      <c r="J130" s="585"/>
      <c r="K130"/>
      <c r="L130"/>
    </row>
    <row r="131" spans="1:12" ht="14.1" customHeight="1">
      <c r="A131" s="571" t="s">
        <v>683</v>
      </c>
      <c r="B131" s="584"/>
      <c r="C131" s="858">
        <f>C88-SUM(审定合并BS!E13,审定合并BS!E20,-审定合并BS!E76,-审定合并BS!C13,-审定合并BS!C20,审定合并BS!C76)</f>
        <v>0</v>
      </c>
      <c r="D131" s="858"/>
      <c r="E131" s="858"/>
      <c r="F131" s="858"/>
      <c r="G131" s="858"/>
      <c r="H131" s="858">
        <f>H88-SUM(审定合并BS!J13,审定合并BS!J20,-审定合并BS!J76,-审定合并BS!H13,-审定合并BS!H20,审定合并BS!H76)</f>
        <v>0</v>
      </c>
      <c r="I131" s="585"/>
      <c r="J131" s="585"/>
      <c r="K131"/>
      <c r="L131"/>
    </row>
    <row r="132" spans="1:12" ht="14.1" customHeight="1">
      <c r="A132" s="571" t="s">
        <v>684</v>
      </c>
      <c r="B132" s="584"/>
      <c r="C132" s="858">
        <f>C89-SUM(审定合并BS!C74,审定合并BS!C80,审定合并BS!C81,审定合并BS!C82,-审定合并BS!C16,-审定合并BS!E74,-审定合并BS!E80,,-审定合并BS!E81,-审定合并BS!E82,审定合并BS!E16)</f>
        <v>0</v>
      </c>
      <c r="D132" s="858"/>
      <c r="E132" s="858"/>
      <c r="F132" s="858"/>
      <c r="G132" s="858"/>
      <c r="H132" s="858">
        <f>H89-SUM(审定合并BS!H74,审定合并BS!H80,审定合并BS!H81,审定合并BS!H82,-审定合并BS!H16,-审定合并BS!J74,-审定合并BS!J80,,-审定合并BS!J81,-审定合并BS!J82,审定合并BS!J16)</f>
        <v>0</v>
      </c>
      <c r="I132" s="585"/>
      <c r="J132" s="585"/>
      <c r="K132"/>
      <c r="L132"/>
    </row>
    <row r="133" spans="1:12" ht="14.1" customHeight="1">
      <c r="A133" s="586" t="s">
        <v>124</v>
      </c>
      <c r="B133" s="43"/>
      <c r="C133" s="43" t="s">
        <v>125</v>
      </c>
      <c r="D133" s="43"/>
      <c r="E133" s="43" t="s">
        <v>125</v>
      </c>
      <c r="F133" s="43"/>
      <c r="G133" s="43"/>
      <c r="H133" s="43" t="s">
        <v>156</v>
      </c>
      <c r="I133" s="43"/>
      <c r="J133" s="43" t="s">
        <v>156</v>
      </c>
      <c r="K133"/>
      <c r="L133"/>
    </row>
    <row r="134" spans="1:12" ht="14.1" customHeight="1">
      <c r="A134" s="589" t="s">
        <v>689</v>
      </c>
      <c r="B134" s="681"/>
      <c r="C134" s="591"/>
      <c r="D134" s="591"/>
      <c r="E134" s="591"/>
      <c r="F134" s="591"/>
      <c r="G134" s="591"/>
      <c r="H134" s="591"/>
      <c r="I134" s="591"/>
      <c r="J134" s="591"/>
      <c r="K134"/>
      <c r="L134"/>
    </row>
    <row r="135" spans="1:12" ht="14.1" customHeight="1">
      <c r="A135" s="590" t="s">
        <v>694</v>
      </c>
      <c r="B135" s="645"/>
      <c r="C135" s="592"/>
      <c r="D135" s="592"/>
      <c r="E135" s="592"/>
      <c r="F135" s="592"/>
      <c r="G135" s="592"/>
      <c r="H135" s="592"/>
      <c r="I135" s="592"/>
      <c r="J135" s="592"/>
      <c r="K135"/>
      <c r="L135"/>
    </row>
    <row r="136" spans="1:12" ht="14.1" customHeight="1">
      <c r="A136" s="590" t="s">
        <v>690</v>
      </c>
      <c r="B136" s="645"/>
      <c r="C136" s="592"/>
      <c r="D136" s="592"/>
      <c r="E136" s="592"/>
      <c r="F136" s="592"/>
      <c r="G136" s="592"/>
      <c r="H136" s="592"/>
      <c r="I136" s="592"/>
      <c r="J136" s="592"/>
      <c r="K136"/>
      <c r="L136"/>
    </row>
    <row r="137" spans="1:12" ht="14.1" customHeight="1">
      <c r="A137" s="590" t="s">
        <v>691</v>
      </c>
      <c r="B137" s="645"/>
      <c r="C137" s="592"/>
      <c r="D137" s="592"/>
      <c r="E137" s="592"/>
      <c r="F137" s="592"/>
      <c r="G137" s="592"/>
      <c r="H137" s="592"/>
      <c r="I137" s="592"/>
      <c r="J137" s="592"/>
      <c r="K137"/>
      <c r="L137"/>
    </row>
    <row r="138" spans="1:12" ht="14.1" customHeight="1">
      <c r="A138" s="590" t="s">
        <v>692</v>
      </c>
      <c r="B138" s="645"/>
      <c r="C138" s="592"/>
      <c r="D138" s="592"/>
      <c r="E138" s="592"/>
      <c r="F138" s="592"/>
      <c r="G138" s="592"/>
      <c r="H138" s="592"/>
      <c r="I138" s="592"/>
      <c r="J138" s="592"/>
      <c r="K138"/>
      <c r="L138"/>
    </row>
    <row r="139" spans="1:12" ht="14.1" customHeight="1">
      <c r="A139" s="590" t="s">
        <v>693</v>
      </c>
      <c r="B139" s="645"/>
      <c r="C139" s="592"/>
      <c r="D139" s="592"/>
      <c r="E139" s="592"/>
      <c r="F139" s="592"/>
      <c r="G139" s="592"/>
      <c r="H139" s="592"/>
      <c r="I139" s="592"/>
      <c r="J139" s="592"/>
      <c r="K139"/>
      <c r="L139"/>
    </row>
    <row r="140" spans="1:12" ht="14.1" customHeight="1">
      <c r="A140" s="653" t="s">
        <v>155</v>
      </c>
      <c r="B140" s="682"/>
      <c r="C140" s="593"/>
      <c r="D140" s="593"/>
      <c r="E140" s="593"/>
      <c r="F140" s="593"/>
      <c r="G140" s="593"/>
      <c r="H140" s="593"/>
      <c r="I140" s="593"/>
      <c r="J140" s="593"/>
      <c r="K140"/>
      <c r="L140"/>
    </row>
    <row r="141" spans="1:12" ht="14.1" customHeight="1">
      <c r="A141" s="586" t="s">
        <v>126</v>
      </c>
      <c r="D141"/>
      <c r="E141"/>
      <c r="F141"/>
      <c r="G141"/>
      <c r="H141"/>
      <c r="I141"/>
      <c r="J141"/>
      <c r="K141"/>
      <c r="L141"/>
    </row>
    <row r="142" spans="1:12" ht="14.1" customHeight="1">
      <c r="A142" s="571" t="s">
        <v>689</v>
      </c>
      <c r="B142" s="584"/>
      <c r="C142" s="585">
        <f t="shared" ref="C142:C147" si="1">C76-C134</f>
        <v>0</v>
      </c>
      <c r="D142" s="585"/>
      <c r="E142" s="585">
        <f t="shared" ref="E142:E147" si="2">E76-E134</f>
        <v>0</v>
      </c>
      <c r="F142" s="585"/>
      <c r="G142" s="585"/>
      <c r="H142" s="585">
        <f t="shared" ref="H142:H147" si="3">H76-H134</f>
        <v>0</v>
      </c>
      <c r="I142" s="585"/>
      <c r="J142" s="585">
        <f t="shared" ref="J142:J147" si="4">J76-J134</f>
        <v>0</v>
      </c>
      <c r="K142"/>
      <c r="L142"/>
    </row>
    <row r="143" spans="1:12" ht="14.1" customHeight="1">
      <c r="A143" s="571" t="s">
        <v>694</v>
      </c>
      <c r="B143" s="584"/>
      <c r="C143" s="585">
        <f t="shared" si="1"/>
        <v>0</v>
      </c>
      <c r="D143" s="585"/>
      <c r="E143" s="585">
        <f t="shared" si="2"/>
        <v>0</v>
      </c>
      <c r="F143" s="585"/>
      <c r="G143" s="585"/>
      <c r="H143" s="585">
        <f t="shared" si="3"/>
        <v>0</v>
      </c>
      <c r="I143" s="585"/>
      <c r="J143" s="585">
        <f t="shared" si="4"/>
        <v>0</v>
      </c>
      <c r="K143"/>
      <c r="L143"/>
    </row>
    <row r="144" spans="1:12" ht="14.1" customHeight="1">
      <c r="A144" s="571" t="s">
        <v>690</v>
      </c>
      <c r="B144" s="584"/>
      <c r="C144" s="585">
        <f t="shared" si="1"/>
        <v>0</v>
      </c>
      <c r="D144" s="585"/>
      <c r="E144" s="585">
        <f t="shared" si="2"/>
        <v>0</v>
      </c>
      <c r="F144" s="585"/>
      <c r="G144" s="585"/>
      <c r="H144" s="585">
        <f t="shared" si="3"/>
        <v>0</v>
      </c>
      <c r="I144" s="585"/>
      <c r="J144" s="585">
        <f t="shared" si="4"/>
        <v>0</v>
      </c>
      <c r="K144"/>
      <c r="L144"/>
    </row>
    <row r="145" spans="1:12" ht="14.1" customHeight="1">
      <c r="A145" s="571" t="s">
        <v>691</v>
      </c>
      <c r="B145" s="584"/>
      <c r="C145" s="585">
        <f t="shared" si="1"/>
        <v>0</v>
      </c>
      <c r="D145" s="585"/>
      <c r="E145" s="585">
        <f t="shared" si="2"/>
        <v>0</v>
      </c>
      <c r="F145" s="585"/>
      <c r="G145" s="585"/>
      <c r="H145" s="585">
        <f t="shared" si="3"/>
        <v>0</v>
      </c>
      <c r="I145" s="585"/>
      <c r="J145" s="585">
        <f t="shared" si="4"/>
        <v>0</v>
      </c>
      <c r="K145"/>
      <c r="L145"/>
    </row>
    <row r="146" spans="1:12" ht="14.1" customHeight="1">
      <c r="A146" s="571" t="s">
        <v>692</v>
      </c>
      <c r="B146" s="584"/>
      <c r="C146" s="585">
        <f t="shared" si="1"/>
        <v>0</v>
      </c>
      <c r="D146" s="585"/>
      <c r="E146" s="585">
        <f t="shared" si="2"/>
        <v>0</v>
      </c>
      <c r="F146" s="585"/>
      <c r="G146" s="585"/>
      <c r="H146" s="585">
        <f t="shared" si="3"/>
        <v>0</v>
      </c>
      <c r="I146" s="585"/>
      <c r="J146" s="585">
        <f t="shared" si="4"/>
        <v>0</v>
      </c>
      <c r="K146"/>
      <c r="L146"/>
    </row>
    <row r="147" spans="1:12" ht="14.1" customHeight="1">
      <c r="A147" s="571" t="s">
        <v>693</v>
      </c>
      <c r="B147" s="584"/>
      <c r="C147" s="585">
        <f t="shared" si="1"/>
        <v>0</v>
      </c>
      <c r="D147" s="585"/>
      <c r="E147" s="585">
        <f t="shared" si="2"/>
        <v>0</v>
      </c>
      <c r="F147" s="585"/>
      <c r="G147" s="585"/>
      <c r="H147" s="585">
        <f t="shared" si="3"/>
        <v>0</v>
      </c>
      <c r="I147" s="585"/>
      <c r="J147" s="585">
        <f t="shared" si="4"/>
        <v>0</v>
      </c>
      <c r="K147"/>
      <c r="L147"/>
    </row>
    <row r="148" spans="1:12" ht="14.1" customHeight="1">
      <c r="A148" s="571" t="s">
        <v>144</v>
      </c>
      <c r="B148" s="584"/>
      <c r="C148" s="585">
        <f>C140-C82</f>
        <v>0</v>
      </c>
      <c r="D148" s="585"/>
      <c r="E148" s="585">
        <f>E140-E82</f>
        <v>0</v>
      </c>
      <c r="F148" s="585"/>
      <c r="G148" s="585"/>
      <c r="H148" s="585">
        <f>H140-H82</f>
        <v>0</v>
      </c>
      <c r="I148" s="585"/>
      <c r="J148" s="585">
        <f>J140-J82</f>
        <v>0</v>
      </c>
      <c r="K148"/>
      <c r="L148"/>
    </row>
    <row r="149" spans="1:12" ht="14.1" customHeight="1">
      <c r="D149"/>
    </row>
    <row r="150" spans="1:12" ht="14.1" customHeight="1">
      <c r="D150"/>
    </row>
  </sheetData>
  <mergeCells count="14">
    <mergeCell ref="A72:A73"/>
    <mergeCell ref="B72:B73"/>
    <mergeCell ref="A69:K69"/>
    <mergeCell ref="A70:K70"/>
    <mergeCell ref="G72:G73"/>
    <mergeCell ref="C72:F72"/>
    <mergeCell ref="H72:K72"/>
    <mergeCell ref="A4:A5"/>
    <mergeCell ref="B4:B5"/>
    <mergeCell ref="A1:K1"/>
    <mergeCell ref="A2:K2"/>
    <mergeCell ref="G4:G5"/>
    <mergeCell ref="H4:K4"/>
    <mergeCell ref="C4:F4"/>
  </mergeCells>
  <phoneticPr fontId="67" type="noConversion"/>
  <printOptions horizontalCentered="1" verticalCentered="1"/>
  <pageMargins left="0.47244094488188981" right="0.35433070866141736" top="0.27559055118110237" bottom="0.23" header="0.59055118110236227" footer="0.38"/>
  <pageSetup paperSize="9" scale="73" fitToHeight="2" orientation="portrait" horizontalDpi="360" r:id="rId1"/>
  <headerFooter alignWithMargins="0"/>
  <rowBreaks count="1" manualBreakCount="1">
    <brk id="68" max="10"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39"/>
    <pageSetUpPr fitToPage="1"/>
  </sheetPr>
  <dimension ref="A1:P67"/>
  <sheetViews>
    <sheetView showZeros="0" workbookViewId="0">
      <pane xSplit="2" ySplit="6" topLeftCell="C7" activePane="bottomRight" state="frozen"/>
      <selection activeCell="H6" sqref="H6"/>
      <selection pane="topRight" activeCell="H6" sqref="H6"/>
      <selection pane="bottomLeft" activeCell="H6" sqref="H6"/>
      <selection pane="bottomRight" activeCell="Q15" sqref="Q15"/>
    </sheetView>
  </sheetViews>
  <sheetFormatPr defaultColWidth="9" defaultRowHeight="14.25"/>
  <cols>
    <col min="1" max="1" width="23.125" style="77" customWidth="1"/>
    <col min="2" max="2" width="2.625" style="77" customWidth="1"/>
    <col min="3" max="3" width="12.25" style="78" customWidth="1"/>
    <col min="4" max="4" width="14" style="78" customWidth="1"/>
    <col min="5" max="5" width="10.75" style="78" customWidth="1"/>
    <col min="6" max="6" width="7.5" style="78" bestFit="1" customWidth="1"/>
    <col min="7" max="7" width="8.625" style="78" customWidth="1"/>
    <col min="8" max="8" width="15" style="78" customWidth="1"/>
    <col min="9" max="9" width="18.375" style="77" customWidth="1"/>
    <col min="10" max="10" width="3.125" style="77" customWidth="1"/>
    <col min="11" max="11" width="12.375" style="78" customWidth="1"/>
    <col min="12" max="12" width="12" style="78" customWidth="1"/>
    <col min="13" max="13" width="10.875" style="78" customWidth="1"/>
    <col min="14" max="14" width="7.5" style="78" bestFit="1" customWidth="1"/>
    <col min="15" max="15" width="8.5" style="78" customWidth="1"/>
    <col min="16" max="16" width="12.125" style="78" customWidth="1"/>
    <col min="17" max="16384" width="9" style="78"/>
  </cols>
  <sheetData>
    <row r="1" spans="1:16" ht="18.75">
      <c r="A1" s="1219" t="s">
        <v>385</v>
      </c>
      <c r="B1" s="1219"/>
      <c r="C1" s="1219"/>
      <c r="D1" s="1219"/>
      <c r="E1" s="1219"/>
      <c r="F1" s="1219"/>
      <c r="G1" s="1219"/>
      <c r="H1" s="1219"/>
      <c r="I1" s="1219" t="s">
        <v>386</v>
      </c>
      <c r="J1" s="1219"/>
      <c r="K1" s="1219"/>
      <c r="L1" s="1219"/>
      <c r="M1" s="1219"/>
      <c r="N1" s="1219"/>
      <c r="O1" s="1219"/>
      <c r="P1" s="1219"/>
    </row>
    <row r="2" spans="1:16" s="32" customFormat="1" ht="15" customHeight="1">
      <c r="A2" s="88" t="str">
        <f>CONCATENATE("客户名称：",说明!E23)</f>
        <v>客户名称：</v>
      </c>
      <c r="D2" s="89" t="str">
        <f>CONCATENATE("编制：",说明!E36)</f>
        <v>编制：</v>
      </c>
      <c r="E2" s="90"/>
      <c r="F2" s="88" t="str">
        <f>CONCATENATE("复核：",说明!E37)</f>
        <v>复核：</v>
      </c>
      <c r="G2" s="91"/>
      <c r="H2" s="806" t="s">
        <v>952</v>
      </c>
      <c r="I2" s="88" t="str">
        <f>CONCATENATE("客户名称：",说明!E23)</f>
        <v>客户名称：</v>
      </c>
      <c r="L2" s="89" t="str">
        <f>CONCATENATE("编制：",说明!E36)</f>
        <v>编制：</v>
      </c>
      <c r="M2" s="90"/>
      <c r="N2" s="88" t="str">
        <f>CONCATENATE("复核：",说明!E37)</f>
        <v>复核：</v>
      </c>
      <c r="O2" s="91"/>
      <c r="P2" s="89" t="s">
        <v>294</v>
      </c>
    </row>
    <row r="3" spans="1:16" s="32" customFormat="1" ht="17.25" customHeight="1" thickBot="1">
      <c r="A3" s="91" t="str">
        <f>CONCATENATE("会计时点：",TEXT(说明!E32,"yyyy.mm.dd"))</f>
        <v>会计时点：2019.12.31</v>
      </c>
      <c r="D3" s="93" t="str">
        <f ca="1">CONCATENATE("日期：",TEXT(NOW(),"yyyy.mm.dd"))</f>
        <v>日期：2019.12.31</v>
      </c>
      <c r="E3" s="91"/>
      <c r="F3" s="89" t="s">
        <v>295</v>
      </c>
      <c r="G3" s="91"/>
      <c r="H3" s="89" t="s">
        <v>296</v>
      </c>
      <c r="I3" s="91" t="str">
        <f>CONCATENATE("会计时点：",TEXT(说明!E32,"yyyy.mm.dd"))</f>
        <v>会计时点：2019.12.31</v>
      </c>
      <c r="L3" s="93" t="str">
        <f ca="1">CONCATENATE("日期：",TEXT(NOW(),"yyyy.mm.dd"))</f>
        <v>日期：2019.12.31</v>
      </c>
      <c r="M3" s="91"/>
      <c r="N3" s="89" t="s">
        <v>295</v>
      </c>
      <c r="O3" s="91"/>
      <c r="P3" s="89" t="s">
        <v>296</v>
      </c>
    </row>
    <row r="4" spans="1:16">
      <c r="A4" s="1220" t="s">
        <v>371</v>
      </c>
      <c r="B4" s="1231" t="s">
        <v>364</v>
      </c>
      <c r="C4" s="1223" t="s">
        <v>365</v>
      </c>
      <c r="D4" s="1223" t="s">
        <v>384</v>
      </c>
      <c r="E4" s="173" t="s">
        <v>366</v>
      </c>
      <c r="F4" s="173"/>
      <c r="G4" s="1228" t="s">
        <v>448</v>
      </c>
      <c r="H4" s="1213" t="s">
        <v>449</v>
      </c>
      <c r="I4" s="1225" t="str">
        <f>IF(说明!E28="一般企业（执行统一会计制度）","负债及所有者权益","负债及股东权益")</f>
        <v>负债及股东权益</v>
      </c>
      <c r="J4" s="1216" t="s">
        <v>364</v>
      </c>
      <c r="K4" s="1223" t="s">
        <v>365</v>
      </c>
      <c r="L4" s="1223" t="s">
        <v>384</v>
      </c>
      <c r="M4" s="173" t="s">
        <v>366</v>
      </c>
      <c r="N4" s="173"/>
      <c r="O4" s="1228" t="s">
        <v>448</v>
      </c>
      <c r="P4" s="1213" t="s">
        <v>449</v>
      </c>
    </row>
    <row r="5" spans="1:16">
      <c r="A5" s="1221"/>
      <c r="B5" s="1232"/>
      <c r="C5" s="1224"/>
      <c r="D5" s="1224"/>
      <c r="E5" s="175" t="s">
        <v>372</v>
      </c>
      <c r="F5" s="175" t="s">
        <v>373</v>
      </c>
      <c r="G5" s="1229"/>
      <c r="H5" s="1214"/>
      <c r="I5" s="1226"/>
      <c r="J5" s="1217"/>
      <c r="K5" s="1224"/>
      <c r="L5" s="1224"/>
      <c r="M5" s="175" t="s">
        <v>372</v>
      </c>
      <c r="N5" s="175" t="s">
        <v>373</v>
      </c>
      <c r="O5" s="1229"/>
      <c r="P5" s="1214"/>
    </row>
    <row r="6" spans="1:16">
      <c r="A6" s="1222"/>
      <c r="B6" s="1233"/>
      <c r="C6" s="176" t="s">
        <v>367</v>
      </c>
      <c r="D6" s="176" t="s">
        <v>368</v>
      </c>
      <c r="E6" s="176" t="s">
        <v>369</v>
      </c>
      <c r="F6" s="176" t="s">
        <v>370</v>
      </c>
      <c r="G6" s="1230"/>
      <c r="H6" s="1215"/>
      <c r="I6" s="1227"/>
      <c r="J6" s="1218"/>
      <c r="K6" s="176" t="s">
        <v>367</v>
      </c>
      <c r="L6" s="176" t="s">
        <v>368</v>
      </c>
      <c r="M6" s="176" t="s">
        <v>369</v>
      </c>
      <c r="N6" s="176" t="s">
        <v>370</v>
      </c>
      <c r="O6" s="1230"/>
      <c r="P6" s="1215"/>
    </row>
    <row r="7" spans="1:16" ht="13.9" customHeight="1">
      <c r="A7" s="180" t="str">
        <f>报表格式!B5</f>
        <v>流动资产：</v>
      </c>
      <c r="B7" s="258">
        <v>1</v>
      </c>
      <c r="C7" s="252"/>
      <c r="D7" s="252"/>
      <c r="E7" s="253"/>
      <c r="F7" s="253"/>
      <c r="G7" s="182"/>
      <c r="H7" s="190"/>
      <c r="I7" s="186" t="str">
        <f>报表格式!G5</f>
        <v>流动负债：</v>
      </c>
      <c r="J7" s="258">
        <f>B64+1</f>
        <v>1</v>
      </c>
      <c r="K7" s="250"/>
      <c r="L7" s="250"/>
      <c r="M7" s="182"/>
      <c r="N7" s="685"/>
      <c r="O7" s="685"/>
      <c r="P7" s="617"/>
    </row>
    <row r="8" spans="1:16" ht="13.9" customHeight="1">
      <c r="A8" s="129" t="str">
        <f>报表格式!B6</f>
        <v>货币资金</v>
      </c>
      <c r="B8" s="131">
        <f>B7+1</f>
        <v>2</v>
      </c>
      <c r="C8" s="254">
        <f>年初BS审定!B7</f>
        <v>0</v>
      </c>
      <c r="D8" s="254">
        <f>审定合并BS!C7</f>
        <v>0</v>
      </c>
      <c r="E8" s="254">
        <f>D8-C8</f>
        <v>0</v>
      </c>
      <c r="F8" s="255" t="str">
        <f>IF(AND(C8=0,D8=0),"",IF(C8=0,100%,IF(D8=0,-100%,E8/C8)))</f>
        <v/>
      </c>
      <c r="G8" s="251" t="str">
        <f>IF(F8="","",IF(OR(ABS(F8)&gt;=30%,ABS(E8)&gt;=$D$60*5%,ABS(E8)&gt;=已审横向PL!$D$39*10%),"显著",IF(ABS(F8)&gt;=10%,"关注","")))</f>
        <v/>
      </c>
      <c r="H8" s="608"/>
      <c r="I8" s="187" t="str">
        <f>报表格式!G6</f>
        <v>短期借款</v>
      </c>
      <c r="J8" s="131">
        <f t="shared" ref="J8:J63" si="0">J7+1</f>
        <v>2</v>
      </c>
      <c r="K8" s="254">
        <f>年初BS审定!B62</f>
        <v>0</v>
      </c>
      <c r="L8" s="254">
        <f>审定合并BS!C67</f>
        <v>0</v>
      </c>
      <c r="M8" s="254">
        <f>L8-K8</f>
        <v>0</v>
      </c>
      <c r="N8" s="255" t="str">
        <f>IF(AND(K8=0,L8=0),"",IF(K8=0,100%,IF(L8=0,-100%,M8/K8)))</f>
        <v/>
      </c>
      <c r="O8" s="251" t="str">
        <f>IF(N8="","",IF(OR(ABS(N8)&gt;=30%,ABS(M8)&gt;=$D$60*5%,ABS(M8)&gt;=已审横向PL!$D$39*10%),"显著",IF(ABS(N8)&gt;=10%,"关注","")))</f>
        <v/>
      </c>
      <c r="P8" s="618"/>
    </row>
    <row r="9" spans="1:16" ht="13.9" customHeight="1">
      <c r="A9" s="129" t="str">
        <f>报表格式!B7</f>
        <v>结算备付金</v>
      </c>
      <c r="B9" s="131">
        <f t="shared" ref="B9:B10" si="1">B8+1</f>
        <v>3</v>
      </c>
      <c r="C9" s="254">
        <f>年初BS审定!B8</f>
        <v>0</v>
      </c>
      <c r="D9" s="254">
        <f>审定合并BS!C8</f>
        <v>0</v>
      </c>
      <c r="E9" s="254">
        <f t="shared" ref="E9:E10" si="2">D9-C9</f>
        <v>0</v>
      </c>
      <c r="F9" s="255" t="str">
        <f t="shared" ref="F9:F10" si="3">IF(AND(C9=0,D9=0),"",IF(C9=0,100%,IF(D9=0,-100%,E9/C9)))</f>
        <v/>
      </c>
      <c r="G9" s="251" t="str">
        <f>IF(F9="","",IF(OR(ABS(F9)&gt;=30%,ABS(E9)&gt;=$D$60*5%,ABS(E9)&gt;=已审横向PL!$D$39*10%),"显著",IF(ABS(F9)&gt;=10%,"关注","")))</f>
        <v/>
      </c>
      <c r="H9" s="608"/>
      <c r="I9" s="187" t="str">
        <f>报表格式!G7</f>
        <v>向中央银行借款</v>
      </c>
      <c r="J9" s="131">
        <f t="shared" si="0"/>
        <v>3</v>
      </c>
      <c r="K9" s="254">
        <f>年初BS审定!B63</f>
        <v>0</v>
      </c>
      <c r="L9" s="254">
        <f>审定合并BS!C68</f>
        <v>0</v>
      </c>
      <c r="M9" s="254">
        <f t="shared" ref="M9:M12" si="4">L9-K9</f>
        <v>0</v>
      </c>
      <c r="N9" s="255" t="str">
        <f t="shared" ref="N9:N12" si="5">IF(AND(K9=0,L9=0),"",IF(K9=0,100%,IF(L9=0,-100%,M9/K9)))</f>
        <v/>
      </c>
      <c r="O9" s="251" t="str">
        <f>IF(N9="","",IF(OR(ABS(N9)&gt;=30%,ABS(M9)&gt;=$D$60*5%,ABS(M9)&gt;=已审横向PL!$D$39*10%),"显著",IF(ABS(N9)&gt;=10%,"关注","")))</f>
        <v/>
      </c>
      <c r="P9" s="618"/>
    </row>
    <row r="10" spans="1:16" ht="13.9" customHeight="1">
      <c r="A10" s="129" t="str">
        <f>报表格式!B8</f>
        <v>拆出资金</v>
      </c>
      <c r="B10" s="131">
        <f t="shared" si="1"/>
        <v>4</v>
      </c>
      <c r="C10" s="254">
        <f>年初BS审定!B9</f>
        <v>0</v>
      </c>
      <c r="D10" s="254">
        <f>审定合并BS!C9</f>
        <v>0</v>
      </c>
      <c r="E10" s="254">
        <f t="shared" si="2"/>
        <v>0</v>
      </c>
      <c r="F10" s="255" t="str">
        <f t="shared" si="3"/>
        <v/>
      </c>
      <c r="G10" s="251" t="str">
        <f>IF(F10="","",IF(OR(ABS(F10)&gt;=30%,ABS(E10)&gt;=$D$60*5%,ABS(E10)&gt;=已审横向PL!$D$39*10%),"显著",IF(ABS(F10)&gt;=10%,"关注","")))</f>
        <v/>
      </c>
      <c r="H10" s="608"/>
      <c r="I10" s="187" t="str">
        <f>报表格式!G8</f>
        <v>吸收存款及同业存放</v>
      </c>
      <c r="J10" s="131">
        <f t="shared" si="0"/>
        <v>4</v>
      </c>
      <c r="K10" s="254">
        <f>年初BS审定!B64</f>
        <v>0</v>
      </c>
      <c r="L10" s="254">
        <f>审定合并BS!C69</f>
        <v>0</v>
      </c>
      <c r="M10" s="254">
        <f t="shared" si="4"/>
        <v>0</v>
      </c>
      <c r="N10" s="255" t="str">
        <f t="shared" si="5"/>
        <v/>
      </c>
      <c r="O10" s="251" t="str">
        <f>IF(N10="","",IF(OR(ABS(N10)&gt;=30%,ABS(M10)&gt;=$D$60*5%,ABS(M10)&gt;=已审横向PL!$D$39*10%),"显著",IF(ABS(N10)&gt;=10%,"关注","")))</f>
        <v/>
      </c>
      <c r="P10" s="618"/>
    </row>
    <row r="11" spans="1:16" ht="13.9" customHeight="1">
      <c r="A11" s="129" t="str">
        <f>报表格式!B9</f>
        <v>交易性金融资产</v>
      </c>
      <c r="B11" s="131">
        <f>B10+1</f>
        <v>5</v>
      </c>
      <c r="C11" s="254">
        <f>年初BS审定!B10</f>
        <v>0</v>
      </c>
      <c r="D11" s="254">
        <f>审定合并BS!C10</f>
        <v>0</v>
      </c>
      <c r="E11" s="254">
        <f>D11-C11</f>
        <v>0</v>
      </c>
      <c r="F11" s="255" t="str">
        <f>IF(AND(C11=0,D11=0),"",IF(C11=0,100%,IF(D11=0,-100%,E11/C11)))</f>
        <v/>
      </c>
      <c r="G11" s="251" t="str">
        <f>IF(F11="","",IF(OR(ABS(F11)&gt;=30%,ABS(E11)&gt;=$D$60*5%,ABS(E11)&gt;=已审横向PL!$D$39*10%),"显著",IF(ABS(F11)&gt;=10%,"关注","")))</f>
        <v/>
      </c>
      <c r="H11" s="608"/>
      <c r="I11" s="187" t="str">
        <f>报表格式!G9</f>
        <v>拆入资金</v>
      </c>
      <c r="J11" s="131">
        <f t="shared" si="0"/>
        <v>5</v>
      </c>
      <c r="K11" s="254">
        <f>年初BS审定!B65</f>
        <v>0</v>
      </c>
      <c r="L11" s="254">
        <f>审定合并BS!C70</f>
        <v>0</v>
      </c>
      <c r="M11" s="254">
        <f t="shared" si="4"/>
        <v>0</v>
      </c>
      <c r="N11" s="255" t="str">
        <f t="shared" si="5"/>
        <v/>
      </c>
      <c r="O11" s="251" t="str">
        <f>IF(N11="","",IF(OR(ABS(N11)&gt;=30%,ABS(M11)&gt;=$D$60*5%,ABS(M11)&gt;=已审横向PL!$D$39*10%),"显著",IF(ABS(N11)&gt;=10%,"关注","")))</f>
        <v/>
      </c>
      <c r="P11" s="618"/>
    </row>
    <row r="12" spans="1:16" ht="13.9" customHeight="1">
      <c r="A12" s="129" t="str">
        <f>报表格式!B10</f>
        <v>以公允价值计量且其变动计入当期损益的金融资产</v>
      </c>
      <c r="B12" s="131">
        <f t="shared" ref="B12:B25" si="6">B11+1</f>
        <v>6</v>
      </c>
      <c r="C12" s="254">
        <f>年初BS审定!B11</f>
        <v>0</v>
      </c>
      <c r="D12" s="254">
        <f>审定合并BS!C11</f>
        <v>0</v>
      </c>
      <c r="E12" s="254">
        <f t="shared" ref="E12:E25" si="7">D12-C12</f>
        <v>0</v>
      </c>
      <c r="F12" s="255" t="str">
        <f t="shared" ref="F12:F25" si="8">IF(AND(C12=0,D12=0),"",IF(C12=0,100%,IF(D12=0,-100%,E12/C12)))</f>
        <v/>
      </c>
      <c r="G12" s="251" t="str">
        <f>IF(F12="","",IF(OR(ABS(F12)&gt;=30%,ABS(E12)&gt;=$D$60*5%,ABS(E12)&gt;=已审横向PL!$D$39*10%),"显著",IF(ABS(F12)&gt;=10%,"关注","")))</f>
        <v/>
      </c>
      <c r="H12" s="608"/>
      <c r="I12" s="187" t="str">
        <f>报表格式!G10</f>
        <v>交易性金融负债</v>
      </c>
      <c r="J12" s="131">
        <f t="shared" si="0"/>
        <v>6</v>
      </c>
      <c r="K12" s="254">
        <f>年初BS审定!B66</f>
        <v>0</v>
      </c>
      <c r="L12" s="254">
        <f>审定合并BS!C71</f>
        <v>0</v>
      </c>
      <c r="M12" s="254">
        <f t="shared" si="4"/>
        <v>0</v>
      </c>
      <c r="N12" s="255" t="str">
        <f t="shared" si="5"/>
        <v/>
      </c>
      <c r="O12" s="251" t="str">
        <f>IF(N12="","",IF(OR(ABS(N12)&gt;=30%,ABS(M12)&gt;=$D$60*5%,ABS(M12)&gt;=已审横向PL!$D$39*10%),"显著",IF(ABS(N12)&gt;=10%,"关注","")))</f>
        <v/>
      </c>
      <c r="P12" s="618"/>
    </row>
    <row r="13" spans="1:16" ht="13.9" customHeight="1">
      <c r="A13" s="129" t="str">
        <f>报表格式!B11</f>
        <v>衍生金融资产</v>
      </c>
      <c r="B13" s="131">
        <f t="shared" si="6"/>
        <v>7</v>
      </c>
      <c r="C13" s="254">
        <f>年初BS审定!B12</f>
        <v>0</v>
      </c>
      <c r="D13" s="254">
        <f>审定合并BS!C12</f>
        <v>0</v>
      </c>
      <c r="E13" s="254">
        <f t="shared" si="7"/>
        <v>0</v>
      </c>
      <c r="F13" s="255" t="str">
        <f t="shared" si="8"/>
        <v/>
      </c>
      <c r="G13" s="251" t="str">
        <f>IF(F13="","",IF(OR(ABS(F13)&gt;=30%,ABS(E13)&gt;=$D$60*5%,ABS(E13)&gt;=已审横向PL!$D$39*10%),"显著",IF(ABS(F13)&gt;=10%,"关注","")))</f>
        <v/>
      </c>
      <c r="H13" s="608"/>
      <c r="I13" s="187" t="str">
        <f>报表格式!G11</f>
        <v>以公允价值计量且其变动计入当期损益的金融负债</v>
      </c>
      <c r="J13" s="131">
        <f t="shared" si="0"/>
        <v>7</v>
      </c>
      <c r="K13" s="254">
        <f>年初BS审定!B67</f>
        <v>0</v>
      </c>
      <c r="L13" s="254">
        <f>审定合并BS!C72</f>
        <v>0</v>
      </c>
      <c r="M13" s="254">
        <f t="shared" ref="M13:M14" si="9">L13-K13</f>
        <v>0</v>
      </c>
      <c r="N13" s="255" t="str">
        <f t="shared" ref="N13:N14" si="10">IF(AND(K13=0,L13=0),"",IF(K13=0,100%,IF(L13=0,-100%,M13/K13)))</f>
        <v/>
      </c>
      <c r="O13" s="251" t="str">
        <f>IF(N13="","",IF(OR(ABS(N13)&gt;=30%,ABS(M13)&gt;=$D$60*5%,ABS(M13)&gt;=已审横向PL!$D$39*10%),"显著",IF(ABS(N13)&gt;=10%,"关注","")))</f>
        <v/>
      </c>
      <c r="P13" s="618"/>
    </row>
    <row r="14" spans="1:16" ht="13.9" customHeight="1">
      <c r="A14" s="129" t="str">
        <f>报表格式!B12</f>
        <v>应收票据</v>
      </c>
      <c r="B14" s="131">
        <f t="shared" si="6"/>
        <v>8</v>
      </c>
      <c r="C14" s="254">
        <f>年初BS审定!B13</f>
        <v>0</v>
      </c>
      <c r="D14" s="254">
        <f>审定合并BS!C13</f>
        <v>0</v>
      </c>
      <c r="E14" s="254">
        <f t="shared" si="7"/>
        <v>0</v>
      </c>
      <c r="F14" s="255" t="str">
        <f t="shared" si="8"/>
        <v/>
      </c>
      <c r="G14" s="251" t="str">
        <f>IF(F14="","",IF(OR(ABS(F14)&gt;=30%,ABS(E14)&gt;=$D$60*5%,ABS(E14)&gt;=已审横向PL!$D$39*10%),"显著",IF(ABS(F14)&gt;=10%,"关注","")))</f>
        <v/>
      </c>
      <c r="H14" s="608"/>
      <c r="I14" s="187" t="str">
        <f>报表格式!G12</f>
        <v>衍生金融负债</v>
      </c>
      <c r="J14" s="131">
        <f t="shared" si="0"/>
        <v>8</v>
      </c>
      <c r="K14" s="254">
        <f>年初BS审定!B68</f>
        <v>0</v>
      </c>
      <c r="L14" s="254">
        <f>审定合并BS!C73</f>
        <v>0</v>
      </c>
      <c r="M14" s="254">
        <f t="shared" si="9"/>
        <v>0</v>
      </c>
      <c r="N14" s="255" t="str">
        <f t="shared" si="10"/>
        <v/>
      </c>
      <c r="O14" s="251" t="str">
        <f>IF(N14="","",IF(OR(ABS(N14)&gt;=30%,ABS(M14)&gt;=$D$60*5%,ABS(M14)&gt;=已审横向PL!$D$39*10%),"显著",IF(ABS(N14)&gt;=10%,"关注","")))</f>
        <v/>
      </c>
      <c r="P14" s="618"/>
    </row>
    <row r="15" spans="1:16" ht="13.9" customHeight="1">
      <c r="A15" s="129" t="str">
        <f>报表格式!B13</f>
        <v>应收账款</v>
      </c>
      <c r="B15" s="131">
        <f t="shared" si="6"/>
        <v>9</v>
      </c>
      <c r="C15" s="254">
        <f>年初BS审定!B14</f>
        <v>0</v>
      </c>
      <c r="D15" s="254">
        <f>审定合并BS!C14</f>
        <v>0</v>
      </c>
      <c r="E15" s="254">
        <f t="shared" si="7"/>
        <v>0</v>
      </c>
      <c r="F15" s="255" t="str">
        <f t="shared" si="8"/>
        <v/>
      </c>
      <c r="G15" s="251" t="str">
        <f>IF(F15="","",IF(OR(ABS(F15)&gt;=30%,ABS(E15)&gt;=$D$60*5%,ABS(E15)&gt;=已审横向PL!$D$39*10%),"显著",IF(ABS(F15)&gt;=10%,"关注","")))</f>
        <v/>
      </c>
      <c r="H15" s="608"/>
      <c r="I15" s="187" t="str">
        <f>报表格式!G13</f>
        <v>应付票据</v>
      </c>
      <c r="J15" s="131">
        <f t="shared" si="0"/>
        <v>9</v>
      </c>
      <c r="K15" s="254">
        <f>年初BS审定!B70</f>
        <v>0</v>
      </c>
      <c r="L15" s="254">
        <f>审定合并BS!C74</f>
        <v>0</v>
      </c>
      <c r="M15" s="254">
        <f t="shared" ref="M15:M23" si="11">L15-K15</f>
        <v>0</v>
      </c>
      <c r="N15" s="255" t="str">
        <f t="shared" ref="N15:N23" si="12">IF(AND(K15=0,L15=0),"",IF(K15=0,100%,IF(L15=0,-100%,M15/K15)))</f>
        <v/>
      </c>
      <c r="O15" s="251" t="str">
        <f>IF(N15="","",IF(OR(ABS(N15)&gt;=30%,ABS(M15)&gt;=$D$60*5%,ABS(M15)&gt;=已审横向PL!$D$39*10%),"显著",IF(ABS(N15)&gt;=10%,"关注","")))</f>
        <v/>
      </c>
      <c r="P15" s="618"/>
    </row>
    <row r="16" spans="1:16" ht="13.9" customHeight="1">
      <c r="A16" s="129" t="str">
        <f>报表格式!B14</f>
        <v>应收款项融资</v>
      </c>
      <c r="B16" s="131">
        <f t="shared" si="6"/>
        <v>10</v>
      </c>
      <c r="C16" s="254">
        <f>年初BS审定!B15</f>
        <v>0</v>
      </c>
      <c r="D16" s="254">
        <f>审定合并BS!C15</f>
        <v>0</v>
      </c>
      <c r="E16" s="254">
        <f t="shared" si="7"/>
        <v>0</v>
      </c>
      <c r="F16" s="255" t="str">
        <f t="shared" si="8"/>
        <v/>
      </c>
      <c r="G16" s="251" t="str">
        <f>IF(F16="","",IF(OR(ABS(F16)&gt;=30%,ABS(E16)&gt;=$D$60*5%,ABS(E16)&gt;=已审横向PL!$D$39*10%),"显著",IF(ABS(F16)&gt;=10%,"关注","")))</f>
        <v/>
      </c>
      <c r="H16" s="608"/>
      <c r="I16" s="187" t="str">
        <f>报表格式!G14</f>
        <v>应付账款</v>
      </c>
      <c r="J16" s="131">
        <f t="shared" si="0"/>
        <v>10</v>
      </c>
      <c r="K16" s="254">
        <f>年初BS审定!B71</f>
        <v>0</v>
      </c>
      <c r="L16" s="254">
        <f>审定合并BS!C75</f>
        <v>0</v>
      </c>
      <c r="M16" s="254">
        <f t="shared" ref="M16:M17" si="13">L16-K16</f>
        <v>0</v>
      </c>
      <c r="N16" s="255" t="str">
        <f t="shared" ref="N16:N17" si="14">IF(AND(K16=0,L16=0),"",IF(K16=0,100%,IF(L16=0,-100%,M16/K16)))</f>
        <v/>
      </c>
      <c r="O16" s="251" t="str">
        <f>IF(N16="","",IF(OR(ABS(N16)&gt;=30%,ABS(M16)&gt;=$D$60*5%,ABS(M16)&gt;=已审横向PL!$D$39*10%),"显著",IF(ABS(N16)&gt;=10%,"关注","")))</f>
        <v/>
      </c>
      <c r="P16" s="618"/>
    </row>
    <row r="17" spans="1:16" ht="13.9" customHeight="1">
      <c r="A17" s="129" t="str">
        <f>报表格式!B15</f>
        <v>预付款项</v>
      </c>
      <c r="B17" s="131">
        <f t="shared" si="6"/>
        <v>11</v>
      </c>
      <c r="C17" s="254">
        <f>年初BS审定!B16</f>
        <v>0</v>
      </c>
      <c r="D17" s="254">
        <f>审定合并BS!C16</f>
        <v>0</v>
      </c>
      <c r="E17" s="254">
        <f t="shared" si="7"/>
        <v>0</v>
      </c>
      <c r="F17" s="255" t="str">
        <f t="shared" si="8"/>
        <v/>
      </c>
      <c r="G17" s="251" t="str">
        <f>IF(F17="","",IF(OR(ABS(F17)&gt;=30%,ABS(E17)&gt;=$D$60*5%,ABS(E17)&gt;=已审横向PL!$D$39*10%),"显著",IF(ABS(F17)&gt;=10%,"关注","")))</f>
        <v/>
      </c>
      <c r="H17" s="608"/>
      <c r="I17" s="187" t="str">
        <f>报表格式!G15</f>
        <v>预收款项</v>
      </c>
      <c r="J17" s="131">
        <f t="shared" si="0"/>
        <v>11</v>
      </c>
      <c r="K17" s="254">
        <f>年初BS审定!B74</f>
        <v>0</v>
      </c>
      <c r="L17" s="254">
        <f>审定合并BS!C76</f>
        <v>0</v>
      </c>
      <c r="M17" s="254">
        <f t="shared" si="13"/>
        <v>0</v>
      </c>
      <c r="N17" s="255" t="str">
        <f t="shared" si="14"/>
        <v/>
      </c>
      <c r="O17" s="251" t="str">
        <f>IF(N17="","",IF(OR(ABS(N17)&gt;=30%,ABS(M17)&gt;=$D$60*5%,ABS(M17)&gt;=已审横向PL!$D$39*10%),"显著",IF(ABS(N17)&gt;=10%,"关注","")))</f>
        <v/>
      </c>
      <c r="P17" s="618"/>
    </row>
    <row r="18" spans="1:16" ht="13.9" customHeight="1">
      <c r="A18" s="129" t="str">
        <f>报表格式!B16</f>
        <v>应收保费</v>
      </c>
      <c r="B18" s="131">
        <f t="shared" si="6"/>
        <v>12</v>
      </c>
      <c r="C18" s="254">
        <f>年初BS审定!B17</f>
        <v>0</v>
      </c>
      <c r="D18" s="254">
        <f>审定合并BS!C17</f>
        <v>0</v>
      </c>
      <c r="E18" s="254">
        <f t="shared" ref="E18:E21" si="15">D18-C18</f>
        <v>0</v>
      </c>
      <c r="F18" s="255" t="str">
        <f t="shared" ref="F18:F21" si="16">IF(AND(C18=0,D18=0),"",IF(C18=0,100%,IF(D18=0,-100%,E18/C18)))</f>
        <v/>
      </c>
      <c r="G18" s="251" t="str">
        <f>IF(F18="","",IF(OR(ABS(F18)&gt;=30%,ABS(E18)&gt;=$D$60*5%,ABS(E18)&gt;=已审横向PL!$D$39*10%),"显著",IF(ABS(F18)&gt;=10%,"关注","")))</f>
        <v/>
      </c>
      <c r="H18" s="608"/>
      <c r="I18" s="187" t="str">
        <f>报表格式!G16</f>
        <v>卖出回购金融资产款</v>
      </c>
      <c r="J18" s="131">
        <f t="shared" si="0"/>
        <v>12</v>
      </c>
      <c r="K18" s="254">
        <f>年初BS审定!B75</f>
        <v>0</v>
      </c>
      <c r="L18" s="254">
        <f>审定合并BS!C77</f>
        <v>0</v>
      </c>
      <c r="M18" s="254">
        <f t="shared" ref="M18:M20" si="17">L18-K18</f>
        <v>0</v>
      </c>
      <c r="N18" s="255" t="str">
        <f t="shared" ref="N18:N20" si="18">IF(AND(K18=0,L18=0),"",IF(K18=0,100%,IF(L18=0,-100%,M18/K18)))</f>
        <v/>
      </c>
      <c r="O18" s="251" t="str">
        <f>IF(N18="","",IF(OR(ABS(N18)&gt;=30%,ABS(M18)&gt;=$D$60*5%,ABS(M18)&gt;=已审横向PL!$D$39*10%),"显著",IF(ABS(N18)&gt;=10%,"关注","")))</f>
        <v/>
      </c>
      <c r="P18" s="618"/>
    </row>
    <row r="19" spans="1:16" ht="13.9" customHeight="1">
      <c r="A19" s="129" t="str">
        <f>报表格式!B17</f>
        <v>应收分保账款</v>
      </c>
      <c r="B19" s="131">
        <f t="shared" si="6"/>
        <v>13</v>
      </c>
      <c r="C19" s="254">
        <f>年初BS审定!B18</f>
        <v>0</v>
      </c>
      <c r="D19" s="254">
        <f>审定合并BS!C18</f>
        <v>0</v>
      </c>
      <c r="E19" s="254">
        <f t="shared" si="15"/>
        <v>0</v>
      </c>
      <c r="F19" s="255" t="str">
        <f t="shared" si="16"/>
        <v/>
      </c>
      <c r="G19" s="251" t="str">
        <f>IF(F19="","",IF(OR(ABS(F19)&gt;=30%,ABS(E19)&gt;=$D$60*5%,ABS(E19)&gt;=已审横向PL!$D$39*10%),"显著",IF(ABS(F19)&gt;=10%,"关注","")))</f>
        <v/>
      </c>
      <c r="H19" s="608"/>
      <c r="I19" s="187" t="str">
        <f>报表格式!G17</f>
        <v>应付手续费及佣金</v>
      </c>
      <c r="J19" s="131">
        <f t="shared" si="0"/>
        <v>13</v>
      </c>
      <c r="K19" s="254">
        <f>年初BS审定!B76</f>
        <v>0</v>
      </c>
      <c r="L19" s="254">
        <f>审定合并BS!C78</f>
        <v>0</v>
      </c>
      <c r="M19" s="254">
        <f t="shared" si="17"/>
        <v>0</v>
      </c>
      <c r="N19" s="255" t="str">
        <f t="shared" si="18"/>
        <v/>
      </c>
      <c r="O19" s="251" t="str">
        <f>IF(N19="","",IF(OR(ABS(N19)&gt;=30%,ABS(M19)&gt;=$D$60*5%,ABS(M19)&gt;=已审横向PL!$D$39*10%),"显著",IF(ABS(N19)&gt;=10%,"关注","")))</f>
        <v/>
      </c>
      <c r="P19" s="618"/>
    </row>
    <row r="20" spans="1:16" ht="13.9" customHeight="1">
      <c r="A20" s="129" t="str">
        <f>报表格式!B18</f>
        <v>应收分保准备金</v>
      </c>
      <c r="B20" s="131">
        <f t="shared" si="6"/>
        <v>14</v>
      </c>
      <c r="C20" s="254">
        <f>年初BS审定!B19</f>
        <v>0</v>
      </c>
      <c r="D20" s="254">
        <f>审定合并BS!C19</f>
        <v>0</v>
      </c>
      <c r="E20" s="254">
        <f t="shared" si="15"/>
        <v>0</v>
      </c>
      <c r="F20" s="255" t="str">
        <f t="shared" si="16"/>
        <v/>
      </c>
      <c r="G20" s="251" t="str">
        <f>IF(F20="","",IF(OR(ABS(F20)&gt;=30%,ABS(E20)&gt;=$D$60*5%,ABS(E20)&gt;=已审横向PL!$D$39*10%),"显著",IF(ABS(F20)&gt;=10%,"关注","")))</f>
        <v/>
      </c>
      <c r="H20" s="608"/>
      <c r="I20" s="187" t="str">
        <f>报表格式!G18</f>
        <v>合同负债</v>
      </c>
      <c r="J20" s="131">
        <f t="shared" si="0"/>
        <v>14</v>
      </c>
      <c r="K20" s="254">
        <f>年初BS审定!B77</f>
        <v>0</v>
      </c>
      <c r="L20" s="254">
        <f>审定合并BS!C79</f>
        <v>0</v>
      </c>
      <c r="M20" s="254">
        <f t="shared" si="17"/>
        <v>0</v>
      </c>
      <c r="N20" s="255" t="str">
        <f t="shared" si="18"/>
        <v/>
      </c>
      <c r="O20" s="251" t="str">
        <f>IF(N20="","",IF(OR(ABS(N20)&gt;=30%,ABS(M20)&gt;=$D$60*5%,ABS(M20)&gt;=已审横向PL!$D$39*10%),"显著",IF(ABS(N20)&gt;=10%,"关注","")))</f>
        <v/>
      </c>
      <c r="P20" s="618"/>
    </row>
    <row r="21" spans="1:16" ht="13.9" customHeight="1">
      <c r="A21" s="129" t="str">
        <f>报表格式!B19</f>
        <v>其他应收款</v>
      </c>
      <c r="B21" s="131">
        <f t="shared" si="6"/>
        <v>15</v>
      </c>
      <c r="C21" s="254">
        <f>年初BS审定!B20</f>
        <v>0</v>
      </c>
      <c r="D21" s="254">
        <f>审定合并BS!C20</f>
        <v>0</v>
      </c>
      <c r="E21" s="254">
        <f t="shared" si="15"/>
        <v>0</v>
      </c>
      <c r="F21" s="255" t="str">
        <f t="shared" si="16"/>
        <v/>
      </c>
      <c r="G21" s="251" t="str">
        <f>IF(F21="","",IF(OR(ABS(F21)&gt;=30%,ABS(E21)&gt;=$D$60*5%,ABS(E21)&gt;=已审横向PL!$D$39*10%),"显著",IF(ABS(F21)&gt;=10%,"关注","")))</f>
        <v/>
      </c>
      <c r="H21" s="608"/>
      <c r="I21" s="187" t="str">
        <f>报表格式!G19</f>
        <v>应付职工薪酬</v>
      </c>
      <c r="J21" s="131">
        <f t="shared" si="0"/>
        <v>15</v>
      </c>
      <c r="K21" s="254">
        <f>年初BS审定!B75</f>
        <v>0</v>
      </c>
      <c r="L21" s="254">
        <f>审定合并BS!C80</f>
        <v>0</v>
      </c>
      <c r="M21" s="254">
        <f t="shared" si="11"/>
        <v>0</v>
      </c>
      <c r="N21" s="255" t="str">
        <f t="shared" si="12"/>
        <v/>
      </c>
      <c r="O21" s="251" t="str">
        <f>IF(N21="","",IF(OR(ABS(N21)&gt;=30%,ABS(M21)&gt;=$D$60*5%,ABS(M21)&gt;=已审横向PL!$D$39*10%),"显著",IF(ABS(N21)&gt;=10%,"关注","")))</f>
        <v/>
      </c>
      <c r="P21" s="618"/>
    </row>
    <row r="22" spans="1:16" ht="13.9" customHeight="1">
      <c r="A22" s="129" t="str">
        <f>报表格式!B20</f>
        <v xml:space="preserve">  其中：应收利息</v>
      </c>
      <c r="B22" s="131">
        <f t="shared" si="6"/>
        <v>16</v>
      </c>
      <c r="C22" s="254">
        <f>年初BS审定!B21</f>
        <v>0</v>
      </c>
      <c r="D22" s="254">
        <f>审定合并BS!C21</f>
        <v>0</v>
      </c>
      <c r="E22" s="254">
        <f t="shared" si="7"/>
        <v>0</v>
      </c>
      <c r="F22" s="255" t="str">
        <f t="shared" si="8"/>
        <v/>
      </c>
      <c r="G22" s="251" t="str">
        <f>IF(F22="","",IF(OR(ABS(F22)&gt;=30%,ABS(E22)&gt;=$D$60*5%,ABS(E22)&gt;=已审横向PL!$D$39*10%),"显著",IF(ABS(F22)&gt;=10%,"关注","")))</f>
        <v/>
      </c>
      <c r="H22" s="608"/>
      <c r="I22" s="187" t="str">
        <f>报表格式!G20</f>
        <v>应交税费</v>
      </c>
      <c r="J22" s="131">
        <f t="shared" si="0"/>
        <v>16</v>
      </c>
      <c r="K22" s="254">
        <f>年初BS审定!B76</f>
        <v>0</v>
      </c>
      <c r="L22" s="254">
        <f>审定合并BS!C81</f>
        <v>0</v>
      </c>
      <c r="M22" s="254">
        <f t="shared" si="11"/>
        <v>0</v>
      </c>
      <c r="N22" s="255" t="str">
        <f t="shared" si="12"/>
        <v/>
      </c>
      <c r="O22" s="251" t="str">
        <f>IF(N22="","",IF(OR(ABS(N22)&gt;=30%,ABS(M22)&gt;=$D$60*5%,ABS(M22)&gt;=已审横向PL!$D$39*10%),"显著",IF(ABS(N22)&gt;=10%,"关注","")))</f>
        <v/>
      </c>
      <c r="P22" s="618"/>
    </row>
    <row r="23" spans="1:16" ht="13.9" customHeight="1">
      <c r="A23" s="129" t="str">
        <f>报表格式!B21</f>
        <v xml:space="preserve">        应收股利</v>
      </c>
      <c r="B23" s="131">
        <f t="shared" si="6"/>
        <v>17</v>
      </c>
      <c r="C23" s="254">
        <f>年初BS审定!B22</f>
        <v>0</v>
      </c>
      <c r="D23" s="254">
        <f>审定合并BS!C22</f>
        <v>0</v>
      </c>
      <c r="E23" s="254">
        <f t="shared" si="7"/>
        <v>0</v>
      </c>
      <c r="F23" s="255" t="str">
        <f t="shared" si="8"/>
        <v/>
      </c>
      <c r="G23" s="251" t="str">
        <f>IF(F23="","",IF(OR(ABS(F23)&gt;=30%,ABS(E23)&gt;=$D$60*5%,ABS(E23)&gt;=已审横向PL!$D$39*10%),"显著",IF(ABS(F23)&gt;=10%,"关注","")))</f>
        <v/>
      </c>
      <c r="H23" s="608"/>
      <c r="I23" s="187" t="str">
        <f>报表格式!G21</f>
        <v>其他应付款</v>
      </c>
      <c r="J23" s="131">
        <f t="shared" si="0"/>
        <v>17</v>
      </c>
      <c r="K23" s="254">
        <f>年初BS审定!B77</f>
        <v>0</v>
      </c>
      <c r="L23" s="254">
        <f>审定合并BS!C82</f>
        <v>0</v>
      </c>
      <c r="M23" s="254">
        <f t="shared" si="11"/>
        <v>0</v>
      </c>
      <c r="N23" s="255" t="str">
        <f t="shared" si="12"/>
        <v/>
      </c>
      <c r="O23" s="251" t="str">
        <f>IF(N23="","",IF(OR(ABS(N23)&gt;=30%,ABS(M23)&gt;=$D$60*5%,ABS(M23)&gt;=已审横向PL!$D$39*10%),"显著",IF(ABS(N23)&gt;=10%,"关注","")))</f>
        <v/>
      </c>
      <c r="P23" s="618"/>
    </row>
    <row r="24" spans="1:16" ht="13.9" customHeight="1">
      <c r="A24" s="129" t="str">
        <f>报表格式!B22</f>
        <v>买入返售金融资产</v>
      </c>
      <c r="B24" s="131">
        <f t="shared" si="6"/>
        <v>18</v>
      </c>
      <c r="C24" s="254">
        <f>年初BS审定!B23</f>
        <v>0</v>
      </c>
      <c r="D24" s="254">
        <f>审定合并BS!C23</f>
        <v>0</v>
      </c>
      <c r="E24" s="254">
        <f t="shared" ref="E24" si="19">D24-C24</f>
        <v>0</v>
      </c>
      <c r="F24" s="255" t="str">
        <f t="shared" ref="F24" si="20">IF(AND(C24=0,D24=0),"",IF(C24=0,100%,IF(D24=0,-100%,E24/C24)))</f>
        <v/>
      </c>
      <c r="G24" s="251" t="str">
        <f>IF(F24="","",IF(OR(ABS(F24)&gt;=30%,ABS(E24)&gt;=$D$60*5%,ABS(E24)&gt;=已审横向PL!$D$39*10%),"显著",IF(ABS(F24)&gt;=10%,"关注","")))</f>
        <v/>
      </c>
      <c r="H24" s="608"/>
      <c r="I24" s="187" t="str">
        <f>报表格式!G22</f>
        <v xml:space="preserve">  其中：应付利息</v>
      </c>
      <c r="J24" s="131">
        <f t="shared" si="0"/>
        <v>18</v>
      </c>
      <c r="K24" s="254">
        <f>年初BS审定!B78</f>
        <v>0</v>
      </c>
      <c r="L24" s="254">
        <f>审定合并BS!C83</f>
        <v>0</v>
      </c>
      <c r="M24" s="254">
        <f t="shared" ref="M24:M25" si="21">L24-K24</f>
        <v>0</v>
      </c>
      <c r="N24" s="255" t="str">
        <f t="shared" ref="N24:N25" si="22">IF(AND(K24=0,L24=0),"",IF(K24=0,100%,IF(L24=0,-100%,M24/K24)))</f>
        <v/>
      </c>
      <c r="O24" s="251" t="str">
        <f>IF(N24="","",IF(OR(ABS(N24)&gt;=30%,ABS(M24)&gt;=$D$60*5%,ABS(M24)&gt;=已审横向PL!$D$39*10%),"显著",IF(ABS(N24)&gt;=10%,"关注","")))</f>
        <v/>
      </c>
      <c r="P24" s="618"/>
    </row>
    <row r="25" spans="1:16" ht="13.9" customHeight="1">
      <c r="A25" s="129" t="str">
        <f>报表格式!B23</f>
        <v>存货</v>
      </c>
      <c r="B25" s="131">
        <f t="shared" si="6"/>
        <v>19</v>
      </c>
      <c r="C25" s="254">
        <f>年初BS审定!B24</f>
        <v>0</v>
      </c>
      <c r="D25" s="254">
        <f>审定合并BS!C24</f>
        <v>0</v>
      </c>
      <c r="E25" s="254">
        <f t="shared" si="7"/>
        <v>0</v>
      </c>
      <c r="F25" s="255" t="str">
        <f t="shared" si="8"/>
        <v/>
      </c>
      <c r="G25" s="251" t="str">
        <f>IF(F25="","",IF(OR(ABS(F25)&gt;=30%,ABS(E25)&gt;=$D$60*5%,ABS(E25)&gt;=已审横向PL!$D$39*10%),"显著",IF(ABS(F25)&gt;=10%,"关注","")))</f>
        <v/>
      </c>
      <c r="H25" s="608"/>
      <c r="I25" s="187" t="str">
        <f>报表格式!G23</f>
        <v xml:space="preserve">        应付股利</v>
      </c>
      <c r="J25" s="131">
        <f t="shared" si="0"/>
        <v>19</v>
      </c>
      <c r="K25" s="254">
        <f>年初BS审定!B79</f>
        <v>0</v>
      </c>
      <c r="L25" s="254">
        <f>审定合并BS!C84</f>
        <v>0</v>
      </c>
      <c r="M25" s="254">
        <f t="shared" si="21"/>
        <v>0</v>
      </c>
      <c r="N25" s="255" t="str">
        <f t="shared" si="22"/>
        <v/>
      </c>
      <c r="O25" s="251" t="str">
        <f>IF(N25="","",IF(OR(ABS(N25)&gt;=30%,ABS(M25)&gt;=$D$60*5%,ABS(M25)&gt;=已审横向PL!$D$39*10%),"显著",IF(ABS(N25)&gt;=10%,"关注","")))</f>
        <v/>
      </c>
      <c r="P25" s="618"/>
    </row>
    <row r="26" spans="1:16" ht="13.9" customHeight="1">
      <c r="A26" s="129" t="str">
        <f>报表格式!B24</f>
        <v>合同资产</v>
      </c>
      <c r="B26" s="131">
        <f t="shared" ref="B26:B60" si="23">B25+1</f>
        <v>20</v>
      </c>
      <c r="C26" s="254">
        <f>年初BS审定!B25</f>
        <v>0</v>
      </c>
      <c r="D26" s="254">
        <f>审定合并BS!C25</f>
        <v>0</v>
      </c>
      <c r="E26" s="254">
        <f t="shared" ref="E26:E42" si="24">D26-C26</f>
        <v>0</v>
      </c>
      <c r="F26" s="255" t="str">
        <f t="shared" ref="F26:F42" si="25">IF(AND(C26=0,D26=0),"",IF(C26=0,100%,IF(D26=0,-100%,E26/C26)))</f>
        <v/>
      </c>
      <c r="G26" s="251" t="str">
        <f>IF(F26="","",IF(OR(ABS(F26)&gt;=30%,ABS(E26)&gt;=$D$60*5%,ABS(E26)&gt;=已审横向PL!$D$39*10%),"显著",IF(ABS(F26)&gt;=10%,"关注","")))</f>
        <v/>
      </c>
      <c r="H26" s="608"/>
      <c r="I26" s="187" t="str">
        <f>报表格式!G24</f>
        <v>应付分保账款</v>
      </c>
      <c r="J26" s="131">
        <f t="shared" si="0"/>
        <v>20</v>
      </c>
      <c r="K26" s="254">
        <f>年初BS审定!B80</f>
        <v>0</v>
      </c>
      <c r="L26" s="254">
        <f>审定合并BS!C85</f>
        <v>0</v>
      </c>
      <c r="M26" s="254">
        <f t="shared" ref="M26:M30" si="26">L26-K26</f>
        <v>0</v>
      </c>
      <c r="N26" s="255" t="str">
        <f t="shared" ref="N26:N30" si="27">IF(AND(K26=0,L26=0),"",IF(K26=0,100%,IF(L26=0,-100%,M26/K26)))</f>
        <v/>
      </c>
      <c r="O26" s="251" t="str">
        <f>IF(N26="","",IF(OR(ABS(N26)&gt;=30%,ABS(M26)&gt;=$D$60*5%,ABS(M26)&gt;=已审横向PL!$D$39*10%),"显著",IF(ABS(N26)&gt;=10%,"关注","")))</f>
        <v/>
      </c>
      <c r="P26" s="618"/>
    </row>
    <row r="27" spans="1:16" ht="13.9" customHeight="1">
      <c r="A27" s="129" t="str">
        <f>报表格式!B25</f>
        <v>持有待售资产</v>
      </c>
      <c r="B27" s="131">
        <f t="shared" si="23"/>
        <v>21</v>
      </c>
      <c r="C27" s="254">
        <f>年初BS审定!B26</f>
        <v>0</v>
      </c>
      <c r="D27" s="254">
        <f>审定合并BS!C26</f>
        <v>0</v>
      </c>
      <c r="E27" s="254">
        <f t="shared" si="24"/>
        <v>0</v>
      </c>
      <c r="F27" s="255" t="str">
        <f t="shared" si="25"/>
        <v/>
      </c>
      <c r="G27" s="251" t="str">
        <f>IF(F27="","",IF(OR(ABS(F27)&gt;=30%,ABS(E27)&gt;=$D$60*5%,ABS(E27)&gt;=已审横向PL!$D$39*10%),"显著",IF(ABS(F27)&gt;=10%,"关注","")))</f>
        <v/>
      </c>
      <c r="H27" s="608"/>
      <c r="I27" s="187" t="str">
        <f>报表格式!G25</f>
        <v>保险合同准备金</v>
      </c>
      <c r="J27" s="131">
        <f t="shared" si="0"/>
        <v>21</v>
      </c>
      <c r="K27" s="254">
        <f>年初BS审定!B81</f>
        <v>0</v>
      </c>
      <c r="L27" s="254">
        <f>审定合并BS!C86</f>
        <v>0</v>
      </c>
      <c r="M27" s="254">
        <f t="shared" si="26"/>
        <v>0</v>
      </c>
      <c r="N27" s="255" t="str">
        <f t="shared" si="27"/>
        <v/>
      </c>
      <c r="O27" s="251" t="str">
        <f>IF(N27="","",IF(OR(ABS(N27)&gt;=30%,ABS(M27)&gt;=$D$60*5%,ABS(M27)&gt;=已审横向PL!$D$39*10%),"显著",IF(ABS(N27)&gt;=10%,"关注","")))</f>
        <v/>
      </c>
      <c r="P27" s="618"/>
    </row>
    <row r="28" spans="1:16" ht="13.9" customHeight="1">
      <c r="A28" s="129" t="str">
        <f>报表格式!B26</f>
        <v>一年内到期的非流动资产</v>
      </c>
      <c r="B28" s="131">
        <f t="shared" si="23"/>
        <v>22</v>
      </c>
      <c r="C28" s="254">
        <f>年初BS审定!B27</f>
        <v>0</v>
      </c>
      <c r="D28" s="254">
        <f>审定合并BS!C27</f>
        <v>0</v>
      </c>
      <c r="E28" s="254">
        <f t="shared" si="24"/>
        <v>0</v>
      </c>
      <c r="F28" s="255" t="str">
        <f t="shared" si="25"/>
        <v/>
      </c>
      <c r="G28" s="251" t="str">
        <f>IF(F28="","",IF(OR(ABS(F28)&gt;=30%,ABS(E28)&gt;=$D$60*5%,ABS(E28)&gt;=已审横向PL!$D$39*10%),"显著",IF(ABS(F28)&gt;=10%,"关注","")))</f>
        <v/>
      </c>
      <c r="H28" s="608"/>
      <c r="I28" s="187" t="str">
        <f>报表格式!G26</f>
        <v>代理买卖证券款</v>
      </c>
      <c r="J28" s="131">
        <f t="shared" si="0"/>
        <v>22</v>
      </c>
      <c r="K28" s="254">
        <f>年初BS审定!B82</f>
        <v>0</v>
      </c>
      <c r="L28" s="254">
        <f>审定合并BS!C87</f>
        <v>0</v>
      </c>
      <c r="M28" s="254">
        <f t="shared" si="26"/>
        <v>0</v>
      </c>
      <c r="N28" s="255" t="str">
        <f t="shared" si="27"/>
        <v/>
      </c>
      <c r="O28" s="251" t="str">
        <f>IF(N28="","",IF(OR(ABS(N28)&gt;=30%,ABS(M28)&gt;=$D$60*5%,ABS(M28)&gt;=已审横向PL!$D$39*10%),"显著",IF(ABS(N28)&gt;=10%,"关注","")))</f>
        <v/>
      </c>
      <c r="P28" s="618"/>
    </row>
    <row r="29" spans="1:16" ht="13.9" customHeight="1">
      <c r="A29" s="129" t="str">
        <f>报表格式!B27</f>
        <v>其他流动资产</v>
      </c>
      <c r="B29" s="131">
        <f t="shared" si="23"/>
        <v>23</v>
      </c>
      <c r="C29" s="254">
        <f>年初BS审定!B28</f>
        <v>0</v>
      </c>
      <c r="D29" s="254">
        <f>审定合并BS!C28</f>
        <v>0</v>
      </c>
      <c r="E29" s="254">
        <f>D29-C29</f>
        <v>0</v>
      </c>
      <c r="F29" s="255" t="str">
        <f>IF(AND(C29=0,D29=0),"",IF(C29=0,100%,IF(D29=0,-100%,E29/C29)))</f>
        <v/>
      </c>
      <c r="G29" s="251" t="str">
        <f>IF(F29="","",IF(OR(ABS(F29)&gt;=30%,ABS(E29)&gt;=$D$60*5%,ABS(E29)&gt;=已审横向PL!$D$39*10%),"显著",IF(ABS(F29)&gt;=10%,"关注","")))</f>
        <v/>
      </c>
      <c r="H29" s="608"/>
      <c r="I29" s="187" t="str">
        <f>报表格式!G27</f>
        <v>代理承销证券款</v>
      </c>
      <c r="J29" s="131">
        <f t="shared" si="0"/>
        <v>23</v>
      </c>
      <c r="K29" s="254">
        <f>年初BS审定!B83</f>
        <v>0</v>
      </c>
      <c r="L29" s="254">
        <f>审定合并BS!C88</f>
        <v>0</v>
      </c>
      <c r="M29" s="254">
        <f t="shared" si="26"/>
        <v>0</v>
      </c>
      <c r="N29" s="255" t="str">
        <f t="shared" si="27"/>
        <v/>
      </c>
      <c r="O29" s="251" t="str">
        <f>IF(N29="","",IF(OR(ABS(N29)&gt;=30%,ABS(M29)&gt;=$D$60*5%,ABS(M29)&gt;=已审横向PL!$D$39*10%),"显著",IF(ABS(N29)&gt;=10%,"关注","")))</f>
        <v/>
      </c>
      <c r="P29" s="618"/>
    </row>
    <row r="30" spans="1:16" ht="13.9" customHeight="1">
      <c r="A30" s="129">
        <f>报表格式!B28</f>
        <v>0</v>
      </c>
      <c r="B30" s="131">
        <f t="shared" si="23"/>
        <v>24</v>
      </c>
      <c r="C30" s="254">
        <f>年初BS审定!B29</f>
        <v>0</v>
      </c>
      <c r="D30" s="254">
        <f>审定合并BS!C29</f>
        <v>0</v>
      </c>
      <c r="E30" s="254">
        <f>D30-C30</f>
        <v>0</v>
      </c>
      <c r="F30" s="255" t="str">
        <f>IF(AND(C30=0,D30=0),"",IF(C30=0,100%,IF(D30=0,-100%,E30/C30)))</f>
        <v/>
      </c>
      <c r="G30" s="251" t="str">
        <f>IF(F30="","",IF(OR(ABS(F30)&gt;=30%,ABS(E30)&gt;=$D$60*5%,ABS(E30)&gt;=已审横向PL!$D$39*10%),"显著",IF(ABS(F30)&gt;=10%,"关注","")))</f>
        <v/>
      </c>
      <c r="H30" s="608"/>
      <c r="I30" s="187" t="str">
        <f>报表格式!G28</f>
        <v>持有待售负债</v>
      </c>
      <c r="J30" s="131">
        <f t="shared" si="0"/>
        <v>24</v>
      </c>
      <c r="K30" s="254">
        <f>年初BS审定!B84</f>
        <v>0</v>
      </c>
      <c r="L30" s="254">
        <f>审定合并BS!C89</f>
        <v>0</v>
      </c>
      <c r="M30" s="254">
        <f t="shared" si="26"/>
        <v>0</v>
      </c>
      <c r="N30" s="255" t="str">
        <f t="shared" si="27"/>
        <v/>
      </c>
      <c r="O30" s="251" t="str">
        <f>IF(N30="","",IF(OR(ABS(N30)&gt;=30%,ABS(M30)&gt;=$D$60*5%,ABS(M30)&gt;=已审横向PL!$D$39*10%),"显著",IF(ABS(N30)&gt;=10%,"关注","")))</f>
        <v/>
      </c>
      <c r="P30" s="618"/>
    </row>
    <row r="31" spans="1:16" ht="13.9" customHeight="1">
      <c r="A31" s="129">
        <f>报表格式!B29</f>
        <v>0</v>
      </c>
      <c r="B31" s="131">
        <f t="shared" si="23"/>
        <v>25</v>
      </c>
      <c r="C31" s="254">
        <f>年初BS审定!B30</f>
        <v>0</v>
      </c>
      <c r="D31" s="254">
        <f>审定合并BS!C30</f>
        <v>0</v>
      </c>
      <c r="E31" s="254">
        <f>D31-C31</f>
        <v>0</v>
      </c>
      <c r="F31" s="255" t="str">
        <f>IF(AND(C31=0,D31=0),"",IF(C31=0,100%,IF(D31=0,-100%,E31/C31)))</f>
        <v/>
      </c>
      <c r="G31" s="251" t="str">
        <f>IF(F31="","",IF(OR(ABS(F31)&gt;=30%,ABS(E31)&gt;=$D$60*5%,ABS(E31)&gt;=已审横向PL!$D$39*10%),"显著",IF(ABS(F31)&gt;=10%,"关注","")))</f>
        <v/>
      </c>
      <c r="H31" s="608"/>
      <c r="I31" s="187" t="str">
        <f>报表格式!G29</f>
        <v>一年内到期的非流动负债</v>
      </c>
      <c r="J31" s="131">
        <f t="shared" si="0"/>
        <v>25</v>
      </c>
      <c r="K31" s="254">
        <f>年初BS审定!B85</f>
        <v>0</v>
      </c>
      <c r="L31" s="254">
        <f>审定合并BS!C90</f>
        <v>0</v>
      </c>
      <c r="M31" s="254">
        <f>L31-K31</f>
        <v>0</v>
      </c>
      <c r="N31" s="255" t="str">
        <f>IF(AND(K31=0,L31=0),"",IF(K31=0,100%,IF(L31=0,-100%,M31/K31)))</f>
        <v/>
      </c>
      <c r="O31" s="251" t="str">
        <f>IF(N31="","",IF(OR(ABS(N31)&gt;=30%,ABS(M31)&gt;=$D$60*5%,ABS(M31)&gt;=已审横向PL!$D$39*10%),"显著",IF(ABS(N31)&gt;=10%,"关注","")))</f>
        <v/>
      </c>
      <c r="P31" s="618"/>
    </row>
    <row r="32" spans="1:16" ht="13.9" customHeight="1">
      <c r="A32" s="135" t="str">
        <f>报表格式!B30</f>
        <v>流动资产合计</v>
      </c>
      <c r="B32" s="131">
        <f t="shared" si="23"/>
        <v>26</v>
      </c>
      <c r="C32" s="256">
        <f>年初BS审定!B31</f>
        <v>0</v>
      </c>
      <c r="D32" s="256">
        <f>审定合并BS!C31</f>
        <v>0</v>
      </c>
      <c r="E32" s="256">
        <f t="shared" si="24"/>
        <v>0</v>
      </c>
      <c r="F32" s="322" t="str">
        <f t="shared" si="25"/>
        <v/>
      </c>
      <c r="G32" s="683" t="str">
        <f>IF(F32="","",IF(OR(ABS(F32)&gt;=30%,ABS(E32)&gt;=$D$60*5%,ABS(E32)&gt;=已审横向PL!$D$39*10%),"显著",IF(ABS(F32)&gt;=10%,"关注","")))</f>
        <v/>
      </c>
      <c r="H32" s="684"/>
      <c r="I32" s="187" t="str">
        <f>报表格式!G30</f>
        <v>其他流动负债</v>
      </c>
      <c r="J32" s="131">
        <f t="shared" si="0"/>
        <v>26</v>
      </c>
      <c r="K32" s="254">
        <f>年初BS审定!B86</f>
        <v>0</v>
      </c>
      <c r="L32" s="254">
        <f>审定合并BS!C91</f>
        <v>0</v>
      </c>
      <c r="M32" s="254">
        <f>L32-K32</f>
        <v>0</v>
      </c>
      <c r="N32" s="255" t="str">
        <f>IF(AND(K32=0,L32=0),"",IF(K32=0,100%,IF(L32=0,-100%,M32/K32)))</f>
        <v/>
      </c>
      <c r="O32" s="251" t="str">
        <f>IF(N32="","",IF(OR(ABS(N32)&gt;=30%,ABS(M32)&gt;=$D$60*5%,ABS(M32)&gt;=已审横向PL!$D$39*10%),"显著",IF(ABS(N32)&gt;=10%,"关注","")))</f>
        <v/>
      </c>
      <c r="P32" s="618"/>
    </row>
    <row r="33" spans="1:16" ht="13.9" customHeight="1">
      <c r="A33" s="134" t="str">
        <f>报表格式!B31</f>
        <v>非流动资产:</v>
      </c>
      <c r="B33" s="131">
        <f t="shared" si="23"/>
        <v>27</v>
      </c>
      <c r="C33" s="254">
        <f>年初BS审定!B32</f>
        <v>0</v>
      </c>
      <c r="D33" s="254"/>
      <c r="E33" s="254"/>
      <c r="F33" s="255"/>
      <c r="G33" s="251" t="str">
        <f>IF(F33="","",IF(OR(ABS(F33)&gt;=30%,ABS(E33)&gt;=$D$60*5%,ABS(E33)&gt;=已审横向PL!$D$39*10%),"显著",IF(ABS(F33)&gt;=10%,"关注","")))</f>
        <v/>
      </c>
      <c r="H33" s="608"/>
      <c r="I33" s="133" t="str">
        <f>报表格式!G31</f>
        <v>流动负债合计</v>
      </c>
      <c r="J33" s="131">
        <f t="shared" si="0"/>
        <v>27</v>
      </c>
      <c r="K33" s="256">
        <f>年初BS审定!B87</f>
        <v>0</v>
      </c>
      <c r="L33" s="256">
        <f>审定合并BS!C92</f>
        <v>0</v>
      </c>
      <c r="M33" s="256">
        <f>L33-K33</f>
        <v>0</v>
      </c>
      <c r="N33" s="322" t="str">
        <f>IF(AND(K33=0,L33=0),"",IF(K33=0,100%,IF(L33=0,-100%,M33/K33)))</f>
        <v/>
      </c>
      <c r="O33" s="686" t="str">
        <f>IF(N33="","",IF(OR(ABS(N33)&gt;=30%,ABS(M33)&gt;=$D$60*5%,ABS(M33)&gt;=已审横向PL!$D$39*10%),"显著",IF(ABS(N33)&gt;=10%,"关注","")))</f>
        <v/>
      </c>
      <c r="P33" s="687"/>
    </row>
    <row r="34" spans="1:16" ht="13.9" customHeight="1">
      <c r="A34" s="129" t="str">
        <f>报表格式!B32</f>
        <v>发放贷款及垫款</v>
      </c>
      <c r="B34" s="131">
        <f t="shared" si="23"/>
        <v>28</v>
      </c>
      <c r="C34" s="254">
        <f>年初BS审定!B33</f>
        <v>0</v>
      </c>
      <c r="D34" s="254">
        <f>审定合并BS!C33</f>
        <v>0</v>
      </c>
      <c r="E34" s="254">
        <f t="shared" ref="E34" si="28">D34-C34</f>
        <v>0</v>
      </c>
      <c r="F34" s="255" t="str">
        <f t="shared" ref="F34" si="29">IF(AND(C34=0,D34=0),"",IF(C34=0,100%,IF(D34=0,-100%,E34/C34)))</f>
        <v/>
      </c>
      <c r="G34" s="251" t="str">
        <f>IF(F34="","",IF(OR(ABS(F34)&gt;=30%,ABS(E34)&gt;=$D$60*5%,ABS(E34)&gt;=已审横向PL!$D$39*10%),"显著",IF(ABS(F34)&gt;=10%,"关注","")))</f>
        <v/>
      </c>
      <c r="H34" s="608"/>
      <c r="I34" s="188" t="str">
        <f>报表格式!G32</f>
        <v>非流动负债:</v>
      </c>
      <c r="J34" s="131">
        <f t="shared" si="0"/>
        <v>28</v>
      </c>
      <c r="K34" s="254">
        <f>年初BS审定!B88</f>
        <v>0</v>
      </c>
      <c r="L34" s="254"/>
      <c r="M34" s="254"/>
      <c r="N34" s="255"/>
      <c r="O34" s="251" t="str">
        <f>IF(N34="","",IF(OR(ABS(N34)&gt;=30%,ABS(M34)&gt;=$D$60*5%,ABS(M34)&gt;=已审横向PL!$D$39*10%),"显著",IF(ABS(N34)&gt;=10%,"关注","")))</f>
        <v/>
      </c>
      <c r="P34" s="618"/>
    </row>
    <row r="35" spans="1:16" ht="13.9" customHeight="1">
      <c r="A35" s="129" t="str">
        <f>报表格式!B33</f>
        <v>债权投资</v>
      </c>
      <c r="B35" s="131">
        <f t="shared" si="23"/>
        <v>29</v>
      </c>
      <c r="C35" s="254">
        <f>年初BS审定!B34</f>
        <v>0</v>
      </c>
      <c r="D35" s="254">
        <f>审定合并BS!C34</f>
        <v>0</v>
      </c>
      <c r="E35" s="254">
        <f t="shared" si="24"/>
        <v>0</v>
      </c>
      <c r="F35" s="255" t="str">
        <f t="shared" si="25"/>
        <v/>
      </c>
      <c r="G35" s="251" t="str">
        <f>IF(F35="","",IF(OR(ABS(F35)&gt;=30%,ABS(E35)&gt;=$D$60*5%,ABS(E35)&gt;=已审横向PL!$D$39*10%),"显著",IF(ABS(F35)&gt;=10%,"关注","")))</f>
        <v/>
      </c>
      <c r="H35" s="608"/>
      <c r="I35" s="187" t="str">
        <f>报表格式!G33</f>
        <v>长期借款</v>
      </c>
      <c r="J35" s="131">
        <f t="shared" si="0"/>
        <v>29</v>
      </c>
      <c r="K35" s="254">
        <f>年初BS审定!B89</f>
        <v>0</v>
      </c>
      <c r="L35" s="254">
        <f>审定合并BS!C94</f>
        <v>0</v>
      </c>
      <c r="M35" s="254">
        <f>L35-K35</f>
        <v>0</v>
      </c>
      <c r="N35" s="255" t="str">
        <f>IF(AND(K35=0,L35=0),"",IF(K35=0,100%,IF(L35=0,-100%,M35/K35)))</f>
        <v/>
      </c>
      <c r="O35" s="251" t="str">
        <f>IF(N35="","",IF(OR(ABS(N35)&gt;=30%,ABS(M35)&gt;=$D$60*5%,ABS(M35)&gt;=已审横向PL!$D$39*10%),"显著",IF(ABS(N35)&gt;=10%,"关注","")))</f>
        <v/>
      </c>
      <c r="P35" s="618"/>
    </row>
    <row r="36" spans="1:16" ht="13.9" customHeight="1">
      <c r="A36" s="129" t="str">
        <f>报表格式!B34</f>
        <v>可供出售金融资产</v>
      </c>
      <c r="B36" s="131">
        <f t="shared" si="23"/>
        <v>30</v>
      </c>
      <c r="C36" s="254">
        <f>年初BS审定!B35</f>
        <v>0</v>
      </c>
      <c r="D36" s="254">
        <f>审定合并BS!C35</f>
        <v>0</v>
      </c>
      <c r="E36" s="254">
        <f t="shared" ref="E36:E39" si="30">D36-C36</f>
        <v>0</v>
      </c>
      <c r="F36" s="255" t="str">
        <f t="shared" ref="F36:F39" si="31">IF(AND(C36=0,D36=0),"",IF(C36=0,100%,IF(D36=0,-100%,E36/C36)))</f>
        <v/>
      </c>
      <c r="G36" s="251" t="str">
        <f>IF(F36="","",IF(OR(ABS(F36)&gt;=30%,ABS(E36)&gt;=$D$60*5%,ABS(E36)&gt;=已审横向PL!$D$39*10%),"显著",IF(ABS(F36)&gt;=10%,"关注","")))</f>
        <v/>
      </c>
      <c r="H36" s="608"/>
      <c r="I36" s="187" t="str">
        <f>报表格式!G34</f>
        <v>应付债券</v>
      </c>
      <c r="J36" s="131">
        <f t="shared" si="0"/>
        <v>30</v>
      </c>
      <c r="K36" s="254">
        <f>年初BS审定!B90</f>
        <v>0</v>
      </c>
      <c r="L36" s="254">
        <f>审定合并BS!C95</f>
        <v>0</v>
      </c>
      <c r="M36" s="254">
        <f>L36-K36</f>
        <v>0</v>
      </c>
      <c r="N36" s="255" t="str">
        <f>IF(AND(K36=0,L36=0),"",IF(K36=0,100%,IF(L36=0,-100%,M36/K36)))</f>
        <v/>
      </c>
      <c r="O36" s="251" t="str">
        <f>IF(N36="","",IF(OR(ABS(N36)&gt;=30%,ABS(M36)&gt;=$D$60*5%,ABS(M36)&gt;=已审横向PL!$D$39*10%),"显著",IF(ABS(N36)&gt;=10%,"关注","")))</f>
        <v/>
      </c>
      <c r="P36" s="618"/>
    </row>
    <row r="37" spans="1:16" ht="13.9" customHeight="1">
      <c r="A37" s="129" t="str">
        <f>报表格式!B35</f>
        <v>其他债权投资</v>
      </c>
      <c r="B37" s="131">
        <f t="shared" si="23"/>
        <v>31</v>
      </c>
      <c r="C37" s="254">
        <f>年初BS审定!B36</f>
        <v>0</v>
      </c>
      <c r="D37" s="254">
        <f>审定合并BS!C36</f>
        <v>0</v>
      </c>
      <c r="E37" s="254">
        <f t="shared" si="30"/>
        <v>0</v>
      </c>
      <c r="F37" s="255" t="str">
        <f t="shared" si="31"/>
        <v/>
      </c>
      <c r="G37" s="251" t="str">
        <f>IF(F37="","",IF(OR(ABS(F37)&gt;=30%,ABS(E37)&gt;=$D$60*5%,ABS(E37)&gt;=已审横向PL!$D$39*10%),"显著",IF(ABS(F37)&gt;=10%,"关注","")))</f>
        <v/>
      </c>
      <c r="H37" s="608"/>
      <c r="I37" s="187" t="str">
        <f>报表格式!G35</f>
        <v xml:space="preserve">  其中：优先股</v>
      </c>
      <c r="J37" s="131">
        <f t="shared" si="0"/>
        <v>31</v>
      </c>
      <c r="K37" s="254">
        <f>年初BS审定!B91</f>
        <v>0</v>
      </c>
      <c r="L37" s="254">
        <f>审定合并BS!C96</f>
        <v>0</v>
      </c>
      <c r="M37" s="254">
        <f t="shared" ref="M37:M44" si="32">L37-K37</f>
        <v>0</v>
      </c>
      <c r="N37" s="255" t="str">
        <f t="shared" ref="N37:N44" si="33">IF(AND(K37=0,L37=0),"",IF(K37=0,100%,IF(L37=0,-100%,M37/K37)))</f>
        <v/>
      </c>
      <c r="O37" s="251" t="str">
        <f>IF(N37="","",IF(OR(ABS(N37)&gt;=30%,ABS(M37)&gt;=$D$60*5%,ABS(M37)&gt;=已审横向PL!$D$39*10%),"显著",IF(ABS(N37)&gt;=10%,"关注","")))</f>
        <v/>
      </c>
      <c r="P37" s="618"/>
    </row>
    <row r="38" spans="1:16" ht="13.9" customHeight="1">
      <c r="A38" s="129" t="str">
        <f>报表格式!B36</f>
        <v>持有至到期投资</v>
      </c>
      <c r="B38" s="131">
        <f t="shared" si="23"/>
        <v>32</v>
      </c>
      <c r="C38" s="254">
        <f>年初BS审定!B37</f>
        <v>0</v>
      </c>
      <c r="D38" s="254">
        <f>审定合并BS!C37</f>
        <v>0</v>
      </c>
      <c r="E38" s="254">
        <f t="shared" si="30"/>
        <v>0</v>
      </c>
      <c r="F38" s="255" t="str">
        <f t="shared" si="31"/>
        <v/>
      </c>
      <c r="G38" s="251" t="str">
        <f>IF(F38="","",IF(OR(ABS(F38)&gt;=30%,ABS(E38)&gt;=$D$60*5%,ABS(E38)&gt;=已审横向PL!$D$39*10%),"显著",IF(ABS(F38)&gt;=10%,"关注","")))</f>
        <v/>
      </c>
      <c r="H38" s="608"/>
      <c r="I38" s="187" t="str">
        <f>报表格式!G36</f>
        <v xml:space="preserve">        永续债</v>
      </c>
      <c r="J38" s="131">
        <f t="shared" si="0"/>
        <v>32</v>
      </c>
      <c r="K38" s="254">
        <f>年初BS审定!B92</f>
        <v>0</v>
      </c>
      <c r="L38" s="254">
        <f>审定合并BS!C97</f>
        <v>0</v>
      </c>
      <c r="M38" s="254">
        <f t="shared" si="32"/>
        <v>0</v>
      </c>
      <c r="N38" s="255" t="str">
        <f t="shared" si="33"/>
        <v/>
      </c>
      <c r="O38" s="251" t="str">
        <f>IF(N38="","",IF(OR(ABS(N38)&gt;=30%,ABS(M38)&gt;=$D$60*5%,ABS(M38)&gt;=已审横向PL!$D$39*10%),"显著",IF(ABS(N38)&gt;=10%,"关注","")))</f>
        <v/>
      </c>
      <c r="P38" s="618"/>
    </row>
    <row r="39" spans="1:16" ht="13.9" customHeight="1">
      <c r="A39" s="129" t="str">
        <f>报表格式!B37</f>
        <v>长期应收款</v>
      </c>
      <c r="B39" s="131">
        <f t="shared" si="23"/>
        <v>33</v>
      </c>
      <c r="C39" s="254">
        <f>年初BS审定!B38</f>
        <v>0</v>
      </c>
      <c r="D39" s="254">
        <f>审定合并BS!C38</f>
        <v>0</v>
      </c>
      <c r="E39" s="254">
        <f t="shared" si="30"/>
        <v>0</v>
      </c>
      <c r="F39" s="255" t="str">
        <f t="shared" si="31"/>
        <v/>
      </c>
      <c r="G39" s="251" t="str">
        <f>IF(F39="","",IF(OR(ABS(F39)&gt;=30%,ABS(E39)&gt;=$D$60*5%,ABS(E39)&gt;=已审横向PL!$D$39*10%),"显著",IF(ABS(F39)&gt;=10%,"关注","")))</f>
        <v/>
      </c>
      <c r="H39" s="608"/>
      <c r="I39" s="187" t="str">
        <f>报表格式!G37</f>
        <v>租赁负债</v>
      </c>
      <c r="J39" s="131">
        <f t="shared" si="0"/>
        <v>33</v>
      </c>
      <c r="K39" s="254">
        <f>年初BS审定!B93</f>
        <v>0</v>
      </c>
      <c r="L39" s="254">
        <f>审定合并BS!C98</f>
        <v>0</v>
      </c>
      <c r="M39" s="254">
        <f t="shared" ref="M39:M40" si="34">L39-K39</f>
        <v>0</v>
      </c>
      <c r="N39" s="255" t="str">
        <f t="shared" ref="N39:N40" si="35">IF(AND(K39=0,L39=0),"",IF(K39=0,100%,IF(L39=0,-100%,M39/K39)))</f>
        <v/>
      </c>
      <c r="O39" s="251" t="str">
        <f>IF(N39="","",IF(OR(ABS(N39)&gt;=30%,ABS(M39)&gt;=$D$60*5%,ABS(M39)&gt;=已审横向PL!$D$39*10%),"显著",IF(ABS(N39)&gt;=10%,"关注","")))</f>
        <v/>
      </c>
      <c r="P39" s="618"/>
    </row>
    <row r="40" spans="1:16" ht="13.9" customHeight="1">
      <c r="A40" s="129" t="str">
        <f>报表格式!B38</f>
        <v>设定受益计划净资产</v>
      </c>
      <c r="B40" s="131">
        <f t="shared" si="23"/>
        <v>34</v>
      </c>
      <c r="C40" s="254">
        <f>年初BS审定!B39</f>
        <v>0</v>
      </c>
      <c r="D40" s="254">
        <f>审定合并BS!C39</f>
        <v>0</v>
      </c>
      <c r="E40" s="254">
        <f>D40-C40</f>
        <v>0</v>
      </c>
      <c r="F40" s="255" t="str">
        <f>IF(AND(C40=0,D40=0),"",IF(C40=0,100%,IF(D40=0,-100%,E40/C40)))</f>
        <v/>
      </c>
      <c r="G40" s="251" t="str">
        <f>IF(F40="","",IF(OR(ABS(F40)&gt;=30%,ABS(E40)&gt;=$D$60*5%,ABS(E40)&gt;=已审横向PL!$D$39*10%),"显著",IF(ABS(F40)&gt;=10%,"关注","")))</f>
        <v/>
      </c>
      <c r="H40" s="608"/>
      <c r="I40" s="187" t="str">
        <f>报表格式!G38</f>
        <v>长期应付款</v>
      </c>
      <c r="J40" s="131">
        <f t="shared" si="0"/>
        <v>34</v>
      </c>
      <c r="K40" s="254">
        <f>年初BS审定!B94</f>
        <v>0</v>
      </c>
      <c r="L40" s="254">
        <f>审定合并BS!C99</f>
        <v>0</v>
      </c>
      <c r="M40" s="254">
        <f t="shared" si="34"/>
        <v>0</v>
      </c>
      <c r="N40" s="255" t="str">
        <f t="shared" si="35"/>
        <v/>
      </c>
      <c r="O40" s="251" t="str">
        <f>IF(N40="","",IF(OR(ABS(N40)&gt;=30%,ABS(M40)&gt;=$D$60*5%,ABS(M40)&gt;=已审横向PL!$D$39*10%),"显著",IF(ABS(N40)&gt;=10%,"关注","")))</f>
        <v/>
      </c>
      <c r="P40" s="618"/>
    </row>
    <row r="41" spans="1:16" ht="13.9" customHeight="1">
      <c r="A41" s="129" t="str">
        <f>报表格式!B39</f>
        <v>长期股权投资</v>
      </c>
      <c r="B41" s="131">
        <f t="shared" si="23"/>
        <v>35</v>
      </c>
      <c r="C41" s="254">
        <f>年初BS审定!B40</f>
        <v>0</v>
      </c>
      <c r="D41" s="254">
        <f>审定合并BS!C40</f>
        <v>0</v>
      </c>
      <c r="E41" s="254">
        <f t="shared" si="24"/>
        <v>0</v>
      </c>
      <c r="F41" s="255" t="str">
        <f t="shared" si="25"/>
        <v/>
      </c>
      <c r="G41" s="251" t="str">
        <f>IF(F41="","",IF(OR(ABS(F41)&gt;=30%,ABS(E41)&gt;=$D$60*5%,ABS(E41)&gt;=已审横向PL!$D$39*10%),"显著",IF(ABS(F41)&gt;=10%,"关注","")))</f>
        <v/>
      </c>
      <c r="H41" s="608"/>
      <c r="I41" s="187" t="str">
        <f>报表格式!G39</f>
        <v>长期应付职工薪酬</v>
      </c>
      <c r="J41" s="131">
        <f t="shared" si="0"/>
        <v>35</v>
      </c>
      <c r="K41" s="254">
        <f>年初BS审定!B95</f>
        <v>0</v>
      </c>
      <c r="L41" s="254">
        <f>审定合并BS!C100</f>
        <v>0</v>
      </c>
      <c r="M41" s="254">
        <f t="shared" si="32"/>
        <v>0</v>
      </c>
      <c r="N41" s="255" t="str">
        <f t="shared" si="33"/>
        <v/>
      </c>
      <c r="O41" s="251" t="str">
        <f>IF(N41="","",IF(OR(ABS(N41)&gt;=30%,ABS(M41)&gt;=$D$60*5%,ABS(M41)&gt;=已审横向PL!$D$39*10%),"显著",IF(ABS(N41)&gt;=10%,"关注","")))</f>
        <v/>
      </c>
      <c r="P41" s="618"/>
    </row>
    <row r="42" spans="1:16" ht="13.9" customHeight="1">
      <c r="A42" s="129" t="str">
        <f>报表格式!B40</f>
        <v>其他权益工具投资</v>
      </c>
      <c r="B42" s="131">
        <f t="shared" si="23"/>
        <v>36</v>
      </c>
      <c r="C42" s="254">
        <f>年初BS审定!B41</f>
        <v>0</v>
      </c>
      <c r="D42" s="254">
        <f>审定合并BS!C41</f>
        <v>0</v>
      </c>
      <c r="E42" s="254">
        <f t="shared" si="24"/>
        <v>0</v>
      </c>
      <c r="F42" s="255" t="str">
        <f t="shared" si="25"/>
        <v/>
      </c>
      <c r="G42" s="251" t="str">
        <f>IF(F42="","",IF(OR(ABS(F42)&gt;=30%,ABS(E42)&gt;=$D$60*5%,ABS(E42)&gt;=已审横向PL!$D$39*10%),"显著",IF(ABS(F42)&gt;=10%,"关注","")))</f>
        <v/>
      </c>
      <c r="H42" s="608"/>
      <c r="I42" s="187" t="str">
        <f>报表格式!G40</f>
        <v>预计负债</v>
      </c>
      <c r="J42" s="131">
        <f t="shared" si="0"/>
        <v>36</v>
      </c>
      <c r="K42" s="254">
        <f>年初BS审定!B96</f>
        <v>0</v>
      </c>
      <c r="L42" s="254">
        <f>审定合并BS!C101</f>
        <v>0</v>
      </c>
      <c r="M42" s="254">
        <f t="shared" si="32"/>
        <v>0</v>
      </c>
      <c r="N42" s="255" t="str">
        <f t="shared" si="33"/>
        <v/>
      </c>
      <c r="O42" s="251" t="str">
        <f>IF(N42="","",IF(OR(ABS(N42)&gt;=30%,ABS(M42)&gt;=$D$60*5%,ABS(M42)&gt;=已审横向PL!$D$39*10%),"显著",IF(ABS(N42)&gt;=10%,"关注","")))</f>
        <v/>
      </c>
      <c r="P42" s="618"/>
    </row>
    <row r="43" spans="1:16" ht="13.9" customHeight="1">
      <c r="A43" s="129" t="str">
        <f>报表格式!B41</f>
        <v>其他非流动金融资产</v>
      </c>
      <c r="B43" s="131">
        <f t="shared" si="23"/>
        <v>37</v>
      </c>
      <c r="C43" s="254">
        <f>年初BS审定!B42</f>
        <v>0</v>
      </c>
      <c r="D43" s="254">
        <f>审定合并BS!C42</f>
        <v>0</v>
      </c>
      <c r="E43" s="254">
        <f>D43-C43</f>
        <v>0</v>
      </c>
      <c r="F43" s="255" t="str">
        <f>IF(AND(C43=0,D43=0),"",IF(C43=0,100%,IF(D43=0,-100%,E43/C43)))</f>
        <v/>
      </c>
      <c r="G43" s="251" t="str">
        <f>IF(F43="","",IF(OR(ABS(F43)&gt;=30%,ABS(E43)&gt;=$D$60*5%,ABS(E43)&gt;=已审横向PL!$D$39*10%),"显著",IF(ABS(F43)&gt;=10%,"关注","")))</f>
        <v/>
      </c>
      <c r="H43" s="608"/>
      <c r="I43" s="187" t="str">
        <f>报表格式!G41</f>
        <v>递延收益</v>
      </c>
      <c r="J43" s="131">
        <f t="shared" si="0"/>
        <v>37</v>
      </c>
      <c r="K43" s="254">
        <f>年初BS审定!B97</f>
        <v>0</v>
      </c>
      <c r="L43" s="254">
        <f>审定合并BS!C102</f>
        <v>0</v>
      </c>
      <c r="M43" s="254">
        <f t="shared" si="32"/>
        <v>0</v>
      </c>
      <c r="N43" s="255" t="str">
        <f t="shared" si="33"/>
        <v/>
      </c>
      <c r="O43" s="251" t="str">
        <f>IF(N43="","",IF(OR(ABS(N43)&gt;=30%,ABS(M43)&gt;=$D$60*5%,ABS(M43)&gt;=已审横向PL!$D$39*10%),"显著",IF(ABS(N43)&gt;=10%,"关注","")))</f>
        <v/>
      </c>
      <c r="P43" s="618"/>
    </row>
    <row r="44" spans="1:16" ht="13.9" customHeight="1">
      <c r="A44" s="129" t="str">
        <f>报表格式!B42</f>
        <v>投资性房地产</v>
      </c>
      <c r="B44" s="131">
        <f t="shared" si="23"/>
        <v>38</v>
      </c>
      <c r="C44" s="254">
        <f>年初BS审定!B43</f>
        <v>0</v>
      </c>
      <c r="D44" s="254">
        <f>审定合并BS!C43</f>
        <v>0</v>
      </c>
      <c r="E44" s="254">
        <f t="shared" ref="E44:E52" si="36">D44-C44</f>
        <v>0</v>
      </c>
      <c r="F44" s="255" t="str">
        <f t="shared" ref="F44:F52" si="37">IF(AND(C44=0,D44=0),"",IF(C44=0,100%,IF(D44=0,-100%,E44/C44)))</f>
        <v/>
      </c>
      <c r="G44" s="251" t="str">
        <f>IF(F44="","",IF(OR(ABS(F44)&gt;=30%,ABS(E44)&gt;=$D$60*5%,ABS(E44)&gt;=已审横向PL!$D$39*10%),"显著",IF(ABS(F44)&gt;=10%,"关注","")))</f>
        <v/>
      </c>
      <c r="H44" s="608"/>
      <c r="I44" s="187" t="str">
        <f>报表格式!G42</f>
        <v>递延所得税负债</v>
      </c>
      <c r="J44" s="131">
        <f t="shared" si="0"/>
        <v>38</v>
      </c>
      <c r="K44" s="254">
        <f>年初BS审定!B98</f>
        <v>0</v>
      </c>
      <c r="L44" s="254">
        <f>审定合并BS!C103</f>
        <v>0</v>
      </c>
      <c r="M44" s="254">
        <f t="shared" si="32"/>
        <v>0</v>
      </c>
      <c r="N44" s="255" t="str">
        <f t="shared" si="33"/>
        <v/>
      </c>
      <c r="O44" s="251" t="str">
        <f>IF(N44="","",IF(OR(ABS(N44)&gt;=30%,ABS(M44)&gt;=$D$60*5%,ABS(M44)&gt;=已审横向PL!$D$39*10%),"显著",IF(ABS(N44)&gt;=10%,"关注","")))</f>
        <v/>
      </c>
      <c r="P44" s="618"/>
    </row>
    <row r="45" spans="1:16" ht="13.9" customHeight="1">
      <c r="A45" s="129" t="str">
        <f>报表格式!B43</f>
        <v>固定资产</v>
      </c>
      <c r="B45" s="131">
        <f t="shared" si="23"/>
        <v>39</v>
      </c>
      <c r="C45" s="254">
        <f>年初BS审定!B44</f>
        <v>0</v>
      </c>
      <c r="D45" s="254">
        <f>审定合并BS!C44</f>
        <v>0</v>
      </c>
      <c r="E45" s="254">
        <f t="shared" si="36"/>
        <v>0</v>
      </c>
      <c r="F45" s="255" t="str">
        <f t="shared" si="37"/>
        <v/>
      </c>
      <c r="G45" s="251" t="str">
        <f>IF(F45="","",IF(OR(ABS(F45)&gt;=30%,ABS(E45)&gt;=$D$60*5%,ABS(E45)&gt;=已审横向PL!$D$39*10%),"显著",IF(ABS(F45)&gt;=10%,"关注","")))</f>
        <v/>
      </c>
      <c r="H45" s="608"/>
      <c r="I45" s="187" t="str">
        <f>报表格式!G43</f>
        <v>其他非流动负债</v>
      </c>
      <c r="J45" s="131">
        <f t="shared" si="0"/>
        <v>39</v>
      </c>
      <c r="K45" s="254">
        <f>年初BS审定!B99</f>
        <v>0</v>
      </c>
      <c r="L45" s="254">
        <f>审定合并BS!C104</f>
        <v>0</v>
      </c>
      <c r="M45" s="254">
        <f>L45-K45</f>
        <v>0</v>
      </c>
      <c r="N45" s="255" t="str">
        <f>IF(AND(K45=0,L45=0),"",IF(K45=0,100%,IF(L45=0,-100%,M45/K45)))</f>
        <v/>
      </c>
      <c r="O45" s="251" t="str">
        <f>IF(N45="","",IF(OR(ABS(N45)&gt;=30%,ABS(M45)&gt;=$D$60*5%,ABS(M45)&gt;=已审横向PL!$D$39*10%),"显著",IF(ABS(N45)&gt;=10%,"关注","")))</f>
        <v/>
      </c>
      <c r="P45" s="618"/>
    </row>
    <row r="46" spans="1:16" ht="13.9" customHeight="1">
      <c r="A46" s="129" t="str">
        <f>报表格式!B44</f>
        <v>在建工程</v>
      </c>
      <c r="B46" s="131">
        <f>B45+1</f>
        <v>40</v>
      </c>
      <c r="C46" s="254">
        <f>年初BS审定!B45</f>
        <v>0</v>
      </c>
      <c r="D46" s="254">
        <f>审定合并BS!C45</f>
        <v>0</v>
      </c>
      <c r="E46" s="254">
        <f t="shared" si="36"/>
        <v>0</v>
      </c>
      <c r="F46" s="255" t="str">
        <f t="shared" si="37"/>
        <v/>
      </c>
      <c r="G46" s="251" t="str">
        <f>IF(F46="","",IF(OR(ABS(F46)&gt;=30%,ABS(E46)&gt;=$D$60*5%,ABS(E46)&gt;=已审横向PL!$D$39*10%),"显著",IF(ABS(F46)&gt;=10%,"关注","")))</f>
        <v/>
      </c>
      <c r="H46" s="608"/>
      <c r="I46" s="133" t="str">
        <f>报表格式!G44</f>
        <v>非流动负债合计</v>
      </c>
      <c r="J46" s="131">
        <f t="shared" si="0"/>
        <v>40</v>
      </c>
      <c r="K46" s="256">
        <f>年初BS审定!B100</f>
        <v>0</v>
      </c>
      <c r="L46" s="256">
        <f>审定合并BS!C105</f>
        <v>0</v>
      </c>
      <c r="M46" s="256">
        <f>L46-K46</f>
        <v>0</v>
      </c>
      <c r="N46" s="322" t="str">
        <f>IF(AND(K46=0,L46=0),"",IF(K46=0,100%,IF(L46=0,-100%,M46/K46)))</f>
        <v/>
      </c>
      <c r="O46" s="686" t="str">
        <f>IF(N46="","",IF(OR(ABS(N46)&gt;=30%,ABS(M46)&gt;=$D$60*5%,ABS(M46)&gt;=已审横向PL!$D$39*10%),"显著",IF(ABS(N46)&gt;=10%,"关注","")))</f>
        <v/>
      </c>
      <c r="P46" s="687"/>
    </row>
    <row r="47" spans="1:16" ht="13.9" customHeight="1">
      <c r="A47" s="129" t="str">
        <f>报表格式!B45</f>
        <v xml:space="preserve">生产性生物资产 </v>
      </c>
      <c r="B47" s="131">
        <f t="shared" si="23"/>
        <v>41</v>
      </c>
      <c r="C47" s="254">
        <f>年初BS审定!B46</f>
        <v>0</v>
      </c>
      <c r="D47" s="254">
        <f>审定合并BS!C46</f>
        <v>0</v>
      </c>
      <c r="E47" s="254">
        <f t="shared" si="36"/>
        <v>0</v>
      </c>
      <c r="F47" s="255" t="str">
        <f t="shared" si="37"/>
        <v/>
      </c>
      <c r="G47" s="251" t="str">
        <f>IF(F47="","",IF(OR(ABS(F47)&gt;=30%,ABS(E47)&gt;=$D$60*5%,ABS(E47)&gt;=已审横向PL!$D$39*10%),"显著",IF(ABS(F47)&gt;=10%,"关注","")))</f>
        <v/>
      </c>
      <c r="H47" s="608"/>
      <c r="I47" s="133" t="str">
        <f>报表格式!G45</f>
        <v>负 债 合 计</v>
      </c>
      <c r="J47" s="131">
        <f t="shared" si="0"/>
        <v>41</v>
      </c>
      <c r="K47" s="256">
        <f>年初BS审定!B101</f>
        <v>0</v>
      </c>
      <c r="L47" s="256">
        <f>审定合并BS!C106</f>
        <v>0</v>
      </c>
      <c r="M47" s="256">
        <f>L47-K47</f>
        <v>0</v>
      </c>
      <c r="N47" s="322" t="str">
        <f>IF(AND(K47=0,L47=0),"",IF(K47=0,100%,IF(L47=0,-100%,M47/K47)))</f>
        <v/>
      </c>
      <c r="O47" s="686" t="str">
        <f>IF(N47="","",IF(OR(ABS(N47)&gt;=30%,ABS(M47)&gt;=$D$60*5%,ABS(M47)&gt;=已审横向PL!$D$39*10%),"显著",IF(ABS(N47)&gt;=10%,"关注","")))</f>
        <v/>
      </c>
      <c r="P47" s="687"/>
    </row>
    <row r="48" spans="1:16" ht="13.9" customHeight="1">
      <c r="A48" s="129" t="str">
        <f>报表格式!B46</f>
        <v>油气资产</v>
      </c>
      <c r="B48" s="131">
        <f t="shared" si="23"/>
        <v>42</v>
      </c>
      <c r="C48" s="254">
        <f>年初BS审定!B47</f>
        <v>0</v>
      </c>
      <c r="D48" s="254">
        <f>审定合并BS!C47</f>
        <v>0</v>
      </c>
      <c r="E48" s="254">
        <f t="shared" si="36"/>
        <v>0</v>
      </c>
      <c r="F48" s="255" t="str">
        <f t="shared" si="37"/>
        <v/>
      </c>
      <c r="G48" s="251" t="str">
        <f>IF(F48="","",IF(OR(ABS(F48)&gt;=30%,ABS(E48)&gt;=$D$60*5%,ABS(E48)&gt;=已审横向PL!$D$39*10%),"显著",IF(ABS(F48)&gt;=10%,"关注","")))</f>
        <v/>
      </c>
      <c r="H48" s="608"/>
      <c r="I48" s="188" t="str">
        <f>报表格式!G46</f>
        <v>股东权益：</v>
      </c>
      <c r="J48" s="131">
        <f t="shared" si="0"/>
        <v>42</v>
      </c>
      <c r="K48" s="254"/>
      <c r="L48" s="254"/>
      <c r="M48" s="254"/>
      <c r="N48" s="255"/>
      <c r="O48" s="251" t="str">
        <f>IF(N48="","",IF(OR(ABS(N48)&gt;=30%,ABS(M48)&gt;=$D$60*5%,ABS(M48)&gt;=已审横向PL!$D$39*10%),"显著",IF(ABS(N48)&gt;=10%,"关注","")))</f>
        <v/>
      </c>
      <c r="P48" s="618"/>
    </row>
    <row r="49" spans="1:16" ht="13.9" customHeight="1">
      <c r="A49" s="129" t="str">
        <f>报表格式!B47</f>
        <v>使用权资产</v>
      </c>
      <c r="B49" s="131">
        <f t="shared" si="23"/>
        <v>43</v>
      </c>
      <c r="C49" s="254">
        <f>年初BS审定!B48</f>
        <v>0</v>
      </c>
      <c r="D49" s="254">
        <f>审定合并BS!C48</f>
        <v>0</v>
      </c>
      <c r="E49" s="254">
        <f t="shared" si="36"/>
        <v>0</v>
      </c>
      <c r="F49" s="255" t="str">
        <f t="shared" si="37"/>
        <v/>
      </c>
      <c r="G49" s="251" t="str">
        <f>IF(F49="","",IF(OR(ABS(F49)&gt;=30%,ABS(E49)&gt;=$D$60*5%,ABS(E49)&gt;=已审横向PL!$D$39*10%),"显著",IF(ABS(F49)&gt;=10%,"关注","")))</f>
        <v/>
      </c>
      <c r="H49" s="608"/>
      <c r="I49" s="187" t="str">
        <f>报表格式!G47</f>
        <v>股本</v>
      </c>
      <c r="J49" s="131">
        <f t="shared" si="0"/>
        <v>43</v>
      </c>
      <c r="K49" s="254">
        <f>年初BS审定!B103</f>
        <v>0</v>
      </c>
      <c r="L49" s="254">
        <f>审定合并BS!C108</f>
        <v>0</v>
      </c>
      <c r="M49" s="254">
        <f t="shared" ref="M49:M63" si="38">L49-K49</f>
        <v>0</v>
      </c>
      <c r="N49" s="255" t="str">
        <f t="shared" ref="N49:N63" si="39">IF(AND(K49=0,L49=0),"",IF(K49=0,100%,IF(L49=0,-100%,M49/K49)))</f>
        <v/>
      </c>
      <c r="O49" s="251" t="str">
        <f>IF(N49="","",IF(OR(ABS(N49)&gt;=30%,ABS(M49)&gt;=$D$60*5%,ABS(M49)&gt;=已审横向PL!$D$39*10%),"显著",IF(ABS(N49)&gt;=10%,"关注","")))</f>
        <v/>
      </c>
      <c r="P49" s="618"/>
    </row>
    <row r="50" spans="1:16">
      <c r="A50" s="129" t="str">
        <f>报表格式!B48</f>
        <v>无形资产</v>
      </c>
      <c r="B50" s="131">
        <f t="shared" si="23"/>
        <v>44</v>
      </c>
      <c r="C50" s="254">
        <f>年初BS审定!B49</f>
        <v>0</v>
      </c>
      <c r="D50" s="254">
        <f>审定合并BS!C49</f>
        <v>0</v>
      </c>
      <c r="E50" s="254">
        <f t="shared" si="36"/>
        <v>0</v>
      </c>
      <c r="F50" s="255" t="str">
        <f t="shared" si="37"/>
        <v/>
      </c>
      <c r="G50" s="251" t="str">
        <f>IF(F50="","",IF(OR(ABS(F50)&gt;=30%,ABS(E50)&gt;=$D$60*5%,ABS(E50)&gt;=已审横向PL!$D$39*10%),"显著",IF(ABS(F50)&gt;=10%,"关注","")))</f>
        <v/>
      </c>
      <c r="H50" s="608"/>
      <c r="I50" s="187" t="str">
        <f>报表格式!G48</f>
        <v>其他权益工具</v>
      </c>
      <c r="J50" s="131">
        <f t="shared" si="0"/>
        <v>44</v>
      </c>
      <c r="K50" s="254">
        <f>年初BS审定!B104</f>
        <v>0</v>
      </c>
      <c r="L50" s="254">
        <f>审定合并BS!C109</f>
        <v>0</v>
      </c>
      <c r="M50" s="254">
        <f t="shared" si="38"/>
        <v>0</v>
      </c>
      <c r="N50" s="255" t="str">
        <f t="shared" si="39"/>
        <v/>
      </c>
      <c r="O50" s="251" t="str">
        <f>IF(N50="","",IF(OR(ABS(N50)&gt;=30%,ABS(M50)&gt;=$D$60*5%,ABS(M50)&gt;=已审横向PL!$D$39*10%),"显著",IF(ABS(N50)&gt;=10%,"关注","")))</f>
        <v/>
      </c>
      <c r="P50" s="618"/>
    </row>
    <row r="51" spans="1:16">
      <c r="A51" s="129" t="str">
        <f>报表格式!B49</f>
        <v>开发支出</v>
      </c>
      <c r="B51" s="131">
        <f t="shared" si="23"/>
        <v>45</v>
      </c>
      <c r="C51" s="254">
        <f>年初BS审定!B50</f>
        <v>0</v>
      </c>
      <c r="D51" s="254">
        <f>审定合并BS!C50</f>
        <v>0</v>
      </c>
      <c r="E51" s="254">
        <f t="shared" si="36"/>
        <v>0</v>
      </c>
      <c r="F51" s="255" t="str">
        <f t="shared" si="37"/>
        <v/>
      </c>
      <c r="G51" s="251" t="str">
        <f>IF(F51="","",IF(OR(ABS(F51)&gt;=30%,ABS(E51)&gt;=$D$60*5%,ABS(E51)&gt;=已审横向PL!$D$39*10%),"显著",IF(ABS(F51)&gt;=10%,"关注","")))</f>
        <v/>
      </c>
      <c r="H51" s="608"/>
      <c r="I51" s="187" t="str">
        <f>报表格式!G49</f>
        <v xml:space="preserve">  其中：优先股</v>
      </c>
      <c r="J51" s="131">
        <f t="shared" si="0"/>
        <v>45</v>
      </c>
      <c r="K51" s="254">
        <f>年初BS审定!B105</f>
        <v>0</v>
      </c>
      <c r="L51" s="254">
        <f>审定合并BS!C110</f>
        <v>0</v>
      </c>
      <c r="M51" s="254">
        <f t="shared" si="38"/>
        <v>0</v>
      </c>
      <c r="N51" s="255" t="str">
        <f t="shared" si="39"/>
        <v/>
      </c>
      <c r="O51" s="251" t="str">
        <f>IF(N51="","",IF(OR(ABS(N51)&gt;=30%,ABS(M51)&gt;=$D$60*5%,ABS(M51)&gt;=已审横向PL!$D$39*10%),"显著",IF(ABS(N51)&gt;=10%,"关注","")))</f>
        <v/>
      </c>
      <c r="P51" s="618"/>
    </row>
    <row r="52" spans="1:16">
      <c r="A52" s="129" t="str">
        <f>报表格式!B50</f>
        <v>商誉</v>
      </c>
      <c r="B52" s="131">
        <f t="shared" si="23"/>
        <v>46</v>
      </c>
      <c r="C52" s="254">
        <f>年初BS审定!B51</f>
        <v>0</v>
      </c>
      <c r="D52" s="254">
        <f>审定合并BS!C51</f>
        <v>0</v>
      </c>
      <c r="E52" s="254">
        <f t="shared" si="36"/>
        <v>0</v>
      </c>
      <c r="F52" s="255" t="str">
        <f t="shared" si="37"/>
        <v/>
      </c>
      <c r="G52" s="251" t="str">
        <f>IF(F52="","",IF(OR(ABS(F52)&gt;=30%,ABS(E52)&gt;=$D$60*5%,ABS(E52)&gt;=已审横向PL!$D$39*10%),"显著",IF(ABS(F52)&gt;=10%,"关注","")))</f>
        <v/>
      </c>
      <c r="H52" s="608"/>
      <c r="I52" s="187" t="str">
        <f>报表格式!G50</f>
        <v xml:space="preserve">        永续债</v>
      </c>
      <c r="J52" s="131">
        <f>J51+1</f>
        <v>46</v>
      </c>
      <c r="K52" s="254">
        <f>年初BS审定!B106</f>
        <v>0</v>
      </c>
      <c r="L52" s="254">
        <f>审定合并BS!C111</f>
        <v>0</v>
      </c>
      <c r="M52" s="254">
        <f t="shared" si="38"/>
        <v>0</v>
      </c>
      <c r="N52" s="255" t="str">
        <f t="shared" si="39"/>
        <v/>
      </c>
      <c r="O52" s="251" t="str">
        <f>IF(N52="","",IF(OR(ABS(N52)&gt;=30%,ABS(M52)&gt;=$D$60*5%,ABS(M52)&gt;=已审横向PL!$D$39*10%),"显著",IF(ABS(N52)&gt;=10%,"关注","")))</f>
        <v/>
      </c>
      <c r="P52" s="618"/>
    </row>
    <row r="53" spans="1:16">
      <c r="A53" s="129" t="str">
        <f>报表格式!B51</f>
        <v>长期待摊费用</v>
      </c>
      <c r="B53" s="131">
        <f t="shared" si="23"/>
        <v>47</v>
      </c>
      <c r="C53" s="254">
        <f>年初BS审定!B52</f>
        <v>0</v>
      </c>
      <c r="D53" s="254">
        <f>审定合并BS!C52</f>
        <v>0</v>
      </c>
      <c r="E53" s="254">
        <f t="shared" ref="E53:E60" si="40">D53-C53</f>
        <v>0</v>
      </c>
      <c r="F53" s="255" t="str">
        <f t="shared" ref="F53:F60" si="41">IF(AND(C53=0,D53=0),"",IF(C53=0,100%,IF(D53=0,-100%,E53/C53)))</f>
        <v/>
      </c>
      <c r="G53" s="251" t="str">
        <f>IF(F53="","",IF(OR(ABS(F53)&gt;=30%,ABS(E53)&gt;=$D$60*5%,ABS(E53)&gt;=已审横向PL!$D$39*10%),"显著",IF(ABS(F53)&gt;=10%,"关注","")))</f>
        <v/>
      </c>
      <c r="H53" s="608"/>
      <c r="I53" s="187" t="str">
        <f>报表格式!G51</f>
        <v>资本公积</v>
      </c>
      <c r="J53" s="131">
        <f t="shared" si="0"/>
        <v>47</v>
      </c>
      <c r="K53" s="254">
        <f>年初BS审定!B107</f>
        <v>0</v>
      </c>
      <c r="L53" s="254">
        <f>审定合并BS!C112</f>
        <v>0</v>
      </c>
      <c r="M53" s="254">
        <f t="shared" si="38"/>
        <v>0</v>
      </c>
      <c r="N53" s="255" t="str">
        <f t="shared" si="39"/>
        <v/>
      </c>
      <c r="O53" s="251" t="str">
        <f>IF(N53="","",IF(OR(ABS(N53)&gt;=30%,ABS(M53)&gt;=$D$60*5%,ABS(M53)&gt;=已审横向PL!$D$39*10%),"显著",IF(ABS(N53)&gt;=10%,"关注","")))</f>
        <v/>
      </c>
      <c r="P53" s="618"/>
    </row>
    <row r="54" spans="1:16">
      <c r="A54" s="129" t="str">
        <f>报表格式!B52</f>
        <v>递延所得税资产</v>
      </c>
      <c r="B54" s="131">
        <f t="shared" si="23"/>
        <v>48</v>
      </c>
      <c r="C54" s="254">
        <f>年初BS审定!B53</f>
        <v>0</v>
      </c>
      <c r="D54" s="254">
        <f>审定合并BS!C53</f>
        <v>0</v>
      </c>
      <c r="E54" s="254">
        <f t="shared" si="40"/>
        <v>0</v>
      </c>
      <c r="F54" s="255" t="str">
        <f t="shared" si="41"/>
        <v/>
      </c>
      <c r="G54" s="251" t="str">
        <f>IF(F54="","",IF(OR(ABS(F54)&gt;=30%,ABS(E54)&gt;=$D$60*5%,ABS(E54)&gt;=已审横向PL!$D$39*10%),"显著",IF(ABS(F54)&gt;=10%,"关注","")))</f>
        <v/>
      </c>
      <c r="H54" s="608"/>
      <c r="I54" s="187" t="str">
        <f>报表格式!G52</f>
        <v>减：库存股</v>
      </c>
      <c r="J54" s="131">
        <f t="shared" si="0"/>
        <v>48</v>
      </c>
      <c r="K54" s="254">
        <f>年初BS审定!B108</f>
        <v>0</v>
      </c>
      <c r="L54" s="254">
        <f>审定合并BS!C113</f>
        <v>0</v>
      </c>
      <c r="M54" s="254">
        <f t="shared" si="38"/>
        <v>0</v>
      </c>
      <c r="N54" s="255" t="str">
        <f t="shared" si="39"/>
        <v/>
      </c>
      <c r="O54" s="251" t="str">
        <f>IF(N54="","",IF(OR(ABS(N54)&gt;=30%,ABS(M54)&gt;=$D$60*5%,ABS(M54)&gt;=已审横向PL!$D$39*10%),"显著",IF(ABS(N54)&gt;=10%,"关注","")))</f>
        <v/>
      </c>
      <c r="P54" s="618"/>
    </row>
    <row r="55" spans="1:16">
      <c r="A55" s="129" t="str">
        <f>报表格式!B53</f>
        <v>其他非流动资产</v>
      </c>
      <c r="B55" s="131">
        <f t="shared" si="23"/>
        <v>49</v>
      </c>
      <c r="C55" s="254">
        <f>年初BS审定!B54</f>
        <v>0</v>
      </c>
      <c r="D55" s="254">
        <f>审定合并BS!C54</f>
        <v>0</v>
      </c>
      <c r="E55" s="254">
        <f t="shared" si="40"/>
        <v>0</v>
      </c>
      <c r="F55" s="255" t="str">
        <f t="shared" si="41"/>
        <v/>
      </c>
      <c r="G55" s="251" t="str">
        <f>IF(F55="","",IF(OR(ABS(F55)&gt;=30%,ABS(E55)&gt;=$D$60*5%,ABS(E55)&gt;=已审横向PL!$D$39*10%),"显著",IF(ABS(F55)&gt;=10%,"关注","")))</f>
        <v/>
      </c>
      <c r="H55" s="608"/>
      <c r="I55" s="187" t="str">
        <f>报表格式!G53</f>
        <v>其他综合收益</v>
      </c>
      <c r="J55" s="131">
        <f t="shared" si="0"/>
        <v>49</v>
      </c>
      <c r="K55" s="254">
        <f>年初BS审定!B109</f>
        <v>0</v>
      </c>
      <c r="L55" s="254">
        <f>审定合并BS!C114</f>
        <v>0</v>
      </c>
      <c r="M55" s="254">
        <f t="shared" si="38"/>
        <v>0</v>
      </c>
      <c r="N55" s="255" t="str">
        <f t="shared" si="39"/>
        <v/>
      </c>
      <c r="O55" s="251" t="str">
        <f>IF(N55="","",IF(OR(ABS(N55)&gt;=30%,ABS(M55)&gt;=$D$60*5%,ABS(M55)&gt;=已审横向PL!$D$39*10%),"显著",IF(ABS(N55)&gt;=10%,"关注","")))</f>
        <v/>
      </c>
      <c r="P55" s="618"/>
    </row>
    <row r="56" spans="1:16">
      <c r="A56" s="129">
        <f>报表格式!B54</f>
        <v>0</v>
      </c>
      <c r="B56" s="131">
        <f t="shared" si="23"/>
        <v>50</v>
      </c>
      <c r="C56" s="254">
        <f>年初BS审定!B55</f>
        <v>0</v>
      </c>
      <c r="D56" s="254">
        <f>审定合并BS!C55</f>
        <v>0</v>
      </c>
      <c r="E56" s="254">
        <f t="shared" si="40"/>
        <v>0</v>
      </c>
      <c r="F56" s="255" t="str">
        <f t="shared" si="41"/>
        <v/>
      </c>
      <c r="G56" s="251" t="str">
        <f>IF(F56="","",IF(OR(ABS(F56)&gt;=30%,ABS(E56)&gt;=$D$60*5%,ABS(E56)&gt;=已审横向PL!$D$39*10%),"显著",IF(ABS(F56)&gt;=10%,"关注","")))</f>
        <v/>
      </c>
      <c r="H56" s="608"/>
      <c r="I56" s="187" t="str">
        <f>报表格式!G54</f>
        <v>专项储备</v>
      </c>
      <c r="J56" s="131">
        <f t="shared" si="0"/>
        <v>50</v>
      </c>
      <c r="K56" s="254">
        <f>年初BS审定!B110</f>
        <v>0</v>
      </c>
      <c r="L56" s="254">
        <f>审定合并BS!C115</f>
        <v>0</v>
      </c>
      <c r="M56" s="254">
        <f t="shared" si="38"/>
        <v>0</v>
      </c>
      <c r="N56" s="255" t="str">
        <f t="shared" si="39"/>
        <v/>
      </c>
      <c r="O56" s="251" t="str">
        <f>IF(N56="","",IF(OR(ABS(N56)&gt;=30%,ABS(M56)&gt;=$D$60*5%,ABS(M56)&gt;=已审横向PL!$D$39*10%),"显著",IF(ABS(N56)&gt;=10%,"关注","")))</f>
        <v/>
      </c>
      <c r="P56" s="618"/>
    </row>
    <row r="57" spans="1:16">
      <c r="A57" s="129">
        <f>报表格式!B55</f>
        <v>0</v>
      </c>
      <c r="B57" s="131">
        <f t="shared" si="23"/>
        <v>51</v>
      </c>
      <c r="C57" s="254">
        <f>年初BS审定!B56</f>
        <v>0</v>
      </c>
      <c r="D57" s="254">
        <f>审定合并BS!C56</f>
        <v>0</v>
      </c>
      <c r="E57" s="254">
        <f t="shared" si="40"/>
        <v>0</v>
      </c>
      <c r="F57" s="255" t="str">
        <f t="shared" si="41"/>
        <v/>
      </c>
      <c r="G57" s="251" t="str">
        <f>IF(F57="","",IF(OR(ABS(F57)&gt;=30%,ABS(E57)&gt;=$D$60*5%,ABS(E57)&gt;=已审横向PL!$D$39*10%),"显著",IF(ABS(F57)&gt;=10%,"关注","")))</f>
        <v/>
      </c>
      <c r="H57" s="608"/>
      <c r="I57" s="187" t="str">
        <f>报表格式!G55</f>
        <v>盈余公积</v>
      </c>
      <c r="J57" s="131">
        <f t="shared" si="0"/>
        <v>51</v>
      </c>
      <c r="K57" s="254">
        <f>年初BS审定!B111</f>
        <v>0</v>
      </c>
      <c r="L57" s="254">
        <f>审定合并BS!C116</f>
        <v>0</v>
      </c>
      <c r="M57" s="254">
        <f t="shared" si="38"/>
        <v>0</v>
      </c>
      <c r="N57" s="255" t="str">
        <f t="shared" si="39"/>
        <v/>
      </c>
      <c r="O57" s="251" t="str">
        <f>IF(N57="","",IF(OR(ABS(N57)&gt;=30%,ABS(M57)&gt;=$D$60*5%,ABS(M57)&gt;=已审横向PL!$D$39*10%),"显著",IF(ABS(N57)&gt;=10%,"关注","")))</f>
        <v/>
      </c>
      <c r="P57" s="618"/>
    </row>
    <row r="58" spans="1:16">
      <c r="A58" s="129">
        <f>报表格式!B56</f>
        <v>0</v>
      </c>
      <c r="B58" s="131">
        <f t="shared" si="23"/>
        <v>52</v>
      </c>
      <c r="C58" s="254">
        <f>年初BS审定!B57</f>
        <v>0</v>
      </c>
      <c r="D58" s="254">
        <f>审定合并BS!C57</f>
        <v>0</v>
      </c>
      <c r="E58" s="254">
        <f t="shared" si="40"/>
        <v>0</v>
      </c>
      <c r="F58" s="255" t="str">
        <f t="shared" si="41"/>
        <v/>
      </c>
      <c r="G58" s="251" t="str">
        <f>IF(F58="","",IF(OR(ABS(F58)&gt;=30%,ABS(E58)&gt;=$D$60*5%,ABS(E58)&gt;=已审横向PL!$D$39*10%),"显著",IF(ABS(F58)&gt;=10%,"关注","")))</f>
        <v/>
      </c>
      <c r="H58" s="608"/>
      <c r="I58" s="187" t="str">
        <f>报表格式!G56</f>
        <v>一般风险准备</v>
      </c>
      <c r="J58" s="131">
        <f t="shared" si="0"/>
        <v>52</v>
      </c>
      <c r="K58" s="254">
        <f>年初BS审定!B112</f>
        <v>0</v>
      </c>
      <c r="L58" s="254">
        <f>审定合并BS!C117</f>
        <v>0</v>
      </c>
      <c r="M58" s="254">
        <f t="shared" ref="M58:M59" si="42">L58-K58</f>
        <v>0</v>
      </c>
      <c r="N58" s="255" t="str">
        <f t="shared" ref="N58:N59" si="43">IF(AND(K58=0,L58=0),"",IF(K58=0,100%,IF(L58=0,-100%,M58/K58)))</f>
        <v/>
      </c>
      <c r="O58" s="251" t="str">
        <f>IF(N58="","",IF(OR(ABS(N58)&gt;=30%,ABS(M58)&gt;=$D$60*5%,ABS(M58)&gt;=已审横向PL!$D$39*10%),"显著",IF(ABS(N58)&gt;=10%,"关注","")))</f>
        <v/>
      </c>
      <c r="P58" s="618"/>
    </row>
    <row r="59" spans="1:16">
      <c r="A59" s="135" t="str">
        <f>报表格式!B57</f>
        <v>非流动资产合计</v>
      </c>
      <c r="B59" s="131">
        <f>B58+1</f>
        <v>53</v>
      </c>
      <c r="C59" s="256">
        <f>年初BS审定!B58</f>
        <v>0</v>
      </c>
      <c r="D59" s="256">
        <f>审定合并BS!C58</f>
        <v>0</v>
      </c>
      <c r="E59" s="256">
        <f t="shared" si="40"/>
        <v>0</v>
      </c>
      <c r="F59" s="322" t="str">
        <f t="shared" si="41"/>
        <v/>
      </c>
      <c r="G59" s="683" t="str">
        <f>IF(F59="","",IF(OR(ABS(F59)&gt;=30%,ABS(E59)&gt;=$D$60*5%,ABS(E59)&gt;=已审横向PL!$D$39*10%),"显著",IF(ABS(F59)&gt;=10%,"关注","")))</f>
        <v/>
      </c>
      <c r="H59" s="684"/>
      <c r="I59" s="187" t="str">
        <f>报表格式!G57</f>
        <v>未分配利润</v>
      </c>
      <c r="J59" s="131">
        <f t="shared" si="0"/>
        <v>53</v>
      </c>
      <c r="K59" s="254">
        <f>年初BS审定!B113</f>
        <v>0</v>
      </c>
      <c r="L59" s="254">
        <f>审定合并BS!C118</f>
        <v>0</v>
      </c>
      <c r="M59" s="254">
        <f t="shared" si="42"/>
        <v>0</v>
      </c>
      <c r="N59" s="255" t="str">
        <f t="shared" si="43"/>
        <v/>
      </c>
      <c r="O59" s="251" t="str">
        <f>IF(N59="","",IF(OR(ABS(N59)&gt;=30%,ABS(M59)&gt;=$D$60*5%,ABS(M59)&gt;=已审横向PL!$D$39*10%),"显著",IF(ABS(N59)&gt;=10%,"关注","")))</f>
        <v/>
      </c>
      <c r="P59" s="618"/>
    </row>
    <row r="60" spans="1:16" ht="15" thickBot="1">
      <c r="A60" s="136" t="str">
        <f>报表格式!B58</f>
        <v>资 产 总 计</v>
      </c>
      <c r="B60" s="137">
        <f t="shared" si="23"/>
        <v>54</v>
      </c>
      <c r="C60" s="257">
        <f>SUM(C32,C59)</f>
        <v>0</v>
      </c>
      <c r="D60" s="257">
        <f>SUM(D32,D59)</f>
        <v>0</v>
      </c>
      <c r="E60" s="257">
        <f t="shared" si="40"/>
        <v>0</v>
      </c>
      <c r="F60" s="323" t="str">
        <f t="shared" si="41"/>
        <v/>
      </c>
      <c r="G60" s="689" t="str">
        <f>IF(F60="","",IF(OR(ABS(F60)&gt;=30%,ABS(E60)&gt;=$D$60*5%,ABS(E60)&gt;=已审横向PL!$D$39*10%),"显著",IF(ABS(F60)&gt;=10%,"关注","")))</f>
        <v/>
      </c>
      <c r="H60" s="621"/>
      <c r="I60" s="187" t="str">
        <f>报表格式!G58</f>
        <v>归属于母公司股东权益合计</v>
      </c>
      <c r="J60" s="131">
        <f t="shared" si="0"/>
        <v>54</v>
      </c>
      <c r="K60" s="254">
        <f>年初BS审定!B114</f>
        <v>0</v>
      </c>
      <c r="L60" s="254">
        <f>审定合并BS!C119</f>
        <v>0</v>
      </c>
      <c r="M60" s="254">
        <f t="shared" si="38"/>
        <v>0</v>
      </c>
      <c r="N60" s="255" t="str">
        <f t="shared" si="39"/>
        <v/>
      </c>
      <c r="O60" s="251" t="str">
        <f>IF(N60="","",IF(OR(ABS(N60)&gt;=30%,ABS(M60)&gt;=$D$60*5%,ABS(M60)&gt;=已审横向PL!$D$39*10%),"显著",IF(ABS(N60)&gt;=10%,"关注","")))</f>
        <v/>
      </c>
      <c r="P60" s="618"/>
    </row>
    <row r="61" spans="1:16">
      <c r="I61" s="187" t="str">
        <f>报表格式!G59</f>
        <v>少数股东权益</v>
      </c>
      <c r="J61" s="131">
        <f t="shared" si="0"/>
        <v>55</v>
      </c>
      <c r="K61" s="254">
        <f>年初BS审定!B115</f>
        <v>0</v>
      </c>
      <c r="L61" s="254">
        <f>审定合并BS!C120</f>
        <v>0</v>
      </c>
      <c r="M61" s="254">
        <f t="shared" si="38"/>
        <v>0</v>
      </c>
      <c r="N61" s="255" t="str">
        <f t="shared" si="39"/>
        <v/>
      </c>
      <c r="O61" s="251" t="str">
        <f>IF(N61="","",IF(OR(ABS(N61)&gt;=30%,ABS(M61)&gt;=$D$60*5%,ABS(M61)&gt;=已审横向PL!$D$39*10%),"显著",IF(ABS(N61)&gt;=10%,"关注","")))</f>
        <v/>
      </c>
      <c r="P61" s="618"/>
    </row>
    <row r="62" spans="1:16">
      <c r="I62" s="185" t="str">
        <f>报表格式!G60</f>
        <v>股东权益合计</v>
      </c>
      <c r="J62" s="131">
        <f t="shared" si="0"/>
        <v>56</v>
      </c>
      <c r="K62" s="256">
        <f>年初BS审定!B116</f>
        <v>0</v>
      </c>
      <c r="L62" s="256">
        <f>审定合并BS!C121</f>
        <v>0</v>
      </c>
      <c r="M62" s="256">
        <f t="shared" si="38"/>
        <v>0</v>
      </c>
      <c r="N62" s="322" t="str">
        <f t="shared" si="39"/>
        <v/>
      </c>
      <c r="O62" s="686" t="str">
        <f>IF(N62="","",IF(OR(ABS(N62)&gt;=30%,ABS(M62)&gt;=$D$60*5%,ABS(M62)&gt;=已审横向PL!$D$39*10%),"显著",IF(ABS(N62)&gt;=10%,"关注","")))</f>
        <v/>
      </c>
      <c r="P62" s="619"/>
    </row>
    <row r="63" spans="1:16" ht="15" thickBot="1">
      <c r="I63" s="189" t="str">
        <f>报表格式!G61</f>
        <v>负债和股东权益合计</v>
      </c>
      <c r="J63" s="137">
        <f t="shared" si="0"/>
        <v>57</v>
      </c>
      <c r="K63" s="257">
        <f>SUM(K47,K62)</f>
        <v>0</v>
      </c>
      <c r="L63" s="257">
        <f>SUM(L47,L62)</f>
        <v>0</v>
      </c>
      <c r="M63" s="260">
        <f t="shared" si="38"/>
        <v>0</v>
      </c>
      <c r="N63" s="688" t="str">
        <f t="shared" si="39"/>
        <v/>
      </c>
      <c r="O63" s="689" t="str">
        <f>IF(N63="","",IF(OR(ABS(N63)&gt;=30%,ABS(M63)&gt;=$D$60*5%,ABS(M63)&gt;=已审横向PL!$D$39*10%),"显著",IF(ABS(N63)&gt;=10%,"关注","")))</f>
        <v/>
      </c>
      <c r="P63" s="620"/>
    </row>
    <row r="64" spans="1:16">
      <c r="I64" s="78"/>
      <c r="J64" s="78"/>
    </row>
    <row r="65" spans="9:10">
      <c r="I65" s="78"/>
      <c r="J65" s="78"/>
    </row>
    <row r="66" spans="9:10">
      <c r="I66" s="78"/>
      <c r="J66" s="78"/>
    </row>
    <row r="67" spans="9:10">
      <c r="I67" s="78"/>
      <c r="J67" s="78"/>
    </row>
  </sheetData>
  <sheetProtection formatCells="0" insertRows="0" autoFilter="0" pivotTables="0"/>
  <mergeCells count="14">
    <mergeCell ref="P4:P6"/>
    <mergeCell ref="J4:J6"/>
    <mergeCell ref="I1:P1"/>
    <mergeCell ref="A4:A6"/>
    <mergeCell ref="C4:C5"/>
    <mergeCell ref="D4:D5"/>
    <mergeCell ref="I4:I6"/>
    <mergeCell ref="G4:G6"/>
    <mergeCell ref="H4:H6"/>
    <mergeCell ref="B4:B6"/>
    <mergeCell ref="A1:H1"/>
    <mergeCell ref="K4:K5"/>
    <mergeCell ref="L4:L5"/>
    <mergeCell ref="O4:O6"/>
  </mergeCells>
  <phoneticPr fontId="3" type="noConversion"/>
  <conditionalFormatting sqref="H7:M7 C7:F7">
    <cfRule type="cellIs" dxfId="27" priority="1" stopIfTrue="1" operator="equal">
      <formula>"            对不起，请到参数表中确定报表类型！"</formula>
    </cfRule>
    <cfRule type="cellIs" dxfId="26" priority="2" stopIfTrue="1" operator="equal">
      <formula>"对不起，试用期已到，请查看系统信息，并与作者联系。"</formula>
    </cfRule>
  </conditionalFormatting>
  <conditionalFormatting sqref="G7">
    <cfRule type="cellIs" dxfId="25" priority="3" stopIfTrue="1" operator="equal">
      <formula>"异常"</formula>
    </cfRule>
  </conditionalFormatting>
  <conditionalFormatting sqref="G8:G60 O8:O63">
    <cfRule type="cellIs" dxfId="24" priority="4" stopIfTrue="1" operator="equal">
      <formula>"显著"</formula>
    </cfRule>
  </conditionalFormatting>
  <printOptions horizontalCentered="1"/>
  <pageMargins left="0.35" right="0.23622047244094491" top="0.67" bottom="0.27" header="0.33" footer="0.2"/>
  <pageSetup paperSize="9" scale="98" fitToWidth="2" orientation="portrait" blackAndWhite="1" r:id="rId1"/>
  <headerFooter alignWithMargins="0"/>
  <colBreaks count="1" manualBreakCount="1">
    <brk id="8"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39"/>
    <pageSetUpPr fitToPage="1"/>
  </sheetPr>
  <dimension ref="A1:R68"/>
  <sheetViews>
    <sheetView showZeros="0" zoomScaleNormal="100" workbookViewId="0">
      <pane xSplit="2" ySplit="6" topLeftCell="C7" activePane="bottomRight" state="frozen"/>
      <selection activeCell="H6" sqref="H6"/>
      <selection pane="topRight" activeCell="H6" sqref="H6"/>
      <selection pane="bottomLeft" activeCell="H6" sqref="H6"/>
      <selection pane="bottomRight" activeCell="F65" sqref="F65"/>
    </sheetView>
  </sheetViews>
  <sheetFormatPr defaultColWidth="9" defaultRowHeight="14.25"/>
  <cols>
    <col min="1" max="1" width="23.125" style="77" customWidth="1"/>
    <col min="2" max="2" width="2.625" style="77" customWidth="1"/>
    <col min="3" max="3" width="12.25" style="78" customWidth="1"/>
    <col min="4" max="4" width="7" style="78" customWidth="1"/>
    <col min="5" max="5" width="10.5" style="78" customWidth="1"/>
    <col min="6" max="6" width="7.75" style="78" customWidth="1"/>
    <col min="7" max="7" width="10.25" style="78" customWidth="1"/>
    <col min="8" max="8" width="9.375" style="78" customWidth="1"/>
    <col min="9" max="9" width="12.375" style="78" customWidth="1"/>
    <col min="10" max="10" width="18.375" style="77" customWidth="1"/>
    <col min="11" max="11" width="3.125" style="77" customWidth="1"/>
    <col min="12" max="12" width="12.375" style="78" customWidth="1"/>
    <col min="13" max="13" width="6.375" style="78" customWidth="1"/>
    <col min="14" max="14" width="10.5" style="78" customWidth="1"/>
    <col min="15" max="15" width="7.875" style="78" customWidth="1"/>
    <col min="16" max="16" width="9.625" style="78" bestFit="1" customWidth="1"/>
    <col min="17" max="17" width="9" style="78"/>
    <col min="18" max="18" width="12.375" style="78" customWidth="1"/>
    <col min="19" max="16384" width="9" style="78"/>
  </cols>
  <sheetData>
    <row r="1" spans="1:18" ht="18.75">
      <c r="A1" s="1219" t="s">
        <v>387</v>
      </c>
      <c r="B1" s="1219"/>
      <c r="C1" s="1219"/>
      <c r="D1" s="1219"/>
      <c r="E1" s="1219"/>
      <c r="F1" s="1219"/>
      <c r="G1" s="1219"/>
      <c r="H1" s="1219"/>
      <c r="I1" s="1219"/>
      <c r="J1" s="1219" t="s">
        <v>388</v>
      </c>
      <c r="K1" s="1219"/>
      <c r="L1" s="1219"/>
      <c r="M1" s="1219"/>
      <c r="N1" s="1219"/>
      <c r="O1" s="1219"/>
      <c r="P1" s="1219"/>
      <c r="Q1" s="1219"/>
      <c r="R1" s="1219"/>
    </row>
    <row r="2" spans="1:18" s="32" customFormat="1" ht="15" customHeight="1">
      <c r="A2" s="88" t="str">
        <f>CONCATENATE("客户名称：",说明!E23)</f>
        <v>客户名称：</v>
      </c>
      <c r="E2" s="89" t="str">
        <f>CONCATENATE("编制：",说明!E36)</f>
        <v>编制：</v>
      </c>
      <c r="F2" s="89"/>
      <c r="G2" s="88" t="str">
        <f>CONCATENATE("复核：",说明!E37)</f>
        <v>复核：</v>
      </c>
      <c r="H2" s="91"/>
      <c r="I2" s="806" t="s">
        <v>953</v>
      </c>
      <c r="J2" s="88" t="str">
        <f>CONCATENATE("客户名称：",说明!E23)</f>
        <v>客户名称：</v>
      </c>
      <c r="N2" s="89" t="str">
        <f>CONCATENATE("编制：",说明!E36)</f>
        <v>编制：</v>
      </c>
      <c r="O2" s="89"/>
      <c r="P2" s="88" t="str">
        <f>CONCATENATE("复核：",说明!E37)</f>
        <v>复核：</v>
      </c>
      <c r="Q2" s="91"/>
      <c r="R2" s="806" t="s">
        <v>953</v>
      </c>
    </row>
    <row r="3" spans="1:18" s="32" customFormat="1" ht="17.25" customHeight="1" thickBot="1">
      <c r="A3" s="91" t="str">
        <f>CONCATENATE("会计时点：",TEXT(说明!E32,"yyyy.mm.dd"))</f>
        <v>会计时点：2019.12.31</v>
      </c>
      <c r="E3" s="93" t="str">
        <f ca="1">CONCATENATE("日期：",TEXT(NOW(),"yyyy.mm.dd"))</f>
        <v>日期：2019.12.31</v>
      </c>
      <c r="F3" s="93"/>
      <c r="G3" s="89" t="s">
        <v>295</v>
      </c>
      <c r="H3" s="91"/>
      <c r="I3" s="89" t="s">
        <v>296</v>
      </c>
      <c r="J3" s="91" t="str">
        <f>CONCATENATE("会计时点：",TEXT(说明!E32,"yyyy.mm.dd"))</f>
        <v>会计时点：2019.12.31</v>
      </c>
      <c r="N3" s="93" t="str">
        <f ca="1">CONCATENATE("日期：",TEXT(NOW(),"yyyy.mm.dd"))</f>
        <v>日期：2019.12.31</v>
      </c>
      <c r="O3" s="93"/>
      <c r="P3" s="89" t="s">
        <v>295</v>
      </c>
      <c r="Q3" s="91"/>
      <c r="R3" s="89" t="s">
        <v>296</v>
      </c>
    </row>
    <row r="4" spans="1:18" ht="14.25" customHeight="1">
      <c r="A4" s="1220" t="s">
        <v>371</v>
      </c>
      <c r="B4" s="1231" t="s">
        <v>310</v>
      </c>
      <c r="C4" s="1237" t="s">
        <v>365</v>
      </c>
      <c r="D4" s="1238"/>
      <c r="E4" s="1237" t="s">
        <v>450</v>
      </c>
      <c r="F4" s="1238"/>
      <c r="G4" s="1239" t="s">
        <v>379</v>
      </c>
      <c r="H4" s="1228" t="s">
        <v>448</v>
      </c>
      <c r="I4" s="1234" t="s">
        <v>449</v>
      </c>
      <c r="J4" s="1225" t="str">
        <f>IF(说明!E28="一般企业（执行统一会计制度）","负债及所有者权益","负债及股东权益")</f>
        <v>负债及股东权益</v>
      </c>
      <c r="K4" s="1216" t="s">
        <v>310</v>
      </c>
      <c r="L4" s="1237" t="s">
        <v>365</v>
      </c>
      <c r="M4" s="1238"/>
      <c r="N4" s="1237" t="s">
        <v>450</v>
      </c>
      <c r="O4" s="1238"/>
      <c r="P4" s="1239" t="s">
        <v>379</v>
      </c>
      <c r="Q4" s="1228" t="s">
        <v>448</v>
      </c>
      <c r="R4" s="1234" t="s">
        <v>449</v>
      </c>
    </row>
    <row r="5" spans="1:18">
      <c r="A5" s="1221"/>
      <c r="B5" s="1232"/>
      <c r="C5" s="183" t="s">
        <v>376</v>
      </c>
      <c r="D5" s="174" t="s">
        <v>377</v>
      </c>
      <c r="E5" s="183" t="s">
        <v>451</v>
      </c>
      <c r="F5" s="174" t="s">
        <v>377</v>
      </c>
      <c r="G5" s="1240"/>
      <c r="H5" s="1229"/>
      <c r="I5" s="1235"/>
      <c r="J5" s="1226"/>
      <c r="K5" s="1217"/>
      <c r="L5" s="183" t="s">
        <v>376</v>
      </c>
      <c r="M5" s="174" t="s">
        <v>377</v>
      </c>
      <c r="N5" s="183" t="s">
        <v>451</v>
      </c>
      <c r="O5" s="174" t="s">
        <v>377</v>
      </c>
      <c r="P5" s="1240"/>
      <c r="Q5" s="1229"/>
      <c r="R5" s="1235"/>
    </row>
    <row r="6" spans="1:18">
      <c r="A6" s="1222"/>
      <c r="B6" s="1233"/>
      <c r="C6" s="176" t="s">
        <v>367</v>
      </c>
      <c r="D6" s="184" t="s">
        <v>381</v>
      </c>
      <c r="E6" s="184" t="s">
        <v>378</v>
      </c>
      <c r="F6" s="184" t="s">
        <v>382</v>
      </c>
      <c r="G6" s="184" t="s">
        <v>383</v>
      </c>
      <c r="H6" s="1230"/>
      <c r="I6" s="1236"/>
      <c r="J6" s="1227"/>
      <c r="K6" s="1218"/>
      <c r="L6" s="176" t="s">
        <v>367</v>
      </c>
      <c r="M6" s="184" t="s">
        <v>381</v>
      </c>
      <c r="N6" s="184" t="s">
        <v>378</v>
      </c>
      <c r="O6" s="184" t="s">
        <v>382</v>
      </c>
      <c r="P6" s="184" t="s">
        <v>383</v>
      </c>
      <c r="Q6" s="1230"/>
      <c r="R6" s="1236"/>
    </row>
    <row r="7" spans="1:18" ht="13.9" customHeight="1">
      <c r="A7" s="180" t="str">
        <f>报表格式!B5</f>
        <v>流动资产：</v>
      </c>
      <c r="B7" s="181">
        <v>1</v>
      </c>
      <c r="C7" s="252"/>
      <c r="D7" s="252"/>
      <c r="E7" s="252"/>
      <c r="F7" s="252"/>
      <c r="G7" s="253"/>
      <c r="H7" s="182"/>
      <c r="I7" s="190"/>
      <c r="J7" s="186" t="str">
        <f>报表格式!G5</f>
        <v>流动负债：</v>
      </c>
      <c r="K7" s="258">
        <f>B64+1</f>
        <v>1</v>
      </c>
      <c r="L7" s="252"/>
      <c r="M7" s="252"/>
      <c r="N7" s="252"/>
      <c r="O7" s="252"/>
      <c r="P7" s="266"/>
      <c r="Q7" s="264"/>
      <c r="R7" s="610"/>
    </row>
    <row r="8" spans="1:18" ht="13.9" customHeight="1">
      <c r="A8" s="129" t="str">
        <f>报表格式!B6</f>
        <v>货币资金</v>
      </c>
      <c r="B8" s="130">
        <f>B7+1</f>
        <v>2</v>
      </c>
      <c r="C8" s="254">
        <f>已审横向BS!C8</f>
        <v>0</v>
      </c>
      <c r="D8" s="265" t="str">
        <f>IF(AND(C8&lt;&gt;0,$C$60&lt;&gt;0),C8/$C$60,"")</f>
        <v/>
      </c>
      <c r="E8" s="254">
        <f>已审横向BS!D8</f>
        <v>0</v>
      </c>
      <c r="F8" s="265" t="str">
        <f>IF(AND(E8&lt;&gt;0,$E$60&lt;&gt;0),E8/$E$60,"")</f>
        <v/>
      </c>
      <c r="G8" s="255" t="str">
        <f>IF(AND(D8="",F8=""),"",IF(D8="",F8,IF(F8="",-D8,F8-D8)))</f>
        <v/>
      </c>
      <c r="H8" s="692" t="str">
        <f>IF(G8="","",IF(ABS(G8)&gt;=30%,"显著",IF(ABS(G8)&gt;=10%,"关注","")))</f>
        <v/>
      </c>
      <c r="I8" s="132"/>
      <c r="J8" s="187" t="str">
        <f>报表格式!G6</f>
        <v>短期借款</v>
      </c>
      <c r="K8" s="131">
        <f t="shared" ref="K8:K63" si="0">K7+1</f>
        <v>2</v>
      </c>
      <c r="L8" s="254">
        <f>已审横向BS!K8</f>
        <v>0</v>
      </c>
      <c r="M8" s="265" t="str">
        <f t="shared" ref="M8:M25" si="1">IF(AND(L8&lt;&gt;0,$L$63&lt;&gt;0),L8/$L$63,"")</f>
        <v/>
      </c>
      <c r="N8" s="254">
        <f>已审横向BS!L8</f>
        <v>0</v>
      </c>
      <c r="O8" s="265" t="str">
        <f t="shared" ref="O8:O25" si="2">IF(AND(N8&lt;&gt;0,$N$63&lt;&gt;0),N8/$N$63,"")</f>
        <v/>
      </c>
      <c r="P8" s="255" t="str">
        <f t="shared" ref="P8:P33" si="3">IF(AND(M8="",O8=""),"",IF(M8="",O8,IF(O8="",-M8,O8-M8)))</f>
        <v/>
      </c>
      <c r="Q8" s="692" t="str">
        <f t="shared" ref="Q8:Q33" si="4">IF(P8="","",IF(ABS(P8)&gt;=30%,"显著",IF(ABS(P8)&gt;=10%,"关注","")))</f>
        <v/>
      </c>
      <c r="R8" s="611"/>
    </row>
    <row r="9" spans="1:18" ht="13.9" customHeight="1">
      <c r="A9" s="129" t="str">
        <f>报表格式!B7</f>
        <v>结算备付金</v>
      </c>
      <c r="B9" s="130">
        <f t="shared" ref="B9:B11" si="5">B8+1</f>
        <v>3</v>
      </c>
      <c r="C9" s="254">
        <f>已审横向BS!C9</f>
        <v>0</v>
      </c>
      <c r="D9" s="265" t="str">
        <f t="shared" ref="D9:D11" si="6">IF(AND(C9&lt;&gt;0,$C$60&lt;&gt;0),C9/$C$60,"")</f>
        <v/>
      </c>
      <c r="E9" s="254">
        <f>已审横向BS!D9</f>
        <v>0</v>
      </c>
      <c r="F9" s="265" t="str">
        <f t="shared" ref="F9:F11" si="7">IF(AND(E9&lt;&gt;0,$E$60&lt;&gt;0),E9/$E$60,"")</f>
        <v/>
      </c>
      <c r="G9" s="255" t="str">
        <f t="shared" ref="G9:G11" si="8">IF(AND(D9="",F9=""),"",IF(D9="",F9,IF(F9="",-D9,F9-D9)))</f>
        <v/>
      </c>
      <c r="H9" s="692" t="str">
        <f t="shared" ref="H9:H11" si="9">IF(G9="","",IF(ABS(G9)&gt;=30%,"显著",IF(ABS(G9)&gt;=10%,"关注","")))</f>
        <v/>
      </c>
      <c r="I9" s="132"/>
      <c r="J9" s="187" t="str">
        <f>报表格式!G7</f>
        <v>向中央银行借款</v>
      </c>
      <c r="K9" s="131">
        <f t="shared" si="0"/>
        <v>3</v>
      </c>
      <c r="L9" s="254">
        <f>已审横向BS!K9</f>
        <v>0</v>
      </c>
      <c r="M9" s="265" t="str">
        <f t="shared" si="1"/>
        <v/>
      </c>
      <c r="N9" s="254">
        <f>已审横向BS!L9</f>
        <v>0</v>
      </c>
      <c r="O9" s="265" t="str">
        <f t="shared" si="2"/>
        <v/>
      </c>
      <c r="P9" s="255" t="str">
        <f t="shared" ref="P9:P12" si="10">IF(AND(M9="",O9=""),"",IF(M9="",O9,IF(O9="",-M9,O9-M9)))</f>
        <v/>
      </c>
      <c r="Q9" s="692" t="str">
        <f t="shared" ref="Q9:Q12" si="11">IF(P9="","",IF(ABS(P9)&gt;=30%,"显著",IF(ABS(P9)&gt;=10%,"关注","")))</f>
        <v/>
      </c>
      <c r="R9" s="611"/>
    </row>
    <row r="10" spans="1:18" ht="13.9" customHeight="1">
      <c r="A10" s="129" t="str">
        <f>报表格式!B8</f>
        <v>拆出资金</v>
      </c>
      <c r="B10" s="130">
        <f t="shared" si="5"/>
        <v>4</v>
      </c>
      <c r="C10" s="254">
        <f>已审横向BS!C10</f>
        <v>0</v>
      </c>
      <c r="D10" s="265" t="str">
        <f t="shared" si="6"/>
        <v/>
      </c>
      <c r="E10" s="254">
        <f>已审横向BS!D10</f>
        <v>0</v>
      </c>
      <c r="F10" s="265" t="str">
        <f t="shared" si="7"/>
        <v/>
      </c>
      <c r="G10" s="255" t="str">
        <f t="shared" si="8"/>
        <v/>
      </c>
      <c r="H10" s="692" t="str">
        <f t="shared" si="9"/>
        <v/>
      </c>
      <c r="I10" s="132"/>
      <c r="J10" s="187" t="str">
        <f>报表格式!G8</f>
        <v>吸收存款及同业存放</v>
      </c>
      <c r="K10" s="131">
        <f t="shared" si="0"/>
        <v>4</v>
      </c>
      <c r="L10" s="254">
        <f>已审横向BS!K10</f>
        <v>0</v>
      </c>
      <c r="M10" s="265" t="str">
        <f t="shared" si="1"/>
        <v/>
      </c>
      <c r="N10" s="254">
        <f>已审横向BS!L10</f>
        <v>0</v>
      </c>
      <c r="O10" s="265" t="str">
        <f t="shared" si="2"/>
        <v/>
      </c>
      <c r="P10" s="255" t="str">
        <f t="shared" si="10"/>
        <v/>
      </c>
      <c r="Q10" s="692" t="str">
        <f t="shared" si="11"/>
        <v/>
      </c>
      <c r="R10" s="611"/>
    </row>
    <row r="11" spans="1:18" ht="13.9" customHeight="1">
      <c r="A11" s="129" t="str">
        <f>报表格式!B9</f>
        <v>交易性金融资产</v>
      </c>
      <c r="B11" s="130">
        <f t="shared" si="5"/>
        <v>5</v>
      </c>
      <c r="C11" s="254">
        <f>已审横向BS!C11</f>
        <v>0</v>
      </c>
      <c r="D11" s="265" t="str">
        <f t="shared" si="6"/>
        <v/>
      </c>
      <c r="E11" s="254">
        <f>已审横向BS!D11</f>
        <v>0</v>
      </c>
      <c r="F11" s="265" t="str">
        <f t="shared" si="7"/>
        <v/>
      </c>
      <c r="G11" s="255" t="str">
        <f t="shared" si="8"/>
        <v/>
      </c>
      <c r="H11" s="692" t="str">
        <f t="shared" si="9"/>
        <v/>
      </c>
      <c r="I11" s="132"/>
      <c r="J11" s="187" t="str">
        <f>报表格式!G9</f>
        <v>拆入资金</v>
      </c>
      <c r="K11" s="131">
        <f t="shared" si="0"/>
        <v>5</v>
      </c>
      <c r="L11" s="254">
        <f>已审横向BS!K11</f>
        <v>0</v>
      </c>
      <c r="M11" s="265" t="str">
        <f t="shared" si="1"/>
        <v/>
      </c>
      <c r="N11" s="254">
        <f>已审横向BS!L11</f>
        <v>0</v>
      </c>
      <c r="O11" s="265" t="str">
        <f t="shared" si="2"/>
        <v/>
      </c>
      <c r="P11" s="255" t="str">
        <f t="shared" si="10"/>
        <v/>
      </c>
      <c r="Q11" s="692" t="str">
        <f t="shared" si="11"/>
        <v/>
      </c>
      <c r="R11" s="611"/>
    </row>
    <row r="12" spans="1:18" ht="13.9" customHeight="1">
      <c r="A12" s="129" t="str">
        <f>报表格式!B10</f>
        <v>以公允价值计量且其变动计入当期损益的金融资产</v>
      </c>
      <c r="B12" s="130">
        <f t="shared" ref="B12:B25" si="12">B11+1</f>
        <v>6</v>
      </c>
      <c r="C12" s="254">
        <f>已审横向BS!C12</f>
        <v>0</v>
      </c>
      <c r="D12" s="265" t="str">
        <f t="shared" ref="D12:D17" si="13">IF(AND(C12&lt;&gt;0,$C$60&lt;&gt;0),C12/$C$60,"")</f>
        <v/>
      </c>
      <c r="E12" s="254">
        <f>已审横向BS!D12</f>
        <v>0</v>
      </c>
      <c r="F12" s="265" t="str">
        <f t="shared" ref="F12:F17" si="14">IF(AND(E12&lt;&gt;0,$E$60&lt;&gt;0),E12/$E$60,"")</f>
        <v/>
      </c>
      <c r="G12" s="255" t="str">
        <f t="shared" ref="G12:G23" si="15">IF(AND(D12="",F12=""),"",IF(D12="",F12,IF(F12="",-D12,F12-D12)))</f>
        <v/>
      </c>
      <c r="H12" s="692" t="str">
        <f t="shared" ref="H12:H23" si="16">IF(G12="","",IF(ABS(G12)&gt;=30%,"显著",IF(ABS(G12)&gt;=10%,"关注","")))</f>
        <v/>
      </c>
      <c r="I12" s="132"/>
      <c r="J12" s="187" t="str">
        <f>报表格式!G10</f>
        <v>交易性金融负债</v>
      </c>
      <c r="K12" s="131">
        <f t="shared" si="0"/>
        <v>6</v>
      </c>
      <c r="L12" s="254">
        <f>已审横向BS!K12</f>
        <v>0</v>
      </c>
      <c r="M12" s="265" t="str">
        <f t="shared" si="1"/>
        <v/>
      </c>
      <c r="N12" s="254">
        <f>已审横向BS!L12</f>
        <v>0</v>
      </c>
      <c r="O12" s="265" t="str">
        <f t="shared" si="2"/>
        <v/>
      </c>
      <c r="P12" s="255" t="str">
        <f t="shared" si="10"/>
        <v/>
      </c>
      <c r="Q12" s="692" t="str">
        <f t="shared" si="11"/>
        <v/>
      </c>
      <c r="R12" s="611"/>
    </row>
    <row r="13" spans="1:18" ht="13.9" customHeight="1">
      <c r="A13" s="129" t="str">
        <f>报表格式!B11</f>
        <v>衍生金融资产</v>
      </c>
      <c r="B13" s="130">
        <f t="shared" si="12"/>
        <v>7</v>
      </c>
      <c r="C13" s="254">
        <f>已审横向BS!C13</f>
        <v>0</v>
      </c>
      <c r="D13" s="265" t="str">
        <f t="shared" si="13"/>
        <v/>
      </c>
      <c r="E13" s="254">
        <f>已审横向BS!D13</f>
        <v>0</v>
      </c>
      <c r="F13" s="265" t="str">
        <f t="shared" si="14"/>
        <v/>
      </c>
      <c r="G13" s="255" t="str">
        <f t="shared" si="15"/>
        <v/>
      </c>
      <c r="H13" s="692" t="str">
        <f t="shared" si="16"/>
        <v/>
      </c>
      <c r="I13" s="132"/>
      <c r="J13" s="187" t="str">
        <f>报表格式!G11</f>
        <v>以公允价值计量且其变动计入当期损益的金融负债</v>
      </c>
      <c r="K13" s="131">
        <f t="shared" si="0"/>
        <v>7</v>
      </c>
      <c r="L13" s="254">
        <f>已审横向BS!K13</f>
        <v>0</v>
      </c>
      <c r="M13" s="265" t="str">
        <f t="shared" si="1"/>
        <v/>
      </c>
      <c r="N13" s="254">
        <f>已审横向BS!L13</f>
        <v>0</v>
      </c>
      <c r="O13" s="265" t="str">
        <f t="shared" si="2"/>
        <v/>
      </c>
      <c r="P13" s="255" t="str">
        <f t="shared" ref="P13:P25" si="17">IF(AND(M13="",O13=""),"",IF(M13="",O13,IF(O13="",-M13,O13-M13)))</f>
        <v/>
      </c>
      <c r="Q13" s="692" t="str">
        <f t="shared" ref="Q13:Q25" si="18">IF(P13="","",IF(ABS(P13)&gt;=30%,"显著",IF(ABS(P13)&gt;=10%,"关注","")))</f>
        <v/>
      </c>
      <c r="R13" s="611"/>
    </row>
    <row r="14" spans="1:18" ht="13.9" customHeight="1">
      <c r="A14" s="129" t="str">
        <f>报表格式!B12</f>
        <v>应收票据</v>
      </c>
      <c r="B14" s="130">
        <f t="shared" si="12"/>
        <v>8</v>
      </c>
      <c r="C14" s="254">
        <f>已审横向BS!C14</f>
        <v>0</v>
      </c>
      <c r="D14" s="265" t="str">
        <f t="shared" si="13"/>
        <v/>
      </c>
      <c r="E14" s="254">
        <f>已审横向BS!D14</f>
        <v>0</v>
      </c>
      <c r="F14" s="265" t="str">
        <f t="shared" si="14"/>
        <v/>
      </c>
      <c r="G14" s="255" t="str">
        <f t="shared" si="15"/>
        <v/>
      </c>
      <c r="H14" s="692" t="str">
        <f t="shared" si="16"/>
        <v/>
      </c>
      <c r="I14" s="132"/>
      <c r="J14" s="187" t="str">
        <f>报表格式!G12</f>
        <v>衍生金融负债</v>
      </c>
      <c r="K14" s="131">
        <f t="shared" si="0"/>
        <v>8</v>
      </c>
      <c r="L14" s="254">
        <f>已审横向BS!K14</f>
        <v>0</v>
      </c>
      <c r="M14" s="265" t="str">
        <f t="shared" si="1"/>
        <v/>
      </c>
      <c r="N14" s="254">
        <f>已审横向BS!L14</f>
        <v>0</v>
      </c>
      <c r="O14" s="265" t="str">
        <f t="shared" si="2"/>
        <v/>
      </c>
      <c r="P14" s="255" t="str">
        <f t="shared" si="17"/>
        <v/>
      </c>
      <c r="Q14" s="692" t="str">
        <f t="shared" si="18"/>
        <v/>
      </c>
      <c r="R14" s="611"/>
    </row>
    <row r="15" spans="1:18" ht="13.9" customHeight="1">
      <c r="A15" s="129" t="str">
        <f>报表格式!B13</f>
        <v>应收账款</v>
      </c>
      <c r="B15" s="130">
        <f t="shared" si="12"/>
        <v>9</v>
      </c>
      <c r="C15" s="254">
        <f>已审横向BS!C15</f>
        <v>0</v>
      </c>
      <c r="D15" s="265" t="str">
        <f t="shared" si="13"/>
        <v/>
      </c>
      <c r="E15" s="254">
        <f>已审横向BS!D15</f>
        <v>0</v>
      </c>
      <c r="F15" s="265" t="str">
        <f t="shared" si="14"/>
        <v/>
      </c>
      <c r="G15" s="255" t="str">
        <f t="shared" si="15"/>
        <v/>
      </c>
      <c r="H15" s="692" t="str">
        <f t="shared" si="16"/>
        <v/>
      </c>
      <c r="I15" s="132"/>
      <c r="J15" s="187" t="str">
        <f>报表格式!G13</f>
        <v>应付票据</v>
      </c>
      <c r="K15" s="131">
        <f t="shared" si="0"/>
        <v>9</v>
      </c>
      <c r="L15" s="254">
        <f>已审横向BS!K15</f>
        <v>0</v>
      </c>
      <c r="M15" s="265" t="str">
        <f t="shared" si="1"/>
        <v/>
      </c>
      <c r="N15" s="254">
        <f>已审横向BS!L15</f>
        <v>0</v>
      </c>
      <c r="O15" s="265" t="str">
        <f t="shared" si="2"/>
        <v/>
      </c>
      <c r="P15" s="255" t="str">
        <f t="shared" si="17"/>
        <v/>
      </c>
      <c r="Q15" s="692" t="str">
        <f t="shared" si="18"/>
        <v/>
      </c>
      <c r="R15" s="611"/>
    </row>
    <row r="16" spans="1:18" ht="13.9" customHeight="1">
      <c r="A16" s="129" t="str">
        <f>报表格式!B14</f>
        <v>应收款项融资</v>
      </c>
      <c r="B16" s="130">
        <f t="shared" si="12"/>
        <v>10</v>
      </c>
      <c r="C16" s="254">
        <f>已审横向BS!C16</f>
        <v>0</v>
      </c>
      <c r="D16" s="265" t="str">
        <f t="shared" si="13"/>
        <v/>
      </c>
      <c r="E16" s="254">
        <f>已审横向BS!D16</f>
        <v>0</v>
      </c>
      <c r="F16" s="265" t="str">
        <f t="shared" si="14"/>
        <v/>
      </c>
      <c r="G16" s="255" t="str">
        <f t="shared" si="15"/>
        <v/>
      </c>
      <c r="H16" s="692" t="str">
        <f t="shared" si="16"/>
        <v/>
      </c>
      <c r="I16" s="132"/>
      <c r="J16" s="187" t="str">
        <f>报表格式!G14</f>
        <v>应付账款</v>
      </c>
      <c r="K16" s="131">
        <f t="shared" si="0"/>
        <v>10</v>
      </c>
      <c r="L16" s="254">
        <f>已审横向BS!K16</f>
        <v>0</v>
      </c>
      <c r="M16" s="265" t="str">
        <f t="shared" si="1"/>
        <v/>
      </c>
      <c r="N16" s="254">
        <f>已审横向BS!L16</f>
        <v>0</v>
      </c>
      <c r="O16" s="265" t="str">
        <f t="shared" si="2"/>
        <v/>
      </c>
      <c r="P16" s="255" t="str">
        <f t="shared" si="17"/>
        <v/>
      </c>
      <c r="Q16" s="692" t="str">
        <f t="shared" si="18"/>
        <v/>
      </c>
      <c r="R16" s="611"/>
    </row>
    <row r="17" spans="1:18" ht="13.9" customHeight="1">
      <c r="A17" s="129" t="str">
        <f>报表格式!B15</f>
        <v>预付款项</v>
      </c>
      <c r="B17" s="130">
        <f t="shared" si="12"/>
        <v>11</v>
      </c>
      <c r="C17" s="254">
        <f>已审横向BS!C17</f>
        <v>0</v>
      </c>
      <c r="D17" s="265" t="str">
        <f t="shared" si="13"/>
        <v/>
      </c>
      <c r="E17" s="254">
        <f>已审横向BS!D17</f>
        <v>0</v>
      </c>
      <c r="F17" s="265" t="str">
        <f t="shared" si="14"/>
        <v/>
      </c>
      <c r="G17" s="255" t="str">
        <f t="shared" si="15"/>
        <v/>
      </c>
      <c r="H17" s="692" t="str">
        <f t="shared" si="16"/>
        <v/>
      </c>
      <c r="I17" s="132"/>
      <c r="J17" s="187" t="str">
        <f>报表格式!G15</f>
        <v>预收款项</v>
      </c>
      <c r="K17" s="131">
        <f t="shared" si="0"/>
        <v>11</v>
      </c>
      <c r="L17" s="254">
        <f>已审横向BS!K17</f>
        <v>0</v>
      </c>
      <c r="M17" s="265" t="str">
        <f t="shared" si="1"/>
        <v/>
      </c>
      <c r="N17" s="254">
        <f>已审横向BS!L17</f>
        <v>0</v>
      </c>
      <c r="O17" s="265" t="str">
        <f t="shared" si="2"/>
        <v/>
      </c>
      <c r="P17" s="255" t="str">
        <f t="shared" si="17"/>
        <v/>
      </c>
      <c r="Q17" s="692" t="str">
        <f t="shared" si="18"/>
        <v/>
      </c>
      <c r="R17" s="611"/>
    </row>
    <row r="18" spans="1:18" ht="13.9" customHeight="1">
      <c r="A18" s="129" t="str">
        <f>报表格式!B16</f>
        <v>应收保费</v>
      </c>
      <c r="B18" s="130">
        <f t="shared" si="12"/>
        <v>12</v>
      </c>
      <c r="C18" s="254">
        <f>已审横向BS!C18</f>
        <v>0</v>
      </c>
      <c r="D18" s="265" t="str">
        <f t="shared" ref="D18:D21" si="19">IF(AND(C18&lt;&gt;0,$C$60&lt;&gt;0),C18/$C$60,"")</f>
        <v/>
      </c>
      <c r="E18" s="254">
        <f>已审横向BS!D18</f>
        <v>0</v>
      </c>
      <c r="F18" s="265" t="str">
        <f t="shared" ref="F18:F21" si="20">IF(AND(E18&lt;&gt;0,$E$60&lt;&gt;0),E18/$E$60,"")</f>
        <v/>
      </c>
      <c r="G18" s="255" t="str">
        <f t="shared" ref="G18:G21" si="21">IF(AND(D18="",F18=""),"",IF(D18="",F18,IF(F18="",-D18,F18-D18)))</f>
        <v/>
      </c>
      <c r="H18" s="692" t="str">
        <f t="shared" ref="H18:H21" si="22">IF(G18="","",IF(ABS(G18)&gt;=30%,"显著",IF(ABS(G18)&gt;=10%,"关注","")))</f>
        <v/>
      </c>
      <c r="I18" s="132"/>
      <c r="J18" s="187" t="str">
        <f>报表格式!G16</f>
        <v>卖出回购金融资产款</v>
      </c>
      <c r="K18" s="131">
        <f t="shared" si="0"/>
        <v>12</v>
      </c>
      <c r="L18" s="254">
        <f>已审横向BS!K18</f>
        <v>0</v>
      </c>
      <c r="M18" s="265" t="str">
        <f t="shared" si="1"/>
        <v/>
      </c>
      <c r="N18" s="254">
        <f>已审横向BS!L18</f>
        <v>0</v>
      </c>
      <c r="O18" s="265" t="str">
        <f t="shared" si="2"/>
        <v/>
      </c>
      <c r="P18" s="255" t="str">
        <f t="shared" ref="P18:P20" si="23">IF(AND(M18="",O18=""),"",IF(M18="",O18,IF(O18="",-M18,O18-M18)))</f>
        <v/>
      </c>
      <c r="Q18" s="692" t="str">
        <f t="shared" ref="Q18:Q20" si="24">IF(P18="","",IF(ABS(P18)&gt;=30%,"显著",IF(ABS(P18)&gt;=10%,"关注","")))</f>
        <v/>
      </c>
      <c r="R18" s="611"/>
    </row>
    <row r="19" spans="1:18" ht="13.9" customHeight="1">
      <c r="A19" s="129" t="str">
        <f>报表格式!B17</f>
        <v>应收分保账款</v>
      </c>
      <c r="B19" s="130">
        <f t="shared" si="12"/>
        <v>13</v>
      </c>
      <c r="C19" s="254">
        <f>已审横向BS!C19</f>
        <v>0</v>
      </c>
      <c r="D19" s="265" t="str">
        <f t="shared" si="19"/>
        <v/>
      </c>
      <c r="E19" s="254">
        <f>已审横向BS!D19</f>
        <v>0</v>
      </c>
      <c r="F19" s="265" t="str">
        <f t="shared" si="20"/>
        <v/>
      </c>
      <c r="G19" s="255" t="str">
        <f t="shared" si="21"/>
        <v/>
      </c>
      <c r="H19" s="692" t="str">
        <f t="shared" si="22"/>
        <v/>
      </c>
      <c r="I19" s="132"/>
      <c r="J19" s="187" t="str">
        <f>报表格式!G17</f>
        <v>应付手续费及佣金</v>
      </c>
      <c r="K19" s="131">
        <f t="shared" si="0"/>
        <v>13</v>
      </c>
      <c r="L19" s="254">
        <f>已审横向BS!K19</f>
        <v>0</v>
      </c>
      <c r="M19" s="265" t="str">
        <f t="shared" si="1"/>
        <v/>
      </c>
      <c r="N19" s="254">
        <f>已审横向BS!L19</f>
        <v>0</v>
      </c>
      <c r="O19" s="265" t="str">
        <f t="shared" si="2"/>
        <v/>
      </c>
      <c r="P19" s="255" t="str">
        <f t="shared" si="23"/>
        <v/>
      </c>
      <c r="Q19" s="692" t="str">
        <f t="shared" si="24"/>
        <v/>
      </c>
      <c r="R19" s="611"/>
    </row>
    <row r="20" spans="1:18" ht="13.9" customHeight="1">
      <c r="A20" s="129" t="str">
        <f>报表格式!B18</f>
        <v>应收分保准备金</v>
      </c>
      <c r="B20" s="130">
        <f t="shared" si="12"/>
        <v>14</v>
      </c>
      <c r="C20" s="254">
        <f>已审横向BS!C20</f>
        <v>0</v>
      </c>
      <c r="D20" s="265" t="str">
        <f t="shared" si="19"/>
        <v/>
      </c>
      <c r="E20" s="254">
        <f>已审横向BS!D20</f>
        <v>0</v>
      </c>
      <c r="F20" s="265" t="str">
        <f t="shared" si="20"/>
        <v/>
      </c>
      <c r="G20" s="255" t="str">
        <f t="shared" si="21"/>
        <v/>
      </c>
      <c r="H20" s="692" t="str">
        <f t="shared" si="22"/>
        <v/>
      </c>
      <c r="I20" s="132"/>
      <c r="J20" s="187" t="str">
        <f>报表格式!G18</f>
        <v>合同负债</v>
      </c>
      <c r="K20" s="131">
        <f t="shared" si="0"/>
        <v>14</v>
      </c>
      <c r="L20" s="254">
        <f>已审横向BS!K20</f>
        <v>0</v>
      </c>
      <c r="M20" s="265" t="str">
        <f t="shared" si="1"/>
        <v/>
      </c>
      <c r="N20" s="254">
        <f>已审横向BS!L20</f>
        <v>0</v>
      </c>
      <c r="O20" s="265" t="str">
        <f t="shared" si="2"/>
        <v/>
      </c>
      <c r="P20" s="255" t="str">
        <f t="shared" si="23"/>
        <v/>
      </c>
      <c r="Q20" s="692" t="str">
        <f t="shared" si="24"/>
        <v/>
      </c>
      <c r="R20" s="611"/>
    </row>
    <row r="21" spans="1:18" ht="13.9" customHeight="1">
      <c r="A21" s="129" t="str">
        <f>报表格式!B19</f>
        <v>其他应收款</v>
      </c>
      <c r="B21" s="130">
        <f t="shared" si="12"/>
        <v>15</v>
      </c>
      <c r="C21" s="254">
        <f>已审横向BS!C21</f>
        <v>0</v>
      </c>
      <c r="D21" s="265" t="str">
        <f t="shared" si="19"/>
        <v/>
      </c>
      <c r="E21" s="254">
        <f>已审横向BS!D21</f>
        <v>0</v>
      </c>
      <c r="F21" s="265" t="str">
        <f t="shared" si="20"/>
        <v/>
      </c>
      <c r="G21" s="255" t="str">
        <f t="shared" si="21"/>
        <v/>
      </c>
      <c r="H21" s="692" t="str">
        <f t="shared" si="22"/>
        <v/>
      </c>
      <c r="I21" s="132"/>
      <c r="J21" s="187" t="str">
        <f>报表格式!G19</f>
        <v>应付职工薪酬</v>
      </c>
      <c r="K21" s="131">
        <f t="shared" si="0"/>
        <v>15</v>
      </c>
      <c r="L21" s="254">
        <f>已审横向BS!K21</f>
        <v>0</v>
      </c>
      <c r="M21" s="265" t="str">
        <f t="shared" si="1"/>
        <v/>
      </c>
      <c r="N21" s="254">
        <f>已审横向BS!L21</f>
        <v>0</v>
      </c>
      <c r="O21" s="265" t="str">
        <f t="shared" si="2"/>
        <v/>
      </c>
      <c r="P21" s="255" t="str">
        <f t="shared" si="17"/>
        <v/>
      </c>
      <c r="Q21" s="692" t="str">
        <f t="shared" si="18"/>
        <v/>
      </c>
      <c r="R21" s="611"/>
    </row>
    <row r="22" spans="1:18" ht="13.9" customHeight="1">
      <c r="A22" s="129" t="str">
        <f>报表格式!B20</f>
        <v xml:space="preserve">  其中：应收利息</v>
      </c>
      <c r="B22" s="130">
        <f t="shared" si="12"/>
        <v>16</v>
      </c>
      <c r="C22" s="254">
        <f>已审横向BS!C22</f>
        <v>0</v>
      </c>
      <c r="D22" s="265" t="str">
        <f>IF(AND(C22&lt;&gt;0,$C$60&lt;&gt;0),C22/$C$60,"")</f>
        <v/>
      </c>
      <c r="E22" s="254">
        <f>已审横向BS!D22</f>
        <v>0</v>
      </c>
      <c r="F22" s="265" t="str">
        <f>IF(AND(E22&lt;&gt;0,$E$60&lt;&gt;0),E22/$E$60,"")</f>
        <v/>
      </c>
      <c r="G22" s="255" t="str">
        <f t="shared" si="15"/>
        <v/>
      </c>
      <c r="H22" s="692" t="str">
        <f t="shared" si="16"/>
        <v/>
      </c>
      <c r="I22" s="132"/>
      <c r="J22" s="187" t="str">
        <f>报表格式!G20</f>
        <v>应交税费</v>
      </c>
      <c r="K22" s="131">
        <f t="shared" si="0"/>
        <v>16</v>
      </c>
      <c r="L22" s="254">
        <f>已审横向BS!K22</f>
        <v>0</v>
      </c>
      <c r="M22" s="265" t="str">
        <f t="shared" si="1"/>
        <v/>
      </c>
      <c r="N22" s="254">
        <f>已审横向BS!L22</f>
        <v>0</v>
      </c>
      <c r="O22" s="265" t="str">
        <f t="shared" si="2"/>
        <v/>
      </c>
      <c r="P22" s="255" t="str">
        <f t="shared" si="17"/>
        <v/>
      </c>
      <c r="Q22" s="692" t="str">
        <f t="shared" si="18"/>
        <v/>
      </c>
      <c r="R22" s="611"/>
    </row>
    <row r="23" spans="1:18" ht="13.9" customHeight="1">
      <c r="A23" s="129" t="str">
        <f>报表格式!B21</f>
        <v xml:space="preserve">        应收股利</v>
      </c>
      <c r="B23" s="130">
        <f t="shared" si="12"/>
        <v>17</v>
      </c>
      <c r="C23" s="254">
        <f>已审横向BS!C23</f>
        <v>0</v>
      </c>
      <c r="D23" s="265" t="str">
        <f>IF(AND(C23&lt;&gt;0,$C$60&lt;&gt;0),C23/$C$60,"")</f>
        <v/>
      </c>
      <c r="E23" s="254">
        <f>已审横向BS!D23</f>
        <v>0</v>
      </c>
      <c r="F23" s="265" t="str">
        <f>IF(AND(E23&lt;&gt;0,$E$60&lt;&gt;0),E23/$E$60,"")</f>
        <v/>
      </c>
      <c r="G23" s="255" t="str">
        <f t="shared" si="15"/>
        <v/>
      </c>
      <c r="H23" s="692" t="str">
        <f t="shared" si="16"/>
        <v/>
      </c>
      <c r="I23" s="132"/>
      <c r="J23" s="187" t="str">
        <f>报表格式!G21</f>
        <v>其他应付款</v>
      </c>
      <c r="K23" s="131">
        <f t="shared" si="0"/>
        <v>17</v>
      </c>
      <c r="L23" s="254">
        <f>已审横向BS!K23</f>
        <v>0</v>
      </c>
      <c r="M23" s="265" t="str">
        <f t="shared" si="1"/>
        <v/>
      </c>
      <c r="N23" s="254">
        <f>已审横向BS!L23</f>
        <v>0</v>
      </c>
      <c r="O23" s="265" t="str">
        <f t="shared" si="2"/>
        <v/>
      </c>
      <c r="P23" s="255" t="str">
        <f t="shared" si="17"/>
        <v/>
      </c>
      <c r="Q23" s="692" t="str">
        <f t="shared" si="18"/>
        <v/>
      </c>
      <c r="R23" s="611"/>
    </row>
    <row r="24" spans="1:18" ht="13.9" customHeight="1">
      <c r="A24" s="129" t="str">
        <f>报表格式!B22</f>
        <v>买入返售金融资产</v>
      </c>
      <c r="B24" s="130">
        <f t="shared" si="12"/>
        <v>18</v>
      </c>
      <c r="C24" s="254">
        <f>已审横向BS!C24</f>
        <v>0</v>
      </c>
      <c r="D24" s="265" t="str">
        <f t="shared" ref="D24:D25" si="25">IF(AND(C24&lt;&gt;0,$C$60&lt;&gt;0),C24/$C$60,"")</f>
        <v/>
      </c>
      <c r="E24" s="254">
        <f>已审横向BS!D24</f>
        <v>0</v>
      </c>
      <c r="F24" s="265" t="str">
        <f t="shared" ref="F24:F25" si="26">IF(AND(E24&lt;&gt;0,$E$60&lt;&gt;0),E24/$E$60,"")</f>
        <v/>
      </c>
      <c r="G24" s="255" t="str">
        <f t="shared" ref="G24:G25" si="27">IF(AND(D24="",F24=""),"",IF(D24="",F24,IF(F24="",-D24,F24-D24)))</f>
        <v/>
      </c>
      <c r="H24" s="692" t="str">
        <f t="shared" ref="H24:H25" si="28">IF(G24="","",IF(ABS(G24)&gt;=30%,"显著",IF(ABS(G24)&gt;=10%,"关注","")))</f>
        <v/>
      </c>
      <c r="I24" s="132"/>
      <c r="J24" s="187" t="str">
        <f>报表格式!G22</f>
        <v xml:space="preserve">  其中：应付利息</v>
      </c>
      <c r="K24" s="131">
        <f t="shared" si="0"/>
        <v>18</v>
      </c>
      <c r="L24" s="254">
        <f>已审横向BS!K24</f>
        <v>0</v>
      </c>
      <c r="M24" s="265" t="str">
        <f t="shared" si="1"/>
        <v/>
      </c>
      <c r="N24" s="254">
        <f>已审横向BS!L24</f>
        <v>0</v>
      </c>
      <c r="O24" s="265" t="str">
        <f t="shared" si="2"/>
        <v/>
      </c>
      <c r="P24" s="255" t="str">
        <f t="shared" si="17"/>
        <v/>
      </c>
      <c r="Q24" s="692" t="str">
        <f t="shared" si="18"/>
        <v/>
      </c>
      <c r="R24" s="611"/>
    </row>
    <row r="25" spans="1:18" ht="13.9" customHeight="1">
      <c r="A25" s="129" t="str">
        <f>报表格式!B23</f>
        <v>存货</v>
      </c>
      <c r="B25" s="130">
        <f t="shared" si="12"/>
        <v>19</v>
      </c>
      <c r="C25" s="254">
        <f>已审横向BS!C25</f>
        <v>0</v>
      </c>
      <c r="D25" s="265" t="str">
        <f t="shared" si="25"/>
        <v/>
      </c>
      <c r="E25" s="254">
        <f>已审横向BS!D25</f>
        <v>0</v>
      </c>
      <c r="F25" s="265" t="str">
        <f t="shared" si="26"/>
        <v/>
      </c>
      <c r="G25" s="255" t="str">
        <f t="shared" si="27"/>
        <v/>
      </c>
      <c r="H25" s="692" t="str">
        <f t="shared" si="28"/>
        <v/>
      </c>
      <c r="I25" s="132"/>
      <c r="J25" s="187" t="str">
        <f>报表格式!G23</f>
        <v xml:space="preserve">        应付股利</v>
      </c>
      <c r="K25" s="131">
        <f t="shared" si="0"/>
        <v>19</v>
      </c>
      <c r="L25" s="254">
        <f>已审横向BS!K25</f>
        <v>0</v>
      </c>
      <c r="M25" s="265" t="str">
        <f t="shared" si="1"/>
        <v/>
      </c>
      <c r="N25" s="254">
        <f>已审横向BS!L25</f>
        <v>0</v>
      </c>
      <c r="O25" s="265" t="str">
        <f t="shared" si="2"/>
        <v/>
      </c>
      <c r="P25" s="255" t="str">
        <f t="shared" si="17"/>
        <v/>
      </c>
      <c r="Q25" s="692" t="str">
        <f t="shared" si="18"/>
        <v/>
      </c>
      <c r="R25" s="611"/>
    </row>
    <row r="26" spans="1:18" ht="13.9" customHeight="1">
      <c r="A26" s="129" t="str">
        <f>报表格式!B24</f>
        <v>合同资产</v>
      </c>
      <c r="B26" s="130">
        <f t="shared" ref="B26:B60" si="29">B25+1</f>
        <v>20</v>
      </c>
      <c r="C26" s="254">
        <f>已审横向BS!C26</f>
        <v>0</v>
      </c>
      <c r="D26" s="265" t="str">
        <f>IF(AND(C26&lt;&gt;0,$C$60&lt;&gt;0),C26/$C$60,"")</f>
        <v/>
      </c>
      <c r="E26" s="254">
        <f>已审横向BS!D26</f>
        <v>0</v>
      </c>
      <c r="F26" s="265" t="str">
        <f t="shared" ref="F26:F32" si="30">IF(AND(E26&lt;&gt;0,$E$60&lt;&gt;0),E26/$E$60,"")</f>
        <v/>
      </c>
      <c r="G26" s="255" t="str">
        <f t="shared" ref="G26:G60" si="31">IF(AND(D26="",F26=""),"",IF(D26="",F26,IF(F26="",-D26,F26-D26)))</f>
        <v/>
      </c>
      <c r="H26" s="692" t="str">
        <f t="shared" ref="H26:H60" si="32">IF(G26="","",IF(ABS(G26)&gt;=30%,"显著",IF(ABS(G26)&gt;=10%,"关注","")))</f>
        <v/>
      </c>
      <c r="I26" s="132"/>
      <c r="J26" s="187" t="str">
        <f>报表格式!G24</f>
        <v>应付分保账款</v>
      </c>
      <c r="K26" s="131">
        <f t="shared" si="0"/>
        <v>20</v>
      </c>
      <c r="L26" s="254">
        <f>已审横向BS!K26</f>
        <v>0</v>
      </c>
      <c r="M26" s="265" t="str">
        <f t="shared" ref="M26:M30" si="33">IF(AND(L26&lt;&gt;0,$L$63&lt;&gt;0),L26/$L$63,"")</f>
        <v/>
      </c>
      <c r="N26" s="254">
        <f>已审横向BS!L26</f>
        <v>0</v>
      </c>
      <c r="O26" s="265" t="str">
        <f t="shared" ref="O26:O30" si="34">IF(AND(N26&lt;&gt;0,$N$63&lt;&gt;0),N26/$N$63,"")</f>
        <v/>
      </c>
      <c r="P26" s="255" t="str">
        <f t="shared" ref="P26:P30" si="35">IF(AND(M26="",O26=""),"",IF(M26="",O26,IF(O26="",-M26,O26-M26)))</f>
        <v/>
      </c>
      <c r="Q26" s="692" t="str">
        <f t="shared" ref="Q26:Q30" si="36">IF(P26="","",IF(ABS(P26)&gt;=30%,"显著",IF(ABS(P26)&gt;=10%,"关注","")))</f>
        <v/>
      </c>
      <c r="R26" s="611"/>
    </row>
    <row r="27" spans="1:18" ht="13.9" customHeight="1">
      <c r="A27" s="129" t="str">
        <f>报表格式!B25</f>
        <v>持有待售资产</v>
      </c>
      <c r="B27" s="130">
        <f t="shared" si="29"/>
        <v>21</v>
      </c>
      <c r="C27" s="254">
        <f>已审横向BS!C27</f>
        <v>0</v>
      </c>
      <c r="D27" s="265" t="str">
        <f>IF(AND(C27&lt;&gt;0,$C$60&lt;&gt;0),C27/$C$60,"")</f>
        <v/>
      </c>
      <c r="E27" s="254">
        <f>已审横向BS!D27</f>
        <v>0</v>
      </c>
      <c r="F27" s="265" t="str">
        <f t="shared" si="30"/>
        <v/>
      </c>
      <c r="G27" s="255" t="str">
        <f t="shared" si="31"/>
        <v/>
      </c>
      <c r="H27" s="692" t="str">
        <f t="shared" si="32"/>
        <v/>
      </c>
      <c r="I27" s="132"/>
      <c r="J27" s="187" t="str">
        <f>报表格式!G25</f>
        <v>保险合同准备金</v>
      </c>
      <c r="K27" s="131">
        <f t="shared" si="0"/>
        <v>21</v>
      </c>
      <c r="L27" s="254">
        <f>已审横向BS!K27</f>
        <v>0</v>
      </c>
      <c r="M27" s="265" t="str">
        <f t="shared" si="33"/>
        <v/>
      </c>
      <c r="N27" s="254">
        <f>已审横向BS!L27</f>
        <v>0</v>
      </c>
      <c r="O27" s="265" t="str">
        <f t="shared" si="34"/>
        <v/>
      </c>
      <c r="P27" s="255" t="str">
        <f t="shared" si="35"/>
        <v/>
      </c>
      <c r="Q27" s="692" t="str">
        <f t="shared" si="36"/>
        <v/>
      </c>
      <c r="R27" s="611"/>
    </row>
    <row r="28" spans="1:18" ht="13.9" customHeight="1">
      <c r="A28" s="129" t="str">
        <f>报表格式!B26</f>
        <v>一年内到期的非流动资产</v>
      </c>
      <c r="B28" s="130">
        <f t="shared" si="29"/>
        <v>22</v>
      </c>
      <c r="C28" s="254">
        <f>已审横向BS!C28</f>
        <v>0</v>
      </c>
      <c r="D28" s="265"/>
      <c r="E28" s="254">
        <f>已审横向BS!D28</f>
        <v>0</v>
      </c>
      <c r="F28" s="265" t="str">
        <f t="shared" si="30"/>
        <v/>
      </c>
      <c r="G28" s="255" t="str">
        <f t="shared" ref="G28" si="37">IF(AND(D28="",F28=""),"",IF(D28="",F28,IF(F28="",-D28,F28-D28)))</f>
        <v/>
      </c>
      <c r="H28" s="692" t="str">
        <f t="shared" ref="H28" si="38">IF(G28="","",IF(ABS(G28)&gt;=30%,"显著",IF(ABS(G28)&gt;=10%,"关注","")))</f>
        <v/>
      </c>
      <c r="I28" s="132"/>
      <c r="J28" s="187" t="str">
        <f>报表格式!G26</f>
        <v>代理买卖证券款</v>
      </c>
      <c r="K28" s="131">
        <f t="shared" si="0"/>
        <v>22</v>
      </c>
      <c r="L28" s="254">
        <f>已审横向BS!K28</f>
        <v>0</v>
      </c>
      <c r="M28" s="265" t="str">
        <f t="shared" si="33"/>
        <v/>
      </c>
      <c r="N28" s="254">
        <f>已审横向BS!L28</f>
        <v>0</v>
      </c>
      <c r="O28" s="265" t="str">
        <f t="shared" si="34"/>
        <v/>
      </c>
      <c r="P28" s="255" t="str">
        <f t="shared" si="35"/>
        <v/>
      </c>
      <c r="Q28" s="692" t="str">
        <f t="shared" si="36"/>
        <v/>
      </c>
      <c r="R28" s="611"/>
    </row>
    <row r="29" spans="1:18" ht="13.9" customHeight="1">
      <c r="A29" s="129" t="str">
        <f>报表格式!B27</f>
        <v>其他流动资产</v>
      </c>
      <c r="B29" s="130">
        <f t="shared" si="29"/>
        <v>23</v>
      </c>
      <c r="C29" s="254">
        <f>已审横向BS!C29</f>
        <v>0</v>
      </c>
      <c r="D29" s="265" t="str">
        <f>IF(AND(C29&lt;&gt;0,$C$60&lt;&gt;0),C29/$C$60,"")</f>
        <v/>
      </c>
      <c r="E29" s="254">
        <f>已审横向BS!D29</f>
        <v>0</v>
      </c>
      <c r="F29" s="265" t="str">
        <f t="shared" si="30"/>
        <v/>
      </c>
      <c r="G29" s="255" t="str">
        <f>IF(AND(D29="",F29=""),"",IF(D29="",F29,IF(F29="",-D29,F29-D29)))</f>
        <v/>
      </c>
      <c r="H29" s="692" t="str">
        <f>IF(G29="","",IF(ABS(G29)&gt;=30%,"显著",IF(ABS(G29)&gt;=10%,"关注","")))</f>
        <v/>
      </c>
      <c r="I29" s="132"/>
      <c r="J29" s="187" t="str">
        <f>报表格式!G27</f>
        <v>代理承销证券款</v>
      </c>
      <c r="K29" s="131">
        <f t="shared" si="0"/>
        <v>23</v>
      </c>
      <c r="L29" s="254">
        <f>已审横向BS!K29</f>
        <v>0</v>
      </c>
      <c r="M29" s="265" t="str">
        <f t="shared" si="33"/>
        <v/>
      </c>
      <c r="N29" s="254">
        <f>已审横向BS!L29</f>
        <v>0</v>
      </c>
      <c r="O29" s="265" t="str">
        <f t="shared" si="34"/>
        <v/>
      </c>
      <c r="P29" s="255" t="str">
        <f t="shared" si="35"/>
        <v/>
      </c>
      <c r="Q29" s="692" t="str">
        <f t="shared" si="36"/>
        <v/>
      </c>
      <c r="R29" s="611"/>
    </row>
    <row r="30" spans="1:18" ht="13.9" customHeight="1">
      <c r="A30" s="129">
        <f>报表格式!B28</f>
        <v>0</v>
      </c>
      <c r="B30" s="130">
        <f t="shared" si="29"/>
        <v>24</v>
      </c>
      <c r="C30" s="254">
        <f>已审横向BS!C30</f>
        <v>0</v>
      </c>
      <c r="D30" s="265" t="str">
        <f>IF(AND(C30&lt;&gt;0,$C$60&lt;&gt;0),C30/$C$60,"")</f>
        <v/>
      </c>
      <c r="E30" s="254">
        <f>已审横向BS!D30</f>
        <v>0</v>
      </c>
      <c r="F30" s="265" t="str">
        <f t="shared" si="30"/>
        <v/>
      </c>
      <c r="G30" s="255" t="str">
        <f>IF(AND(D30="",F30=""),"",IF(D30="",F30,IF(F30="",-D30,F30-D30)))</f>
        <v/>
      </c>
      <c r="H30" s="692" t="str">
        <f>IF(G30="","",IF(ABS(G30)&gt;=30%,"显著",IF(ABS(G30)&gt;=10%,"关注","")))</f>
        <v/>
      </c>
      <c r="I30" s="132"/>
      <c r="J30" s="187" t="str">
        <f>报表格式!G28</f>
        <v>持有待售负债</v>
      </c>
      <c r="K30" s="131">
        <f t="shared" si="0"/>
        <v>24</v>
      </c>
      <c r="L30" s="254">
        <f>已审横向BS!K30</f>
        <v>0</v>
      </c>
      <c r="M30" s="265" t="str">
        <f t="shared" si="33"/>
        <v/>
      </c>
      <c r="N30" s="254">
        <f>已审横向BS!L30</f>
        <v>0</v>
      </c>
      <c r="O30" s="265" t="str">
        <f t="shared" si="34"/>
        <v/>
      </c>
      <c r="P30" s="255" t="str">
        <f t="shared" si="35"/>
        <v/>
      </c>
      <c r="Q30" s="692" t="str">
        <f t="shared" si="36"/>
        <v/>
      </c>
      <c r="R30" s="611"/>
    </row>
    <row r="31" spans="1:18" ht="13.9" customHeight="1">
      <c r="A31" s="129">
        <f>报表格式!B29</f>
        <v>0</v>
      </c>
      <c r="B31" s="130">
        <f t="shared" si="29"/>
        <v>25</v>
      </c>
      <c r="C31" s="254">
        <f>已审横向BS!C31</f>
        <v>0</v>
      </c>
      <c r="D31" s="265" t="str">
        <f>IF(AND(C31&lt;&gt;0,$C$60&lt;&gt;0),C31/$C$60,"")</f>
        <v/>
      </c>
      <c r="E31" s="254">
        <f>已审横向BS!D31</f>
        <v>0</v>
      </c>
      <c r="F31" s="265" t="str">
        <f t="shared" si="30"/>
        <v/>
      </c>
      <c r="G31" s="255" t="str">
        <f>IF(AND(D31="",F31=""),"",IF(D31="",F31,IF(F31="",-D31,F31-D31)))</f>
        <v/>
      </c>
      <c r="H31" s="692" t="str">
        <f>IF(G31="","",IF(ABS(G31)&gt;=30%,"显著",IF(ABS(G31)&gt;=10%,"关注","")))</f>
        <v/>
      </c>
      <c r="I31" s="132"/>
      <c r="J31" s="187" t="str">
        <f>报表格式!G29</f>
        <v>一年内到期的非流动负债</v>
      </c>
      <c r="K31" s="131">
        <f t="shared" si="0"/>
        <v>25</v>
      </c>
      <c r="L31" s="254">
        <f>已审横向BS!K31</f>
        <v>0</v>
      </c>
      <c r="M31" s="265" t="str">
        <f>IF(AND(L31&lt;&gt;0,$L$63&lt;&gt;0),L31/$L$63,"")</f>
        <v/>
      </c>
      <c r="N31" s="254">
        <f>已审横向BS!L31</f>
        <v>0</v>
      </c>
      <c r="O31" s="265" t="str">
        <f>IF(AND(N31&lt;&gt;0,$N$63&lt;&gt;0),N31/$N$63,"")</f>
        <v/>
      </c>
      <c r="P31" s="255" t="str">
        <f t="shared" si="3"/>
        <v/>
      </c>
      <c r="Q31" s="692" t="str">
        <f t="shared" si="4"/>
        <v/>
      </c>
      <c r="R31" s="611"/>
    </row>
    <row r="32" spans="1:18" ht="13.9" customHeight="1">
      <c r="A32" s="135" t="str">
        <f>报表格式!B30</f>
        <v>流动资产合计</v>
      </c>
      <c r="B32" s="130">
        <f t="shared" si="29"/>
        <v>26</v>
      </c>
      <c r="C32" s="256">
        <f>已审横向BS!C32</f>
        <v>0</v>
      </c>
      <c r="D32" s="321" t="str">
        <f>IF(AND(C32&lt;&gt;0,$C$60&lt;&gt;0),C32/$C$60,"")</f>
        <v/>
      </c>
      <c r="E32" s="256">
        <f>已审横向BS!D32</f>
        <v>0</v>
      </c>
      <c r="F32" s="321" t="str">
        <f t="shared" si="30"/>
        <v/>
      </c>
      <c r="G32" s="322" t="str">
        <f t="shared" si="31"/>
        <v/>
      </c>
      <c r="H32" s="693" t="str">
        <f t="shared" si="32"/>
        <v/>
      </c>
      <c r="I32" s="132"/>
      <c r="J32" s="187" t="str">
        <f>报表格式!G30</f>
        <v>其他流动负债</v>
      </c>
      <c r="K32" s="131">
        <f t="shared" si="0"/>
        <v>26</v>
      </c>
      <c r="L32" s="254">
        <f>已审横向BS!K32</f>
        <v>0</v>
      </c>
      <c r="M32" s="265" t="str">
        <f>IF(AND(L32&lt;&gt;0,$L$63&lt;&gt;0),L32/$L$63,"")</f>
        <v/>
      </c>
      <c r="N32" s="254">
        <f>已审横向BS!L32</f>
        <v>0</v>
      </c>
      <c r="O32" s="265" t="str">
        <f>IF(AND(N32&lt;&gt;0,$N$63&lt;&gt;0),N32/$N$63,"")</f>
        <v/>
      </c>
      <c r="P32" s="255" t="str">
        <f t="shared" si="3"/>
        <v/>
      </c>
      <c r="Q32" s="692" t="str">
        <f t="shared" si="4"/>
        <v/>
      </c>
      <c r="R32" s="611"/>
    </row>
    <row r="33" spans="1:18" ht="13.9" customHeight="1">
      <c r="A33" s="134" t="str">
        <f>报表格式!B31</f>
        <v>非流动资产:</v>
      </c>
      <c r="B33" s="130">
        <f>B32+1</f>
        <v>27</v>
      </c>
      <c r="C33" s="254"/>
      <c r="D33" s="265"/>
      <c r="E33" s="254"/>
      <c r="F33" s="265"/>
      <c r="G33" s="255"/>
      <c r="H33" s="692"/>
      <c r="I33" s="132"/>
      <c r="J33" s="133" t="str">
        <f>报表格式!G31</f>
        <v>流动负债合计</v>
      </c>
      <c r="K33" s="131">
        <f t="shared" si="0"/>
        <v>27</v>
      </c>
      <c r="L33" s="256">
        <f>已审横向BS!K33</f>
        <v>0</v>
      </c>
      <c r="M33" s="321" t="str">
        <f>IF(AND(L33&lt;&gt;0,$L$63&lt;&gt;0),L33/$L$63,"")</f>
        <v/>
      </c>
      <c r="N33" s="256">
        <f>已审横向BS!L33</f>
        <v>0</v>
      </c>
      <c r="O33" s="321" t="str">
        <f>IF(AND(N33&lt;&gt;0,$N$63&lt;&gt;0),N33/$N$63,"")</f>
        <v/>
      </c>
      <c r="P33" s="322" t="str">
        <f t="shared" si="3"/>
        <v/>
      </c>
      <c r="Q33" s="693" t="str">
        <f t="shared" si="4"/>
        <v/>
      </c>
      <c r="R33" s="696"/>
    </row>
    <row r="34" spans="1:18" ht="13.9" customHeight="1">
      <c r="A34" s="129" t="str">
        <f>报表格式!B32</f>
        <v>发放贷款及垫款</v>
      </c>
      <c r="B34" s="130">
        <f t="shared" ref="B34:B35" si="39">B33+1</f>
        <v>28</v>
      </c>
      <c r="C34" s="254">
        <f>已审横向BS!C34</f>
        <v>0</v>
      </c>
      <c r="D34" s="265" t="str">
        <f t="shared" ref="D34:D53" si="40">IF(AND(C34&lt;&gt;0,$C$60&lt;&gt;0),C34/$C$60,"")</f>
        <v/>
      </c>
      <c r="E34" s="254">
        <f>已审横向BS!D34</f>
        <v>0</v>
      </c>
      <c r="F34" s="265" t="str">
        <f t="shared" ref="F34:F53" si="41">IF(AND(E34&lt;&gt;0,$E$60&lt;&gt;0),E34/$E$60,"")</f>
        <v/>
      </c>
      <c r="G34" s="255" t="str">
        <f t="shared" ref="G34" si="42">IF(AND(D34="",F34=""),"",IF(D34="",F34,IF(F34="",-D34,F34-D34)))</f>
        <v/>
      </c>
      <c r="H34" s="692" t="str">
        <f t="shared" ref="H34" si="43">IF(G34="","",IF(ABS(G34)&gt;=30%,"显著",IF(ABS(G34)&gt;=10%,"关注","")))</f>
        <v/>
      </c>
      <c r="I34" s="132"/>
      <c r="J34" s="188" t="str">
        <f>报表格式!G32</f>
        <v>非流动负债:</v>
      </c>
      <c r="K34" s="131">
        <f t="shared" si="0"/>
        <v>28</v>
      </c>
      <c r="L34" s="254"/>
      <c r="M34" s="265"/>
      <c r="N34" s="254"/>
      <c r="O34" s="265"/>
      <c r="P34" s="255"/>
      <c r="Q34" s="692"/>
      <c r="R34" s="611"/>
    </row>
    <row r="35" spans="1:18" ht="13.9" customHeight="1">
      <c r="A35" s="129" t="str">
        <f>报表格式!B33</f>
        <v>债权投资</v>
      </c>
      <c r="B35" s="130">
        <f t="shared" si="39"/>
        <v>29</v>
      </c>
      <c r="C35" s="254">
        <f>已审横向BS!C35</f>
        <v>0</v>
      </c>
      <c r="D35" s="265" t="str">
        <f t="shared" si="40"/>
        <v/>
      </c>
      <c r="E35" s="254">
        <f>已审横向BS!D35</f>
        <v>0</v>
      </c>
      <c r="F35" s="265" t="str">
        <f t="shared" si="41"/>
        <v/>
      </c>
      <c r="G35" s="255" t="str">
        <f t="shared" si="31"/>
        <v/>
      </c>
      <c r="H35" s="692" t="str">
        <f t="shared" si="32"/>
        <v/>
      </c>
      <c r="I35" s="132"/>
      <c r="J35" s="187" t="str">
        <f>报表格式!G33</f>
        <v>长期借款</v>
      </c>
      <c r="K35" s="131">
        <f t="shared" si="0"/>
        <v>29</v>
      </c>
      <c r="L35" s="254">
        <f>已审横向BS!K35</f>
        <v>0</v>
      </c>
      <c r="M35" s="265" t="str">
        <f t="shared" ref="M35:M47" si="44">IF(AND(L35&lt;&gt;0,$L$63&lt;&gt;0),L35/$L$63,"")</f>
        <v/>
      </c>
      <c r="N35" s="254">
        <f>已审横向BS!L35</f>
        <v>0</v>
      </c>
      <c r="O35" s="265" t="str">
        <f t="shared" ref="O35:O47" si="45">IF(AND(N35&lt;&gt;0,$N$63&lt;&gt;0),N35/$N$63,"")</f>
        <v/>
      </c>
      <c r="P35" s="255" t="str">
        <f>IF(AND(M35="",O35=""),"",IF(M35="",O35,IF(O35="",-M35,O35-M35)))</f>
        <v/>
      </c>
      <c r="Q35" s="692" t="str">
        <f>IF(P35="","",IF(ABS(P35)&gt;=30%,"显著",IF(ABS(P35)&gt;=10%,"关注","")))</f>
        <v/>
      </c>
      <c r="R35" s="611"/>
    </row>
    <row r="36" spans="1:18" ht="13.9" customHeight="1">
      <c r="A36" s="129" t="str">
        <f>报表格式!B34</f>
        <v>可供出售金融资产</v>
      </c>
      <c r="B36" s="130">
        <f t="shared" si="29"/>
        <v>30</v>
      </c>
      <c r="C36" s="254">
        <f>已审横向BS!C36</f>
        <v>0</v>
      </c>
      <c r="D36" s="265" t="str">
        <f t="shared" si="40"/>
        <v/>
      </c>
      <c r="E36" s="254">
        <f>已审横向BS!D36</f>
        <v>0</v>
      </c>
      <c r="F36" s="265" t="str">
        <f t="shared" si="41"/>
        <v/>
      </c>
      <c r="G36" s="255" t="str">
        <f t="shared" ref="G36:G39" si="46">IF(AND(D36="",F36=""),"",IF(D36="",F36,IF(F36="",-D36,F36-D36)))</f>
        <v/>
      </c>
      <c r="H36" s="692" t="str">
        <f t="shared" ref="H36:H39" si="47">IF(G36="","",IF(ABS(G36)&gt;=30%,"显著",IF(ABS(G36)&gt;=10%,"关注","")))</f>
        <v/>
      </c>
      <c r="I36" s="132"/>
      <c r="J36" s="187" t="str">
        <f>报表格式!G34</f>
        <v>应付债券</v>
      </c>
      <c r="K36" s="131">
        <f t="shared" si="0"/>
        <v>30</v>
      </c>
      <c r="L36" s="254">
        <f>已审横向BS!K36</f>
        <v>0</v>
      </c>
      <c r="M36" s="265" t="str">
        <f t="shared" si="44"/>
        <v/>
      </c>
      <c r="N36" s="254">
        <f>已审横向BS!L36</f>
        <v>0</v>
      </c>
      <c r="O36" s="265" t="str">
        <f t="shared" si="45"/>
        <v/>
      </c>
      <c r="P36" s="255" t="str">
        <f t="shared" ref="P36:P45" si="48">IF(AND(M36="",O36=""),"",IF(M36="",O36,IF(O36="",-M36,O36-M36)))</f>
        <v/>
      </c>
      <c r="Q36" s="692" t="str">
        <f t="shared" ref="Q36:Q45" si="49">IF(P36="","",IF(ABS(P36)&gt;=30%,"显著",IF(ABS(P36)&gt;=10%,"关注","")))</f>
        <v/>
      </c>
      <c r="R36" s="611"/>
    </row>
    <row r="37" spans="1:18" ht="13.9" customHeight="1">
      <c r="A37" s="129" t="str">
        <f>报表格式!B35</f>
        <v>其他债权投资</v>
      </c>
      <c r="B37" s="130">
        <f t="shared" si="29"/>
        <v>31</v>
      </c>
      <c r="C37" s="254">
        <f>已审横向BS!C37</f>
        <v>0</v>
      </c>
      <c r="D37" s="265" t="str">
        <f t="shared" si="40"/>
        <v/>
      </c>
      <c r="E37" s="254">
        <f>已审横向BS!D37</f>
        <v>0</v>
      </c>
      <c r="F37" s="265" t="str">
        <f t="shared" si="41"/>
        <v/>
      </c>
      <c r="G37" s="255" t="str">
        <f t="shared" si="46"/>
        <v/>
      </c>
      <c r="H37" s="692" t="str">
        <f t="shared" si="47"/>
        <v/>
      </c>
      <c r="I37" s="132"/>
      <c r="J37" s="187" t="str">
        <f>报表格式!G35</f>
        <v xml:space="preserve">  其中：优先股</v>
      </c>
      <c r="K37" s="131">
        <f t="shared" si="0"/>
        <v>31</v>
      </c>
      <c r="L37" s="254">
        <f>已审横向BS!K37</f>
        <v>0</v>
      </c>
      <c r="M37" s="265" t="str">
        <f t="shared" si="44"/>
        <v/>
      </c>
      <c r="N37" s="254">
        <f>已审横向BS!L37</f>
        <v>0</v>
      </c>
      <c r="O37" s="265" t="str">
        <f t="shared" si="45"/>
        <v/>
      </c>
      <c r="P37" s="255" t="str">
        <f t="shared" si="48"/>
        <v/>
      </c>
      <c r="Q37" s="692" t="str">
        <f t="shared" si="49"/>
        <v/>
      </c>
      <c r="R37" s="611"/>
    </row>
    <row r="38" spans="1:18" ht="13.9" customHeight="1">
      <c r="A38" s="129" t="str">
        <f>报表格式!B36</f>
        <v>持有至到期投资</v>
      </c>
      <c r="B38" s="130">
        <f t="shared" si="29"/>
        <v>32</v>
      </c>
      <c r="C38" s="254">
        <f>已审横向BS!C38</f>
        <v>0</v>
      </c>
      <c r="D38" s="265" t="str">
        <f t="shared" si="40"/>
        <v/>
      </c>
      <c r="E38" s="254">
        <f>已审横向BS!D38</f>
        <v>0</v>
      </c>
      <c r="F38" s="265" t="str">
        <f t="shared" si="41"/>
        <v/>
      </c>
      <c r="G38" s="255" t="str">
        <f t="shared" si="46"/>
        <v/>
      </c>
      <c r="H38" s="692" t="str">
        <f t="shared" si="47"/>
        <v/>
      </c>
      <c r="I38" s="132"/>
      <c r="J38" s="187" t="str">
        <f>报表格式!G36</f>
        <v xml:space="preserve">        永续债</v>
      </c>
      <c r="K38" s="131">
        <f t="shared" si="0"/>
        <v>32</v>
      </c>
      <c r="L38" s="254">
        <f>已审横向BS!K38</f>
        <v>0</v>
      </c>
      <c r="M38" s="265" t="str">
        <f t="shared" si="44"/>
        <v/>
      </c>
      <c r="N38" s="254">
        <f>已审横向BS!L38</f>
        <v>0</v>
      </c>
      <c r="O38" s="265" t="str">
        <f t="shared" si="45"/>
        <v/>
      </c>
      <c r="P38" s="255" t="str">
        <f t="shared" si="48"/>
        <v/>
      </c>
      <c r="Q38" s="692" t="str">
        <f t="shared" si="49"/>
        <v/>
      </c>
      <c r="R38" s="611"/>
    </row>
    <row r="39" spans="1:18" ht="13.9" customHeight="1">
      <c r="A39" s="129" t="str">
        <f>报表格式!B37</f>
        <v>长期应收款</v>
      </c>
      <c r="B39" s="130">
        <f t="shared" si="29"/>
        <v>33</v>
      </c>
      <c r="C39" s="254">
        <f>已审横向BS!C39</f>
        <v>0</v>
      </c>
      <c r="D39" s="265" t="str">
        <f t="shared" si="40"/>
        <v/>
      </c>
      <c r="E39" s="254">
        <f>已审横向BS!D39</f>
        <v>0</v>
      </c>
      <c r="F39" s="265" t="str">
        <f t="shared" si="41"/>
        <v/>
      </c>
      <c r="G39" s="255" t="str">
        <f t="shared" si="46"/>
        <v/>
      </c>
      <c r="H39" s="692" t="str">
        <f t="shared" si="47"/>
        <v/>
      </c>
      <c r="I39" s="132"/>
      <c r="J39" s="187" t="str">
        <f>报表格式!G37</f>
        <v>租赁负债</v>
      </c>
      <c r="K39" s="131">
        <f t="shared" si="0"/>
        <v>33</v>
      </c>
      <c r="L39" s="254">
        <f>已审横向BS!K39</f>
        <v>0</v>
      </c>
      <c r="M39" s="265" t="str">
        <f t="shared" si="44"/>
        <v/>
      </c>
      <c r="N39" s="254">
        <f>已审横向BS!L39</f>
        <v>0</v>
      </c>
      <c r="O39" s="265" t="str">
        <f t="shared" si="45"/>
        <v/>
      </c>
      <c r="P39" s="255" t="str">
        <f t="shared" ref="P39:P40" si="50">IF(AND(M39="",O39=""),"",IF(M39="",O39,IF(O39="",-M39,O39-M39)))</f>
        <v/>
      </c>
      <c r="Q39" s="692" t="str">
        <f t="shared" ref="Q39:Q40" si="51">IF(P39="","",IF(ABS(P39)&gt;=30%,"显著",IF(ABS(P39)&gt;=10%,"关注","")))</f>
        <v/>
      </c>
      <c r="R39" s="611"/>
    </row>
    <row r="40" spans="1:18" ht="13.9" customHeight="1">
      <c r="A40" s="129" t="str">
        <f>报表格式!B38</f>
        <v>设定受益计划净资产</v>
      </c>
      <c r="B40" s="130">
        <f t="shared" si="29"/>
        <v>34</v>
      </c>
      <c r="C40" s="254">
        <f>已审横向BS!C40</f>
        <v>0</v>
      </c>
      <c r="D40" s="265" t="str">
        <f t="shared" si="40"/>
        <v/>
      </c>
      <c r="E40" s="254">
        <f>已审横向BS!D40</f>
        <v>0</v>
      </c>
      <c r="F40" s="265" t="str">
        <f t="shared" si="41"/>
        <v/>
      </c>
      <c r="G40" s="255" t="str">
        <f>IF(AND(D40="",F40=""),"",IF(D40="",F40,IF(F40="",-D40,F40-D40)))</f>
        <v/>
      </c>
      <c r="H40" s="692" t="str">
        <f>IF(G40="","",IF(ABS(G40)&gt;=30%,"显著",IF(ABS(G40)&gt;=10%,"关注","")))</f>
        <v/>
      </c>
      <c r="I40" s="132"/>
      <c r="J40" s="187" t="str">
        <f>报表格式!G38</f>
        <v>长期应付款</v>
      </c>
      <c r="K40" s="131">
        <f t="shared" si="0"/>
        <v>34</v>
      </c>
      <c r="L40" s="254">
        <f>已审横向BS!K40</f>
        <v>0</v>
      </c>
      <c r="M40" s="265" t="str">
        <f t="shared" si="44"/>
        <v/>
      </c>
      <c r="N40" s="254">
        <f>已审横向BS!L40</f>
        <v>0</v>
      </c>
      <c r="O40" s="265" t="str">
        <f t="shared" si="45"/>
        <v/>
      </c>
      <c r="P40" s="255" t="str">
        <f t="shared" si="50"/>
        <v/>
      </c>
      <c r="Q40" s="692" t="str">
        <f t="shared" si="51"/>
        <v/>
      </c>
      <c r="R40" s="611"/>
    </row>
    <row r="41" spans="1:18" ht="13.9" customHeight="1">
      <c r="A41" s="129" t="str">
        <f>报表格式!B39</f>
        <v>长期股权投资</v>
      </c>
      <c r="B41" s="130">
        <f t="shared" si="29"/>
        <v>35</v>
      </c>
      <c r="C41" s="254">
        <f>已审横向BS!C41</f>
        <v>0</v>
      </c>
      <c r="D41" s="265" t="str">
        <f t="shared" si="40"/>
        <v/>
      </c>
      <c r="E41" s="254">
        <f>已审横向BS!D41</f>
        <v>0</v>
      </c>
      <c r="F41" s="265" t="str">
        <f t="shared" si="41"/>
        <v/>
      </c>
      <c r="G41" s="255" t="str">
        <f t="shared" si="31"/>
        <v/>
      </c>
      <c r="H41" s="692" t="str">
        <f t="shared" si="32"/>
        <v/>
      </c>
      <c r="I41" s="132"/>
      <c r="J41" s="187" t="str">
        <f>报表格式!G39</f>
        <v>长期应付职工薪酬</v>
      </c>
      <c r="K41" s="131">
        <f t="shared" si="0"/>
        <v>35</v>
      </c>
      <c r="L41" s="254">
        <f>已审横向BS!K41</f>
        <v>0</v>
      </c>
      <c r="M41" s="265" t="str">
        <f t="shared" si="44"/>
        <v/>
      </c>
      <c r="N41" s="254">
        <f>已审横向BS!L41</f>
        <v>0</v>
      </c>
      <c r="O41" s="265" t="str">
        <f t="shared" si="45"/>
        <v/>
      </c>
      <c r="P41" s="255" t="str">
        <f t="shared" si="48"/>
        <v/>
      </c>
      <c r="Q41" s="692" t="str">
        <f t="shared" si="49"/>
        <v/>
      </c>
      <c r="R41" s="611"/>
    </row>
    <row r="42" spans="1:18" ht="13.9" customHeight="1">
      <c r="A42" s="129" t="str">
        <f>报表格式!B40</f>
        <v>其他权益工具投资</v>
      </c>
      <c r="B42" s="130">
        <f t="shared" si="29"/>
        <v>36</v>
      </c>
      <c r="C42" s="254">
        <f>已审横向BS!C42</f>
        <v>0</v>
      </c>
      <c r="D42" s="265" t="str">
        <f t="shared" si="40"/>
        <v/>
      </c>
      <c r="E42" s="254">
        <f>已审横向BS!D42</f>
        <v>0</v>
      </c>
      <c r="F42" s="265" t="str">
        <f t="shared" si="41"/>
        <v/>
      </c>
      <c r="G42" s="255" t="str">
        <f t="shared" si="31"/>
        <v/>
      </c>
      <c r="H42" s="692" t="str">
        <f t="shared" si="32"/>
        <v/>
      </c>
      <c r="I42" s="169"/>
      <c r="J42" s="187" t="str">
        <f>报表格式!G40</f>
        <v>预计负债</v>
      </c>
      <c r="K42" s="131">
        <f t="shared" si="0"/>
        <v>36</v>
      </c>
      <c r="L42" s="254">
        <f>已审横向BS!K42</f>
        <v>0</v>
      </c>
      <c r="M42" s="265" t="str">
        <f t="shared" si="44"/>
        <v/>
      </c>
      <c r="N42" s="254">
        <f>已审横向BS!L42</f>
        <v>0</v>
      </c>
      <c r="O42" s="265" t="str">
        <f t="shared" si="45"/>
        <v/>
      </c>
      <c r="P42" s="255" t="str">
        <f t="shared" si="48"/>
        <v/>
      </c>
      <c r="Q42" s="692" t="str">
        <f t="shared" si="49"/>
        <v/>
      </c>
      <c r="R42" s="611"/>
    </row>
    <row r="43" spans="1:18" ht="13.9" customHeight="1">
      <c r="A43" s="129" t="str">
        <f>报表格式!B41</f>
        <v>其他非流动金融资产</v>
      </c>
      <c r="B43" s="130">
        <f t="shared" si="29"/>
        <v>37</v>
      </c>
      <c r="C43" s="254">
        <f>已审横向BS!C43</f>
        <v>0</v>
      </c>
      <c r="D43" s="265" t="str">
        <f t="shared" si="40"/>
        <v/>
      </c>
      <c r="E43" s="254">
        <f>已审横向BS!D43</f>
        <v>0</v>
      </c>
      <c r="F43" s="265" t="str">
        <f t="shared" si="41"/>
        <v/>
      </c>
      <c r="G43" s="255" t="str">
        <f t="shared" si="31"/>
        <v/>
      </c>
      <c r="H43" s="692" t="str">
        <f t="shared" si="32"/>
        <v/>
      </c>
      <c r="I43" s="132"/>
      <c r="J43" s="187" t="str">
        <f>报表格式!G41</f>
        <v>递延收益</v>
      </c>
      <c r="K43" s="131">
        <f t="shared" si="0"/>
        <v>37</v>
      </c>
      <c r="L43" s="254">
        <f>已审横向BS!K43</f>
        <v>0</v>
      </c>
      <c r="M43" s="265" t="str">
        <f t="shared" si="44"/>
        <v/>
      </c>
      <c r="N43" s="254">
        <f>已审横向BS!L43</f>
        <v>0</v>
      </c>
      <c r="O43" s="265" t="str">
        <f t="shared" si="45"/>
        <v/>
      </c>
      <c r="P43" s="255" t="str">
        <f t="shared" si="48"/>
        <v/>
      </c>
      <c r="Q43" s="692" t="str">
        <f t="shared" si="49"/>
        <v/>
      </c>
      <c r="R43" s="611"/>
    </row>
    <row r="44" spans="1:18" ht="13.9" customHeight="1">
      <c r="A44" s="129" t="str">
        <f>报表格式!B42</f>
        <v>投资性房地产</v>
      </c>
      <c r="B44" s="130">
        <f t="shared" si="29"/>
        <v>38</v>
      </c>
      <c r="C44" s="254">
        <f>已审横向BS!C44</f>
        <v>0</v>
      </c>
      <c r="D44" s="265" t="str">
        <f t="shared" si="40"/>
        <v/>
      </c>
      <c r="E44" s="254">
        <f>已审横向BS!D44</f>
        <v>0</v>
      </c>
      <c r="F44" s="265" t="str">
        <f t="shared" si="41"/>
        <v/>
      </c>
      <c r="G44" s="255" t="str">
        <f t="shared" si="31"/>
        <v/>
      </c>
      <c r="H44" s="692" t="str">
        <f t="shared" si="32"/>
        <v/>
      </c>
      <c r="I44" s="132"/>
      <c r="J44" s="187" t="str">
        <f>报表格式!G42</f>
        <v>递延所得税负债</v>
      </c>
      <c r="K44" s="131">
        <f t="shared" si="0"/>
        <v>38</v>
      </c>
      <c r="L44" s="254">
        <f>已审横向BS!K44</f>
        <v>0</v>
      </c>
      <c r="M44" s="265" t="str">
        <f t="shared" si="44"/>
        <v/>
      </c>
      <c r="N44" s="254">
        <f>已审横向BS!L44</f>
        <v>0</v>
      </c>
      <c r="O44" s="265" t="str">
        <f t="shared" si="45"/>
        <v/>
      </c>
      <c r="P44" s="255" t="str">
        <f t="shared" si="48"/>
        <v/>
      </c>
      <c r="Q44" s="692" t="str">
        <f t="shared" si="49"/>
        <v/>
      </c>
      <c r="R44" s="611"/>
    </row>
    <row r="45" spans="1:18" ht="13.9" customHeight="1">
      <c r="A45" s="129" t="str">
        <f>报表格式!B43</f>
        <v>固定资产</v>
      </c>
      <c r="B45" s="130">
        <f t="shared" si="29"/>
        <v>39</v>
      </c>
      <c r="C45" s="254">
        <f>已审横向BS!C45</f>
        <v>0</v>
      </c>
      <c r="D45" s="265" t="str">
        <f t="shared" si="40"/>
        <v/>
      </c>
      <c r="E45" s="254">
        <f>已审横向BS!D45</f>
        <v>0</v>
      </c>
      <c r="F45" s="265" t="str">
        <f t="shared" si="41"/>
        <v/>
      </c>
      <c r="G45" s="255" t="str">
        <f t="shared" si="31"/>
        <v/>
      </c>
      <c r="H45" s="692" t="str">
        <f t="shared" si="32"/>
        <v/>
      </c>
      <c r="I45" s="132"/>
      <c r="J45" s="187" t="str">
        <f>报表格式!G43</f>
        <v>其他非流动负债</v>
      </c>
      <c r="K45" s="131">
        <f t="shared" si="0"/>
        <v>39</v>
      </c>
      <c r="L45" s="254">
        <f>已审横向BS!K45</f>
        <v>0</v>
      </c>
      <c r="M45" s="265" t="str">
        <f t="shared" si="44"/>
        <v/>
      </c>
      <c r="N45" s="254">
        <f>已审横向BS!L45</f>
        <v>0</v>
      </c>
      <c r="O45" s="265" t="str">
        <f t="shared" si="45"/>
        <v/>
      </c>
      <c r="P45" s="255" t="str">
        <f t="shared" si="48"/>
        <v/>
      </c>
      <c r="Q45" s="692" t="str">
        <f t="shared" si="49"/>
        <v/>
      </c>
      <c r="R45" s="611"/>
    </row>
    <row r="46" spans="1:18" ht="13.9" customHeight="1">
      <c r="A46" s="129" t="str">
        <f>报表格式!B44</f>
        <v>在建工程</v>
      </c>
      <c r="B46" s="130">
        <f t="shared" si="29"/>
        <v>40</v>
      </c>
      <c r="C46" s="254">
        <f>已审横向BS!C46</f>
        <v>0</v>
      </c>
      <c r="D46" s="265" t="str">
        <f t="shared" si="40"/>
        <v/>
      </c>
      <c r="E46" s="254">
        <f>已审横向BS!D46</f>
        <v>0</v>
      </c>
      <c r="F46" s="265" t="str">
        <f t="shared" si="41"/>
        <v/>
      </c>
      <c r="G46" s="255" t="str">
        <f t="shared" si="31"/>
        <v/>
      </c>
      <c r="H46" s="692" t="str">
        <f t="shared" si="32"/>
        <v/>
      </c>
      <c r="I46" s="132"/>
      <c r="J46" s="133" t="str">
        <f>报表格式!G44</f>
        <v>非流动负债合计</v>
      </c>
      <c r="K46" s="131">
        <f t="shared" si="0"/>
        <v>40</v>
      </c>
      <c r="L46" s="256">
        <f>已审横向BS!K46</f>
        <v>0</v>
      </c>
      <c r="M46" s="321" t="str">
        <f t="shared" si="44"/>
        <v/>
      </c>
      <c r="N46" s="256">
        <f>已审横向BS!L46</f>
        <v>0</v>
      </c>
      <c r="O46" s="321" t="str">
        <f t="shared" si="45"/>
        <v/>
      </c>
      <c r="P46" s="322" t="str">
        <f>IF(AND(M46="",O46=""),"",IF(M46="",O46,IF(O46="",-M46,O46-M46)))</f>
        <v/>
      </c>
      <c r="Q46" s="693" t="str">
        <f>IF(P46="","",IF(ABS(P46)&gt;=30%,"显著",IF(ABS(P46)&gt;=10%,"关注","")))</f>
        <v/>
      </c>
      <c r="R46" s="696"/>
    </row>
    <row r="47" spans="1:18" ht="13.9" customHeight="1">
      <c r="A47" s="129" t="str">
        <f>报表格式!B45</f>
        <v xml:space="preserve">生产性生物资产 </v>
      </c>
      <c r="B47" s="130">
        <f t="shared" si="29"/>
        <v>41</v>
      </c>
      <c r="C47" s="254">
        <f>已审横向BS!C47</f>
        <v>0</v>
      </c>
      <c r="D47" s="265" t="str">
        <f t="shared" si="40"/>
        <v/>
      </c>
      <c r="E47" s="254">
        <f>已审横向BS!D47</f>
        <v>0</v>
      </c>
      <c r="F47" s="265" t="str">
        <f t="shared" si="41"/>
        <v/>
      </c>
      <c r="G47" s="255" t="str">
        <f t="shared" si="31"/>
        <v/>
      </c>
      <c r="H47" s="692" t="str">
        <f t="shared" si="32"/>
        <v/>
      </c>
      <c r="I47" s="169"/>
      <c r="J47" s="133" t="str">
        <f>报表格式!G45</f>
        <v>负 债 合 计</v>
      </c>
      <c r="K47" s="131">
        <f t="shared" si="0"/>
        <v>41</v>
      </c>
      <c r="L47" s="256">
        <f>已审横向BS!K47</f>
        <v>0</v>
      </c>
      <c r="M47" s="321" t="str">
        <f t="shared" si="44"/>
        <v/>
      </c>
      <c r="N47" s="256">
        <f>已审横向BS!L47</f>
        <v>0</v>
      </c>
      <c r="O47" s="321" t="str">
        <f t="shared" si="45"/>
        <v/>
      </c>
      <c r="P47" s="322" t="str">
        <f>IF(AND(M47="",O47=""),"",IF(M47="",O47,IF(O47="",-M47,O47-M47)))</f>
        <v/>
      </c>
      <c r="Q47" s="693" t="str">
        <f>IF(P47="","",IF(ABS(P47)&gt;=30%,"显著",IF(ABS(P47)&gt;=10%,"关注","")))</f>
        <v/>
      </c>
      <c r="R47" s="696"/>
    </row>
    <row r="48" spans="1:18" ht="13.9" customHeight="1">
      <c r="A48" s="129" t="str">
        <f>报表格式!B46</f>
        <v>油气资产</v>
      </c>
      <c r="B48" s="130">
        <f t="shared" si="29"/>
        <v>42</v>
      </c>
      <c r="C48" s="254">
        <f>已审横向BS!C48</f>
        <v>0</v>
      </c>
      <c r="D48" s="265" t="str">
        <f t="shared" si="40"/>
        <v/>
      </c>
      <c r="E48" s="254">
        <f>已审横向BS!D48</f>
        <v>0</v>
      </c>
      <c r="F48" s="265" t="str">
        <f t="shared" si="41"/>
        <v/>
      </c>
      <c r="G48" s="255" t="str">
        <f t="shared" si="31"/>
        <v/>
      </c>
      <c r="H48" s="692" t="str">
        <f t="shared" si="32"/>
        <v/>
      </c>
      <c r="I48" s="169"/>
      <c r="J48" s="188" t="str">
        <f>报表格式!G46</f>
        <v>股东权益：</v>
      </c>
      <c r="K48" s="131">
        <f t="shared" si="0"/>
        <v>42</v>
      </c>
      <c r="L48" s="254"/>
      <c r="M48" s="265"/>
      <c r="N48" s="254"/>
      <c r="O48" s="265"/>
      <c r="P48" s="255"/>
      <c r="Q48" s="692"/>
      <c r="R48" s="611"/>
    </row>
    <row r="49" spans="1:18" ht="13.9" customHeight="1">
      <c r="A49" s="129" t="str">
        <f>报表格式!B47</f>
        <v>使用权资产</v>
      </c>
      <c r="B49" s="130">
        <f t="shared" si="29"/>
        <v>43</v>
      </c>
      <c r="C49" s="254">
        <f>已审横向BS!C49</f>
        <v>0</v>
      </c>
      <c r="D49" s="265" t="str">
        <f t="shared" si="40"/>
        <v/>
      </c>
      <c r="E49" s="254">
        <f>已审横向BS!D49</f>
        <v>0</v>
      </c>
      <c r="F49" s="265" t="str">
        <f t="shared" si="41"/>
        <v/>
      </c>
      <c r="G49" s="255" t="str">
        <f t="shared" si="31"/>
        <v/>
      </c>
      <c r="H49" s="692" t="str">
        <f t="shared" si="32"/>
        <v/>
      </c>
      <c r="I49" s="132"/>
      <c r="J49" s="187" t="str">
        <f>报表格式!G47</f>
        <v>股本</v>
      </c>
      <c r="K49" s="131">
        <f t="shared" si="0"/>
        <v>43</v>
      </c>
      <c r="L49" s="254">
        <f>已审横向BS!K49</f>
        <v>0</v>
      </c>
      <c r="M49" s="265" t="str">
        <f t="shared" ref="M49:M63" si="52">IF(AND(L49&lt;&gt;0,$L$63&lt;&gt;0),L49/$L$63,"")</f>
        <v/>
      </c>
      <c r="N49" s="254">
        <f>已审横向BS!L49</f>
        <v>0</v>
      </c>
      <c r="O49" s="265" t="str">
        <f t="shared" ref="O49:O63" si="53">IF(AND(N49&lt;&gt;0,$N$63&lt;&gt;0),N49/$N$63,"")</f>
        <v/>
      </c>
      <c r="P49" s="255" t="str">
        <f>IF(AND(M49="",O49=""),"",IF(M49="",O49,IF(O49="",-M49,O49-M49)))</f>
        <v/>
      </c>
      <c r="Q49" s="692" t="str">
        <f>IF(P49="","",IF(ABS(P49)&gt;=30%,"显著",IF(ABS(P49)&gt;=10%,"关注","")))</f>
        <v/>
      </c>
      <c r="R49" s="611"/>
    </row>
    <row r="50" spans="1:18">
      <c r="A50" s="129" t="str">
        <f>报表格式!B48</f>
        <v>无形资产</v>
      </c>
      <c r="B50" s="130">
        <f>B49+1</f>
        <v>44</v>
      </c>
      <c r="C50" s="254">
        <f>已审横向BS!C50</f>
        <v>0</v>
      </c>
      <c r="D50" s="265" t="str">
        <f t="shared" si="40"/>
        <v/>
      </c>
      <c r="E50" s="254">
        <f>已审横向BS!D50</f>
        <v>0</v>
      </c>
      <c r="F50" s="265" t="str">
        <f t="shared" si="41"/>
        <v/>
      </c>
      <c r="G50" s="255" t="str">
        <f t="shared" si="31"/>
        <v/>
      </c>
      <c r="H50" s="692" t="str">
        <f t="shared" si="32"/>
        <v/>
      </c>
      <c r="I50" s="132"/>
      <c r="J50" s="187" t="str">
        <f>报表格式!G48</f>
        <v>其他权益工具</v>
      </c>
      <c r="K50" s="131">
        <f t="shared" si="0"/>
        <v>44</v>
      </c>
      <c r="L50" s="254">
        <f>已审横向BS!K50</f>
        <v>0</v>
      </c>
      <c r="M50" s="265" t="str">
        <f t="shared" si="52"/>
        <v/>
      </c>
      <c r="N50" s="254">
        <f>已审横向BS!L50</f>
        <v>0</v>
      </c>
      <c r="O50" s="265" t="str">
        <f t="shared" si="53"/>
        <v/>
      </c>
      <c r="P50" s="255" t="str">
        <f t="shared" ref="P50:P61" si="54">IF(AND(M50="",O50=""),"",IF(M50="",O50,IF(O50="",-M50,O50-M50)))</f>
        <v/>
      </c>
      <c r="Q50" s="692" t="str">
        <f t="shared" ref="Q50:Q61" si="55">IF(P50="","",IF(ABS(P50)&gt;=30%,"显著",IF(ABS(P50)&gt;=10%,"关注","")))</f>
        <v/>
      </c>
      <c r="R50" s="611"/>
    </row>
    <row r="51" spans="1:18">
      <c r="A51" s="129" t="str">
        <f>报表格式!B49</f>
        <v>开发支出</v>
      </c>
      <c r="B51" s="130">
        <f t="shared" si="29"/>
        <v>45</v>
      </c>
      <c r="C51" s="254">
        <f>已审横向BS!C51</f>
        <v>0</v>
      </c>
      <c r="D51" s="265" t="str">
        <f t="shared" si="40"/>
        <v/>
      </c>
      <c r="E51" s="254">
        <f>已审横向BS!D51</f>
        <v>0</v>
      </c>
      <c r="F51" s="265" t="str">
        <f t="shared" si="41"/>
        <v/>
      </c>
      <c r="G51" s="255" t="str">
        <f t="shared" si="31"/>
        <v/>
      </c>
      <c r="H51" s="692" t="str">
        <f t="shared" si="32"/>
        <v/>
      </c>
      <c r="I51" s="169"/>
      <c r="J51" s="187" t="str">
        <f>报表格式!G49</f>
        <v xml:space="preserve">  其中：优先股</v>
      </c>
      <c r="K51" s="131">
        <f t="shared" si="0"/>
        <v>45</v>
      </c>
      <c r="L51" s="254">
        <f>已审横向BS!K51</f>
        <v>0</v>
      </c>
      <c r="M51" s="265" t="str">
        <f t="shared" si="52"/>
        <v/>
      </c>
      <c r="N51" s="254">
        <f>已审横向BS!L51</f>
        <v>0</v>
      </c>
      <c r="O51" s="265" t="str">
        <f t="shared" si="53"/>
        <v/>
      </c>
      <c r="P51" s="255" t="str">
        <f t="shared" si="54"/>
        <v/>
      </c>
      <c r="Q51" s="692" t="str">
        <f t="shared" si="55"/>
        <v/>
      </c>
      <c r="R51" s="611"/>
    </row>
    <row r="52" spans="1:18">
      <c r="A52" s="129" t="str">
        <f>报表格式!B50</f>
        <v>商誉</v>
      </c>
      <c r="B52" s="130">
        <f t="shared" si="29"/>
        <v>46</v>
      </c>
      <c r="C52" s="254">
        <f>已审横向BS!C52</f>
        <v>0</v>
      </c>
      <c r="D52" s="265" t="str">
        <f t="shared" si="40"/>
        <v/>
      </c>
      <c r="E52" s="254">
        <f>已审横向BS!D52</f>
        <v>0</v>
      </c>
      <c r="F52" s="265" t="str">
        <f t="shared" si="41"/>
        <v/>
      </c>
      <c r="G52" s="255" t="str">
        <f t="shared" si="31"/>
        <v/>
      </c>
      <c r="H52" s="692" t="str">
        <f t="shared" si="32"/>
        <v/>
      </c>
      <c r="I52" s="132"/>
      <c r="J52" s="187" t="str">
        <f>报表格式!G50</f>
        <v xml:space="preserve">        永续债</v>
      </c>
      <c r="K52" s="131">
        <f t="shared" si="0"/>
        <v>46</v>
      </c>
      <c r="L52" s="254">
        <f>已审横向BS!K52</f>
        <v>0</v>
      </c>
      <c r="M52" s="265" t="str">
        <f t="shared" si="52"/>
        <v/>
      </c>
      <c r="N52" s="254">
        <f>已审横向BS!L52</f>
        <v>0</v>
      </c>
      <c r="O52" s="265" t="str">
        <f t="shared" si="53"/>
        <v/>
      </c>
      <c r="P52" s="255" t="str">
        <f t="shared" si="54"/>
        <v/>
      </c>
      <c r="Q52" s="692" t="str">
        <f t="shared" si="55"/>
        <v/>
      </c>
      <c r="R52" s="611"/>
    </row>
    <row r="53" spans="1:18">
      <c r="A53" s="129" t="str">
        <f>报表格式!B51</f>
        <v>长期待摊费用</v>
      </c>
      <c r="B53" s="130">
        <f t="shared" si="29"/>
        <v>47</v>
      </c>
      <c r="C53" s="254">
        <f>已审横向BS!C53</f>
        <v>0</v>
      </c>
      <c r="D53" s="265" t="str">
        <f t="shared" si="40"/>
        <v/>
      </c>
      <c r="E53" s="254">
        <f>已审横向BS!D53</f>
        <v>0</v>
      </c>
      <c r="F53" s="265" t="str">
        <f t="shared" si="41"/>
        <v/>
      </c>
      <c r="G53" s="255" t="str">
        <f t="shared" ref="G53:G58" si="56">IF(AND(D53="",F53=""),"",IF(D53="",F53,IF(F53="",-D53,F53-D53)))</f>
        <v/>
      </c>
      <c r="H53" s="692" t="str">
        <f t="shared" ref="H53:H58" si="57">IF(G53="","",IF(ABS(G53)&gt;=30%,"显著",IF(ABS(G53)&gt;=10%,"关注","")))</f>
        <v/>
      </c>
      <c r="I53" s="132"/>
      <c r="J53" s="187" t="str">
        <f>报表格式!G51</f>
        <v>资本公积</v>
      </c>
      <c r="K53" s="131">
        <f t="shared" si="0"/>
        <v>47</v>
      </c>
      <c r="L53" s="254">
        <f>已审横向BS!K53</f>
        <v>0</v>
      </c>
      <c r="M53" s="265" t="str">
        <f t="shared" si="52"/>
        <v/>
      </c>
      <c r="N53" s="254">
        <f>已审横向BS!L53</f>
        <v>0</v>
      </c>
      <c r="O53" s="265" t="str">
        <f t="shared" si="53"/>
        <v/>
      </c>
      <c r="P53" s="255" t="str">
        <f t="shared" si="54"/>
        <v/>
      </c>
      <c r="Q53" s="692" t="str">
        <f t="shared" si="55"/>
        <v/>
      </c>
      <c r="R53" s="611"/>
    </row>
    <row r="54" spans="1:18">
      <c r="A54" s="129" t="str">
        <f>报表格式!B52</f>
        <v>递延所得税资产</v>
      </c>
      <c r="B54" s="130">
        <f t="shared" si="29"/>
        <v>48</v>
      </c>
      <c r="C54" s="254">
        <f>已审横向BS!C54</f>
        <v>0</v>
      </c>
      <c r="D54" s="265" t="str">
        <f t="shared" ref="D54:D60" si="58">IF(AND(C54&lt;&gt;0,$C$60&lt;&gt;0),C54/$C$60,"")</f>
        <v/>
      </c>
      <c r="E54" s="254">
        <f>已审横向BS!D54</f>
        <v>0</v>
      </c>
      <c r="F54" s="265" t="str">
        <f t="shared" ref="F54:F60" si="59">IF(AND(E54&lt;&gt;0,$E$60&lt;&gt;0),E54/$E$60,"")</f>
        <v/>
      </c>
      <c r="G54" s="255" t="str">
        <f t="shared" si="56"/>
        <v/>
      </c>
      <c r="H54" s="692" t="str">
        <f t="shared" si="57"/>
        <v/>
      </c>
      <c r="I54" s="132"/>
      <c r="J54" s="187" t="str">
        <f>报表格式!G52</f>
        <v>减：库存股</v>
      </c>
      <c r="K54" s="131">
        <f t="shared" si="0"/>
        <v>48</v>
      </c>
      <c r="L54" s="254">
        <f>已审横向BS!K54</f>
        <v>0</v>
      </c>
      <c r="M54" s="265" t="str">
        <f t="shared" si="52"/>
        <v/>
      </c>
      <c r="N54" s="254">
        <f>已审横向BS!L54</f>
        <v>0</v>
      </c>
      <c r="O54" s="265" t="str">
        <f t="shared" si="53"/>
        <v/>
      </c>
      <c r="P54" s="255" t="str">
        <f t="shared" si="54"/>
        <v/>
      </c>
      <c r="Q54" s="692" t="str">
        <f t="shared" si="55"/>
        <v/>
      </c>
      <c r="R54" s="611"/>
    </row>
    <row r="55" spans="1:18">
      <c r="A55" s="129" t="str">
        <f>报表格式!B53</f>
        <v>其他非流动资产</v>
      </c>
      <c r="B55" s="130">
        <f t="shared" si="29"/>
        <v>49</v>
      </c>
      <c r="C55" s="254">
        <f>已审横向BS!C55</f>
        <v>0</v>
      </c>
      <c r="D55" s="265" t="str">
        <f t="shared" si="58"/>
        <v/>
      </c>
      <c r="E55" s="254">
        <f>已审横向BS!D55</f>
        <v>0</v>
      </c>
      <c r="F55" s="265" t="str">
        <f t="shared" si="59"/>
        <v/>
      </c>
      <c r="G55" s="255" t="str">
        <f t="shared" si="56"/>
        <v/>
      </c>
      <c r="H55" s="692" t="str">
        <f t="shared" si="57"/>
        <v/>
      </c>
      <c r="I55" s="132"/>
      <c r="J55" s="187" t="str">
        <f>报表格式!G53</f>
        <v>其他综合收益</v>
      </c>
      <c r="K55" s="131">
        <f t="shared" si="0"/>
        <v>49</v>
      </c>
      <c r="L55" s="254">
        <f>已审横向BS!K55</f>
        <v>0</v>
      </c>
      <c r="M55" s="265" t="str">
        <f t="shared" si="52"/>
        <v/>
      </c>
      <c r="N55" s="254">
        <f>已审横向BS!L55</f>
        <v>0</v>
      </c>
      <c r="O55" s="265" t="str">
        <f t="shared" si="53"/>
        <v/>
      </c>
      <c r="P55" s="255" t="str">
        <f t="shared" si="54"/>
        <v/>
      </c>
      <c r="Q55" s="692" t="str">
        <f t="shared" si="55"/>
        <v/>
      </c>
      <c r="R55" s="611"/>
    </row>
    <row r="56" spans="1:18">
      <c r="A56" s="129">
        <f>报表格式!B54</f>
        <v>0</v>
      </c>
      <c r="B56" s="130">
        <f t="shared" si="29"/>
        <v>50</v>
      </c>
      <c r="C56" s="254">
        <f>已审横向BS!C56</f>
        <v>0</v>
      </c>
      <c r="D56" s="265" t="str">
        <f t="shared" si="58"/>
        <v/>
      </c>
      <c r="E56" s="254">
        <f>已审横向BS!D56</f>
        <v>0</v>
      </c>
      <c r="F56" s="265" t="str">
        <f t="shared" si="59"/>
        <v/>
      </c>
      <c r="G56" s="255" t="str">
        <f t="shared" si="56"/>
        <v/>
      </c>
      <c r="H56" s="692" t="str">
        <f t="shared" si="57"/>
        <v/>
      </c>
      <c r="I56" s="132"/>
      <c r="J56" s="187" t="str">
        <f>报表格式!G54</f>
        <v>专项储备</v>
      </c>
      <c r="K56" s="131">
        <f t="shared" si="0"/>
        <v>50</v>
      </c>
      <c r="L56" s="254">
        <f>已审横向BS!K56</f>
        <v>0</v>
      </c>
      <c r="M56" s="265" t="str">
        <f t="shared" si="52"/>
        <v/>
      </c>
      <c r="N56" s="254">
        <f>已审横向BS!L56</f>
        <v>0</v>
      </c>
      <c r="O56" s="265" t="str">
        <f t="shared" si="53"/>
        <v/>
      </c>
      <c r="P56" s="255" t="str">
        <f t="shared" si="54"/>
        <v/>
      </c>
      <c r="Q56" s="692" t="str">
        <f t="shared" si="55"/>
        <v/>
      </c>
      <c r="R56" s="611"/>
    </row>
    <row r="57" spans="1:18">
      <c r="A57" s="129">
        <f>报表格式!B55</f>
        <v>0</v>
      </c>
      <c r="B57" s="130">
        <f t="shared" si="29"/>
        <v>51</v>
      </c>
      <c r="C57" s="254">
        <f>已审横向BS!C57</f>
        <v>0</v>
      </c>
      <c r="D57" s="265" t="str">
        <f t="shared" si="58"/>
        <v/>
      </c>
      <c r="E57" s="254">
        <f>已审横向BS!D57</f>
        <v>0</v>
      </c>
      <c r="F57" s="265" t="str">
        <f t="shared" si="59"/>
        <v/>
      </c>
      <c r="G57" s="255" t="str">
        <f t="shared" si="56"/>
        <v/>
      </c>
      <c r="H57" s="692" t="str">
        <f t="shared" si="57"/>
        <v/>
      </c>
      <c r="I57" s="132"/>
      <c r="J57" s="187" t="str">
        <f>报表格式!G55</f>
        <v>盈余公积</v>
      </c>
      <c r="K57" s="131">
        <f t="shared" si="0"/>
        <v>51</v>
      </c>
      <c r="L57" s="254">
        <f>已审横向BS!K57</f>
        <v>0</v>
      </c>
      <c r="M57" s="265" t="str">
        <f t="shared" si="52"/>
        <v/>
      </c>
      <c r="N57" s="254">
        <f>已审横向BS!L57</f>
        <v>0</v>
      </c>
      <c r="O57" s="265" t="str">
        <f t="shared" si="53"/>
        <v/>
      </c>
      <c r="P57" s="255" t="str">
        <f t="shared" si="54"/>
        <v/>
      </c>
      <c r="Q57" s="692" t="str">
        <f t="shared" si="55"/>
        <v/>
      </c>
      <c r="R57" s="611"/>
    </row>
    <row r="58" spans="1:18">
      <c r="A58" s="129">
        <f>报表格式!B56</f>
        <v>0</v>
      </c>
      <c r="B58" s="130">
        <f t="shared" si="29"/>
        <v>52</v>
      </c>
      <c r="C58" s="254">
        <f>已审横向BS!C58</f>
        <v>0</v>
      </c>
      <c r="D58" s="265" t="str">
        <f t="shared" si="58"/>
        <v/>
      </c>
      <c r="E58" s="254">
        <f>已审横向BS!D58</f>
        <v>0</v>
      </c>
      <c r="F58" s="265" t="str">
        <f t="shared" si="59"/>
        <v/>
      </c>
      <c r="G58" s="255" t="str">
        <f t="shared" si="56"/>
        <v/>
      </c>
      <c r="H58" s="692" t="str">
        <f t="shared" si="57"/>
        <v/>
      </c>
      <c r="I58" s="132"/>
      <c r="J58" s="187" t="str">
        <f>报表格式!G56</f>
        <v>一般风险准备</v>
      </c>
      <c r="K58" s="131">
        <f t="shared" si="0"/>
        <v>52</v>
      </c>
      <c r="L58" s="254">
        <f>已审横向BS!K58</f>
        <v>0</v>
      </c>
      <c r="M58" s="265" t="str">
        <f t="shared" si="52"/>
        <v/>
      </c>
      <c r="N58" s="254">
        <f>已审横向BS!L58</f>
        <v>0</v>
      </c>
      <c r="O58" s="265" t="str">
        <f t="shared" si="53"/>
        <v/>
      </c>
      <c r="P58" s="255" t="str">
        <f t="shared" ref="P58:P59" si="60">IF(AND(M58="",O58=""),"",IF(M58="",O58,IF(O58="",-M58,O58-M58)))</f>
        <v/>
      </c>
      <c r="Q58" s="692" t="str">
        <f t="shared" ref="Q58:Q59" si="61">IF(P58="","",IF(ABS(P58)&gt;=30%,"显著",IF(ABS(P58)&gt;=10%,"关注","")))</f>
        <v/>
      </c>
      <c r="R58" s="611"/>
    </row>
    <row r="59" spans="1:18">
      <c r="A59" s="135" t="str">
        <f>报表格式!B57</f>
        <v>非流动资产合计</v>
      </c>
      <c r="B59" s="131">
        <f t="shared" si="29"/>
        <v>53</v>
      </c>
      <c r="C59" s="256">
        <f>已审横向BS!C59</f>
        <v>0</v>
      </c>
      <c r="D59" s="321" t="str">
        <f t="shared" si="58"/>
        <v/>
      </c>
      <c r="E59" s="256">
        <f>已审横向BS!D59</f>
        <v>0</v>
      </c>
      <c r="F59" s="321" t="str">
        <f t="shared" si="59"/>
        <v/>
      </c>
      <c r="G59" s="322" t="str">
        <f t="shared" si="31"/>
        <v/>
      </c>
      <c r="H59" s="693" t="str">
        <f t="shared" si="32"/>
        <v/>
      </c>
      <c r="I59" s="132"/>
      <c r="J59" s="187" t="str">
        <f>报表格式!G57</f>
        <v>未分配利润</v>
      </c>
      <c r="K59" s="131">
        <f t="shared" si="0"/>
        <v>53</v>
      </c>
      <c r="L59" s="254">
        <f>已审横向BS!K59</f>
        <v>0</v>
      </c>
      <c r="M59" s="265" t="str">
        <f t="shared" si="52"/>
        <v/>
      </c>
      <c r="N59" s="254">
        <f>已审横向BS!L59</f>
        <v>0</v>
      </c>
      <c r="O59" s="265" t="str">
        <f t="shared" si="53"/>
        <v/>
      </c>
      <c r="P59" s="255" t="str">
        <f t="shared" si="60"/>
        <v/>
      </c>
      <c r="Q59" s="692" t="str">
        <f t="shared" si="61"/>
        <v/>
      </c>
      <c r="R59" s="611"/>
    </row>
    <row r="60" spans="1:18" ht="15" thickBot="1">
      <c r="A60" s="136" t="str">
        <f>报表格式!B58</f>
        <v>资 产 总 计</v>
      </c>
      <c r="B60" s="137">
        <f t="shared" si="29"/>
        <v>54</v>
      </c>
      <c r="C60" s="257">
        <f>已审横向BS!C60</f>
        <v>0</v>
      </c>
      <c r="D60" s="323" t="str">
        <f t="shared" si="58"/>
        <v/>
      </c>
      <c r="E60" s="257">
        <f>已审横向BS!D60</f>
        <v>0</v>
      </c>
      <c r="F60" s="323" t="str">
        <f t="shared" si="59"/>
        <v/>
      </c>
      <c r="G60" s="323" t="str">
        <f t="shared" si="31"/>
        <v/>
      </c>
      <c r="H60" s="694" t="str">
        <f t="shared" si="32"/>
        <v/>
      </c>
      <c r="I60" s="170"/>
      <c r="J60" s="187" t="str">
        <f>报表格式!G58</f>
        <v>归属于母公司股东权益合计</v>
      </c>
      <c r="K60" s="131">
        <f t="shared" si="0"/>
        <v>54</v>
      </c>
      <c r="L60" s="254">
        <f>已审横向BS!K60</f>
        <v>0</v>
      </c>
      <c r="M60" s="265" t="str">
        <f t="shared" si="52"/>
        <v/>
      </c>
      <c r="N60" s="254">
        <f>SUM(N49:N50,N53,-N54,N55:N59)</f>
        <v>0</v>
      </c>
      <c r="O60" s="265" t="str">
        <f t="shared" si="53"/>
        <v/>
      </c>
      <c r="P60" s="255" t="str">
        <f t="shared" si="54"/>
        <v/>
      </c>
      <c r="Q60" s="692" t="str">
        <f t="shared" si="55"/>
        <v/>
      </c>
      <c r="R60" s="611"/>
    </row>
    <row r="61" spans="1:18">
      <c r="A61" s="78"/>
      <c r="B61" s="78"/>
      <c r="J61" s="187" t="str">
        <f>报表格式!G59</f>
        <v>少数股东权益</v>
      </c>
      <c r="K61" s="131">
        <f t="shared" si="0"/>
        <v>55</v>
      </c>
      <c r="L61" s="254">
        <f>已审横向BS!K61</f>
        <v>0</v>
      </c>
      <c r="M61" s="265" t="str">
        <f t="shared" si="52"/>
        <v/>
      </c>
      <c r="N61" s="254">
        <f>已审横向BS!L61</f>
        <v>0</v>
      </c>
      <c r="O61" s="265" t="str">
        <f t="shared" si="53"/>
        <v/>
      </c>
      <c r="P61" s="255" t="str">
        <f t="shared" si="54"/>
        <v/>
      </c>
      <c r="Q61" s="692" t="str">
        <f t="shared" si="55"/>
        <v/>
      </c>
      <c r="R61" s="611"/>
    </row>
    <row r="62" spans="1:18">
      <c r="A62" s="78"/>
      <c r="B62" s="78"/>
      <c r="J62" s="185" t="str">
        <f>报表格式!G60</f>
        <v>股东权益合计</v>
      </c>
      <c r="K62" s="131">
        <f t="shared" si="0"/>
        <v>56</v>
      </c>
      <c r="L62" s="259">
        <f>已审横向BS!K62</f>
        <v>0</v>
      </c>
      <c r="M62" s="321" t="str">
        <f t="shared" si="52"/>
        <v/>
      </c>
      <c r="N62" s="259">
        <f>已审横向BS!L62</f>
        <v>0</v>
      </c>
      <c r="O62" s="321" t="str">
        <f t="shared" si="53"/>
        <v/>
      </c>
      <c r="P62" s="322" t="str">
        <f>IF(AND(M62="",O62=""),"",IF(M62="",O62,IF(O62="",-M62,O62-M62)))</f>
        <v/>
      </c>
      <c r="Q62" s="693" t="str">
        <f>IF(P62="","",IF(ABS(P62)&gt;=30%,"显著",IF(ABS(P62)&gt;=10%,"关注","")))</f>
        <v/>
      </c>
      <c r="R62" s="612"/>
    </row>
    <row r="63" spans="1:18" ht="15" thickBot="1">
      <c r="A63" s="78"/>
      <c r="B63" s="78"/>
      <c r="J63" s="189" t="str">
        <f>报表格式!G61</f>
        <v>负债和股东权益合计</v>
      </c>
      <c r="K63" s="137">
        <f t="shared" si="0"/>
        <v>57</v>
      </c>
      <c r="L63" s="257">
        <f>已审横向BS!K63</f>
        <v>0</v>
      </c>
      <c r="M63" s="324" t="str">
        <f t="shared" si="52"/>
        <v/>
      </c>
      <c r="N63" s="257">
        <f>已审横向BS!L63</f>
        <v>0</v>
      </c>
      <c r="O63" s="324" t="str">
        <f t="shared" si="53"/>
        <v/>
      </c>
      <c r="P63" s="323" t="str">
        <f>IF(AND(M63="",O63=""),"",IF(M63="",O63,IF(O63="",-M63,O63-M63)))</f>
        <v/>
      </c>
      <c r="Q63" s="695" t="str">
        <f>IF(P63="","",IF(ABS(P63)&gt;=30%,"显著",IF(ABS(P63)&gt;=10%,"关注","")))</f>
        <v/>
      </c>
      <c r="R63" s="613"/>
    </row>
    <row r="64" spans="1:18">
      <c r="A64" s="78"/>
      <c r="B64" s="78"/>
      <c r="K64" s="78"/>
    </row>
    <row r="65" spans="11:11">
      <c r="K65" s="78"/>
    </row>
    <row r="66" spans="11:11">
      <c r="K66" s="78"/>
    </row>
    <row r="67" spans="11:11">
      <c r="K67" s="78"/>
    </row>
    <row r="68" spans="11:11">
      <c r="K68" s="78"/>
    </row>
  </sheetData>
  <sheetProtection formatCells="0" insertRows="0" autoFilter="0" pivotTables="0"/>
  <mergeCells count="16">
    <mergeCell ref="J1:R1"/>
    <mergeCell ref="A4:A6"/>
    <mergeCell ref="J4:J6"/>
    <mergeCell ref="H4:H6"/>
    <mergeCell ref="I4:I6"/>
    <mergeCell ref="B4:B6"/>
    <mergeCell ref="A1:I1"/>
    <mergeCell ref="Q4:Q6"/>
    <mergeCell ref="R4:R6"/>
    <mergeCell ref="N4:O4"/>
    <mergeCell ref="P4:P5"/>
    <mergeCell ref="C4:D4"/>
    <mergeCell ref="E4:F4"/>
    <mergeCell ref="G4:G5"/>
    <mergeCell ref="L4:M4"/>
    <mergeCell ref="K4:K6"/>
  </mergeCells>
  <phoneticPr fontId="3" type="noConversion"/>
  <conditionalFormatting sqref="H7">
    <cfRule type="cellIs" dxfId="23" priority="1" stopIfTrue="1" operator="equal">
      <formula>"异常"</formula>
    </cfRule>
  </conditionalFormatting>
  <conditionalFormatting sqref="I7:O7 C7:G7">
    <cfRule type="cellIs" dxfId="22" priority="2" stopIfTrue="1" operator="equal">
      <formula>"            对不起，请到参数表中确定报表类型！"</formula>
    </cfRule>
    <cfRule type="cellIs" dxfId="21" priority="3" stopIfTrue="1" operator="equal">
      <formula>"对不起，试用期已到，请查看系统信息，并与作者联系。"</formula>
    </cfRule>
  </conditionalFormatting>
  <conditionalFormatting sqref="H8:H60 Q8:Q63">
    <cfRule type="cellIs" dxfId="20" priority="4" stopIfTrue="1" operator="equal">
      <formula>"显著"</formula>
    </cfRule>
  </conditionalFormatting>
  <printOptions horizontalCentered="1"/>
  <pageMargins left="0.35" right="0.23622047244094491" top="0.77" bottom="0.27" header="0.48" footer="0.2"/>
  <pageSetup paperSize="9" scale="95" fitToWidth="2" orientation="portrait" blackAndWhite="1" r:id="rId1"/>
  <headerFooter alignWithMargins="0"/>
  <colBreaks count="1" manualBreakCount="1">
    <brk id="9" max="62" man="1"/>
  </col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39"/>
    <pageSetUpPr fitToPage="1"/>
  </sheetPr>
  <dimension ref="A1:I82"/>
  <sheetViews>
    <sheetView showZeros="0" workbookViewId="0">
      <pane xSplit="2" ySplit="6" topLeftCell="C7" activePane="bottomRight" state="frozen"/>
      <selection activeCell="H6" sqref="H6"/>
      <selection pane="topRight" activeCell="H6" sqref="H6"/>
      <selection pane="bottomLeft" activeCell="H6" sqref="H6"/>
      <selection pane="bottomRight" activeCell="J20" sqref="J20"/>
    </sheetView>
  </sheetViews>
  <sheetFormatPr defaultColWidth="9" defaultRowHeight="14.25"/>
  <cols>
    <col min="1" max="1" width="42.625" style="996" customWidth="1"/>
    <col min="2" max="2" width="3.75" style="996" customWidth="1"/>
    <col min="3" max="4" width="9.625" style="78" bestFit="1" customWidth="1"/>
    <col min="5" max="5" width="7.5" style="78" bestFit="1" customWidth="1"/>
    <col min="6" max="6" width="9.375" style="78" customWidth="1"/>
    <col min="7" max="7" width="7.625" style="78" customWidth="1"/>
    <col min="8" max="8" width="12.875" style="78" customWidth="1"/>
    <col min="9" max="16384" width="9" style="78"/>
  </cols>
  <sheetData>
    <row r="1" spans="1:9" ht="18.75">
      <c r="A1" s="1247" t="s">
        <v>936</v>
      </c>
      <c r="B1" s="1247"/>
      <c r="C1" s="1247"/>
      <c r="D1" s="1247"/>
      <c r="E1" s="1247"/>
      <c r="F1" s="1247"/>
      <c r="G1" s="1247"/>
      <c r="H1" s="1247"/>
    </row>
    <row r="2" spans="1:9" s="32" customFormat="1" ht="15" customHeight="1">
      <c r="A2" s="1097" t="str">
        <f>CONCATENATE("客户名称：",说明!E23)</f>
        <v>客户名称：</v>
      </c>
      <c r="B2" s="1091" t="str">
        <f>CONCATENATE("编制：",说明!E36)</f>
        <v>编制：</v>
      </c>
      <c r="C2" s="193"/>
      <c r="D2" s="193"/>
      <c r="E2" s="191" t="str">
        <f>CONCATENATE("复核：",说明!E37)</f>
        <v>复核：</v>
      </c>
      <c r="F2" s="193"/>
      <c r="G2" s="193"/>
      <c r="H2" s="807" t="s">
        <v>954</v>
      </c>
      <c r="I2" s="91"/>
    </row>
    <row r="3" spans="1:9" s="32" customFormat="1" ht="17.25" customHeight="1" thickBot="1">
      <c r="A3" s="1098" t="str">
        <f>CONCATENATE("会计期间：",TEXT(说明!E30,"yyyy.mm.dd"))</f>
        <v>会计期间：2019年度</v>
      </c>
      <c r="B3" s="1092" t="str">
        <f ca="1">CONCATENATE("日期：",TEXT(NOW(),"yyyy.mm.dd"))</f>
        <v>日期：2019.12.31</v>
      </c>
      <c r="C3" s="193"/>
      <c r="D3" s="193"/>
      <c r="E3" s="192" t="s">
        <v>295</v>
      </c>
      <c r="F3" s="193"/>
      <c r="G3" s="193"/>
      <c r="H3" s="192" t="s">
        <v>380</v>
      </c>
      <c r="I3" s="91"/>
    </row>
    <row r="4" spans="1:9" s="177" customFormat="1" ht="12">
      <c r="A4" s="1241" t="s">
        <v>253</v>
      </c>
      <c r="B4" s="1244" t="s">
        <v>255</v>
      </c>
      <c r="C4" s="1223" t="s">
        <v>365</v>
      </c>
      <c r="D4" s="1223" t="s">
        <v>384</v>
      </c>
      <c r="E4" s="173" t="s">
        <v>366</v>
      </c>
      <c r="F4" s="173"/>
      <c r="G4" s="1228" t="s">
        <v>448</v>
      </c>
      <c r="H4" s="1234" t="s">
        <v>449</v>
      </c>
    </row>
    <row r="5" spans="1:9" s="177" customFormat="1" ht="12">
      <c r="A5" s="1242"/>
      <c r="B5" s="1245"/>
      <c r="C5" s="1224"/>
      <c r="D5" s="1224"/>
      <c r="E5" s="175" t="s">
        <v>374</v>
      </c>
      <c r="F5" s="175" t="s">
        <v>375</v>
      </c>
      <c r="G5" s="1229"/>
      <c r="H5" s="1235"/>
    </row>
    <row r="6" spans="1:9" s="177" customFormat="1" ht="12">
      <c r="A6" s="1243"/>
      <c r="B6" s="1246"/>
      <c r="C6" s="176" t="s">
        <v>367</v>
      </c>
      <c r="D6" s="176" t="s">
        <v>368</v>
      </c>
      <c r="E6" s="176" t="s">
        <v>369</v>
      </c>
      <c r="F6" s="176" t="s">
        <v>370</v>
      </c>
      <c r="G6" s="1230"/>
      <c r="H6" s="1236"/>
    </row>
    <row r="7" spans="1:9" s="177" customFormat="1" ht="13.5">
      <c r="A7" s="1099" t="str">
        <f>报表格式!L5</f>
        <v>一、营业收入</v>
      </c>
      <c r="B7" s="1093">
        <v>1</v>
      </c>
      <c r="C7" s="261">
        <f>上年PL审定!B6</f>
        <v>0</v>
      </c>
      <c r="D7" s="261">
        <f>审定合并PL!C6</f>
        <v>0</v>
      </c>
      <c r="E7" s="261">
        <f>D7-C7</f>
        <v>0</v>
      </c>
      <c r="F7" s="739" t="str">
        <f>IF(AND(C7=0,D7=0),"",IF(C7=0,100%,IF(D7=0,-100%,E7/C7)))</f>
        <v/>
      </c>
      <c r="G7" s="740" t="str">
        <f>IF(F7="","",IF(OR(ABS(F7)&gt;=30%,ABS(E7)&gt;=已审横向BS!$D$60*5%,ABS(E7)&gt;=$D$39*10%),"显著",IF(ABS(F7)&gt;=10%,"关注","")))</f>
        <v/>
      </c>
      <c r="H7" s="690"/>
    </row>
    <row r="8" spans="1:9" s="177" customFormat="1" ht="13.5">
      <c r="A8" s="1100" t="str">
        <f>报表格式!L6</f>
        <v xml:space="preserve">        其中：主营业务收入</v>
      </c>
      <c r="B8" s="1094">
        <f>B7+1</f>
        <v>2</v>
      </c>
      <c r="C8" s="262">
        <f>上年PL审定!B7</f>
        <v>0</v>
      </c>
      <c r="D8" s="263">
        <f>审定合并PL!C7</f>
        <v>0</v>
      </c>
      <c r="E8" s="263">
        <f>D8-C8</f>
        <v>0</v>
      </c>
      <c r="F8" s="255" t="str">
        <f>IF(AND(C8=0,D8=0),"",IF(C8=0,100%,IF(D8=0,-100%,E8/C8)))</f>
        <v/>
      </c>
      <c r="G8" s="741" t="str">
        <f>IF(F8="","",IF(OR(ABS(F8)&gt;=30%,ABS(E8)&gt;=已审横向BS!$D$60*5%,ABS(E8)&gt;=$D$39*10%),"显著",IF(ABS(F8)&gt;=10%,"关注","")))</f>
        <v/>
      </c>
      <c r="H8" s="608"/>
    </row>
    <row r="9" spans="1:9" s="177" customFormat="1" ht="13.5">
      <c r="A9" s="1100" t="str">
        <f>报表格式!L7</f>
        <v xml:space="preserve">              利息收入</v>
      </c>
      <c r="B9" s="1094">
        <f t="shared" ref="B9:B72" si="0">B8+1</f>
        <v>3</v>
      </c>
      <c r="C9" s="262">
        <f>上年PL审定!B8</f>
        <v>0</v>
      </c>
      <c r="D9" s="263">
        <f>审定合并PL!C8</f>
        <v>0</v>
      </c>
      <c r="E9" s="263">
        <f t="shared" ref="E9:E11" si="1">D9-C9</f>
        <v>0</v>
      </c>
      <c r="F9" s="255" t="str">
        <f t="shared" ref="F9:F11" si="2">IF(AND(C9=0,D9=0),"",IF(C9=0,100%,IF(D9=0,-100%,E9/C9)))</f>
        <v/>
      </c>
      <c r="G9" s="741" t="str">
        <f>IF(F9="","",IF(OR(ABS(F9)&gt;=30%,ABS(E9)&gt;=已审横向BS!$D$60*5%,ABS(E9)&gt;=$D$39*10%),"显著",IF(ABS(F9)&gt;=10%,"关注","")))</f>
        <v/>
      </c>
      <c r="H9" s="609"/>
    </row>
    <row r="10" spans="1:9" s="177" customFormat="1" ht="13.5">
      <c r="A10" s="1100" t="str">
        <f>报表格式!L8</f>
        <v xml:space="preserve">              已赚保费</v>
      </c>
      <c r="B10" s="1094">
        <f t="shared" si="0"/>
        <v>4</v>
      </c>
      <c r="C10" s="262">
        <f>上年PL审定!B9</f>
        <v>0</v>
      </c>
      <c r="D10" s="263">
        <f>审定合并PL!C9</f>
        <v>0</v>
      </c>
      <c r="E10" s="263">
        <f t="shared" si="1"/>
        <v>0</v>
      </c>
      <c r="F10" s="255" t="str">
        <f t="shared" si="2"/>
        <v/>
      </c>
      <c r="G10" s="741" t="str">
        <f>IF(F10="","",IF(OR(ABS(F10)&gt;=30%,ABS(E10)&gt;=已审横向BS!$D$60*5%,ABS(E10)&gt;=$D$39*10%),"显著",IF(ABS(F10)&gt;=10%,"关注","")))</f>
        <v/>
      </c>
      <c r="H10" s="609"/>
    </row>
    <row r="11" spans="1:9" s="177" customFormat="1" ht="13.5">
      <c r="A11" s="1100" t="str">
        <f>报表格式!L9</f>
        <v xml:space="preserve">              手续费及佣金收入</v>
      </c>
      <c r="B11" s="1094">
        <f t="shared" si="0"/>
        <v>5</v>
      </c>
      <c r="C11" s="262">
        <f>上年PL审定!B10</f>
        <v>0</v>
      </c>
      <c r="D11" s="263">
        <f>审定合并PL!C10</f>
        <v>0</v>
      </c>
      <c r="E11" s="263">
        <f t="shared" si="1"/>
        <v>0</v>
      </c>
      <c r="F11" s="255" t="str">
        <f t="shared" si="2"/>
        <v/>
      </c>
      <c r="G11" s="741" t="str">
        <f>IF(F11="","",IF(OR(ABS(F11)&gt;=30%,ABS(E11)&gt;=已审横向BS!$D$60*5%,ABS(E11)&gt;=$D$39*10%),"显著",IF(ABS(F11)&gt;=10%,"关注","")))</f>
        <v/>
      </c>
      <c r="H11" s="609"/>
    </row>
    <row r="12" spans="1:9" s="177" customFormat="1" ht="13.5">
      <c r="A12" s="1100" t="str">
        <f>报表格式!L10</f>
        <v xml:space="preserve">              其他业务收入</v>
      </c>
      <c r="B12" s="1094">
        <f t="shared" si="0"/>
        <v>6</v>
      </c>
      <c r="C12" s="262">
        <f>上年PL审定!B11</f>
        <v>0</v>
      </c>
      <c r="D12" s="263">
        <f>审定合并PL!C11</f>
        <v>0</v>
      </c>
      <c r="E12" s="263">
        <f t="shared" ref="E12:E29" si="3">D12-C12</f>
        <v>0</v>
      </c>
      <c r="F12" s="255" t="str">
        <f t="shared" ref="F12:F29" si="4">IF(AND(C12=0,D12=0),"",IF(C12=0,100%,IF(D12=0,-100%,E12/C12)))</f>
        <v/>
      </c>
      <c r="G12" s="741" t="str">
        <f>IF(F12="","",IF(OR(ABS(F12)&gt;=30%,ABS(E12)&gt;=已审横向BS!$D$60*5%,ABS(E12)&gt;=$D$39*10%),"显著",IF(ABS(F12)&gt;=10%,"关注","")))</f>
        <v/>
      </c>
      <c r="H12" s="609"/>
    </row>
    <row r="13" spans="1:9" s="177" customFormat="1" ht="13.5">
      <c r="A13" s="1100" t="str">
        <f>报表格式!L11</f>
        <v xml:space="preserve">    减：营业成本</v>
      </c>
      <c r="B13" s="1094">
        <f t="shared" si="0"/>
        <v>7</v>
      </c>
      <c r="C13" s="262">
        <f>上年PL审定!B12</f>
        <v>0</v>
      </c>
      <c r="D13" s="263">
        <f>审定合并PL!C12</f>
        <v>0</v>
      </c>
      <c r="E13" s="263">
        <f t="shared" si="3"/>
        <v>0</v>
      </c>
      <c r="F13" s="255" t="str">
        <f t="shared" si="4"/>
        <v/>
      </c>
      <c r="G13" s="741" t="str">
        <f>IF(F13="","",IF(OR(ABS(F13)&gt;=30%,ABS(E13)&gt;=已审横向BS!$D$60*5%,ABS(E13)&gt;=$D$39*10%),"显著",IF(ABS(F13)&gt;=10%,"关注","")))</f>
        <v/>
      </c>
      <c r="H13" s="609"/>
    </row>
    <row r="14" spans="1:9" s="177" customFormat="1" ht="13.5">
      <c r="A14" s="1100" t="str">
        <f>报表格式!L12</f>
        <v xml:space="preserve">        其中：主营业务成本</v>
      </c>
      <c r="B14" s="1094">
        <f t="shared" si="0"/>
        <v>8</v>
      </c>
      <c r="C14" s="262">
        <f>上年PL审定!B13</f>
        <v>0</v>
      </c>
      <c r="D14" s="263">
        <f>审定合并PL!C13</f>
        <v>0</v>
      </c>
      <c r="E14" s="263">
        <f t="shared" si="3"/>
        <v>0</v>
      </c>
      <c r="F14" s="255" t="str">
        <f t="shared" si="4"/>
        <v/>
      </c>
      <c r="G14" s="741" t="str">
        <f>IF(F14="","",IF(OR(ABS(F14)&gt;=30%,ABS(E14)&gt;=已审横向BS!$D$60*5%,ABS(E14)&gt;=$D$39*10%),"显著",IF(ABS(F14)&gt;=10%,"关注","")))</f>
        <v/>
      </c>
      <c r="H14" s="609"/>
    </row>
    <row r="15" spans="1:9" s="177" customFormat="1" ht="13.5">
      <c r="A15" s="1100" t="str">
        <f>报表格式!L13</f>
        <v xml:space="preserve">              利息支出</v>
      </c>
      <c r="B15" s="1094">
        <f t="shared" si="0"/>
        <v>9</v>
      </c>
      <c r="C15" s="262">
        <f>上年PL审定!B14</f>
        <v>0</v>
      </c>
      <c r="D15" s="263">
        <f>审定合并PL!C14</f>
        <v>0</v>
      </c>
      <c r="E15" s="263">
        <f t="shared" ref="E15:E21" si="5">D15-C15</f>
        <v>0</v>
      </c>
      <c r="F15" s="255" t="str">
        <f t="shared" ref="F15:F21" si="6">IF(AND(C15=0,D15=0),"",IF(C15=0,100%,IF(D15=0,-100%,E15/C15)))</f>
        <v/>
      </c>
      <c r="G15" s="741" t="str">
        <f>IF(F15="","",IF(OR(ABS(F15)&gt;=30%,ABS(E15)&gt;=已审横向BS!$D$60*5%,ABS(E15)&gt;=$D$39*10%),"显著",IF(ABS(F15)&gt;=10%,"关注","")))</f>
        <v/>
      </c>
      <c r="H15" s="609"/>
    </row>
    <row r="16" spans="1:9" s="177" customFormat="1" ht="13.5">
      <c r="A16" s="1100" t="str">
        <f>报表格式!L14</f>
        <v xml:space="preserve">              手续费及佣金支出</v>
      </c>
      <c r="B16" s="1094">
        <f t="shared" si="0"/>
        <v>10</v>
      </c>
      <c r="C16" s="262">
        <f>上年PL审定!B15</f>
        <v>0</v>
      </c>
      <c r="D16" s="263">
        <f>审定合并PL!C15</f>
        <v>0</v>
      </c>
      <c r="E16" s="263">
        <f t="shared" si="5"/>
        <v>0</v>
      </c>
      <c r="F16" s="255" t="str">
        <f t="shared" si="6"/>
        <v/>
      </c>
      <c r="G16" s="741" t="str">
        <f>IF(F16="","",IF(OR(ABS(F16)&gt;=30%,ABS(E16)&gt;=已审横向BS!$D$60*5%,ABS(E16)&gt;=$D$39*10%),"显著",IF(ABS(F16)&gt;=10%,"关注","")))</f>
        <v/>
      </c>
      <c r="H16" s="609"/>
    </row>
    <row r="17" spans="1:8" s="177" customFormat="1" ht="13.5">
      <c r="A17" s="1100" t="str">
        <f>报表格式!L15</f>
        <v xml:space="preserve">              退保金</v>
      </c>
      <c r="B17" s="1094">
        <f t="shared" si="0"/>
        <v>11</v>
      </c>
      <c r="C17" s="262">
        <f>上年PL审定!B16</f>
        <v>0</v>
      </c>
      <c r="D17" s="263">
        <f>审定合并PL!C16</f>
        <v>0</v>
      </c>
      <c r="E17" s="263">
        <f t="shared" si="5"/>
        <v>0</v>
      </c>
      <c r="F17" s="255" t="str">
        <f t="shared" si="6"/>
        <v/>
      </c>
      <c r="G17" s="741" t="str">
        <f>IF(F17="","",IF(OR(ABS(F17)&gt;=30%,ABS(E17)&gt;=已审横向BS!$D$60*5%,ABS(E17)&gt;=$D$39*10%),"显著",IF(ABS(F17)&gt;=10%,"关注","")))</f>
        <v/>
      </c>
      <c r="H17" s="609"/>
    </row>
    <row r="18" spans="1:8" s="177" customFormat="1" ht="13.5">
      <c r="A18" s="1100" t="str">
        <f>报表格式!L16</f>
        <v xml:space="preserve">              赔付支出净额</v>
      </c>
      <c r="B18" s="1094">
        <f t="shared" si="0"/>
        <v>12</v>
      </c>
      <c r="C18" s="262">
        <f>上年PL审定!B17</f>
        <v>0</v>
      </c>
      <c r="D18" s="263">
        <f>审定合并PL!C17</f>
        <v>0</v>
      </c>
      <c r="E18" s="263">
        <f t="shared" si="5"/>
        <v>0</v>
      </c>
      <c r="F18" s="255" t="str">
        <f t="shared" si="6"/>
        <v/>
      </c>
      <c r="G18" s="741" t="str">
        <f>IF(F18="","",IF(OR(ABS(F18)&gt;=30%,ABS(E18)&gt;=已审横向BS!$D$60*5%,ABS(E18)&gt;=$D$39*10%),"显著",IF(ABS(F18)&gt;=10%,"关注","")))</f>
        <v/>
      </c>
      <c r="H18" s="609"/>
    </row>
    <row r="19" spans="1:8" s="177" customFormat="1" ht="13.5">
      <c r="A19" s="1100" t="str">
        <f>报表格式!L17</f>
        <v xml:space="preserve">              提取保险合同准备金净额</v>
      </c>
      <c r="B19" s="1094">
        <f t="shared" si="0"/>
        <v>13</v>
      </c>
      <c r="C19" s="262">
        <f>上年PL审定!B18</f>
        <v>0</v>
      </c>
      <c r="D19" s="263">
        <f>审定合并PL!C18</f>
        <v>0</v>
      </c>
      <c r="E19" s="263">
        <f t="shared" si="5"/>
        <v>0</v>
      </c>
      <c r="F19" s="255" t="str">
        <f t="shared" si="6"/>
        <v/>
      </c>
      <c r="G19" s="741" t="str">
        <f>IF(F19="","",IF(OR(ABS(F19)&gt;=30%,ABS(E19)&gt;=已审横向BS!$D$60*5%,ABS(E19)&gt;=$D$39*10%),"显著",IF(ABS(F19)&gt;=10%,"关注","")))</f>
        <v/>
      </c>
      <c r="H19" s="609"/>
    </row>
    <row r="20" spans="1:8" s="177" customFormat="1" ht="13.5">
      <c r="A20" s="1100" t="str">
        <f>报表格式!L18</f>
        <v xml:space="preserve">              保单红利支出</v>
      </c>
      <c r="B20" s="1094">
        <f t="shared" si="0"/>
        <v>14</v>
      </c>
      <c r="C20" s="262">
        <f>上年PL审定!B19</f>
        <v>0</v>
      </c>
      <c r="D20" s="263">
        <f>审定合并PL!C19</f>
        <v>0</v>
      </c>
      <c r="E20" s="263">
        <f t="shared" si="5"/>
        <v>0</v>
      </c>
      <c r="F20" s="255" t="str">
        <f t="shared" si="6"/>
        <v/>
      </c>
      <c r="G20" s="741" t="str">
        <f>IF(F20="","",IF(OR(ABS(F20)&gt;=30%,ABS(E20)&gt;=已审横向BS!$D$60*5%,ABS(E20)&gt;=$D$39*10%),"显著",IF(ABS(F20)&gt;=10%,"关注","")))</f>
        <v/>
      </c>
      <c r="H20" s="609"/>
    </row>
    <row r="21" spans="1:8" s="177" customFormat="1" ht="13.5">
      <c r="A21" s="1100" t="str">
        <f>报表格式!L19</f>
        <v xml:space="preserve">              分保费用</v>
      </c>
      <c r="B21" s="1094">
        <f t="shared" si="0"/>
        <v>15</v>
      </c>
      <c r="C21" s="262">
        <f>上年PL审定!B20</f>
        <v>0</v>
      </c>
      <c r="D21" s="263">
        <f>审定合并PL!C20</f>
        <v>0</v>
      </c>
      <c r="E21" s="263">
        <f t="shared" si="5"/>
        <v>0</v>
      </c>
      <c r="F21" s="255" t="str">
        <f t="shared" si="6"/>
        <v/>
      </c>
      <c r="G21" s="741" t="str">
        <f>IF(F21="","",IF(OR(ABS(F21)&gt;=30%,ABS(E21)&gt;=已审横向BS!$D$60*5%,ABS(E21)&gt;=$D$39*10%),"显著",IF(ABS(F21)&gt;=10%,"关注","")))</f>
        <v/>
      </c>
      <c r="H21" s="609"/>
    </row>
    <row r="22" spans="1:8" s="177" customFormat="1" ht="13.5">
      <c r="A22" s="1100" t="str">
        <f>报表格式!L20</f>
        <v xml:space="preserve">              其他业务成本</v>
      </c>
      <c r="B22" s="1094">
        <f t="shared" si="0"/>
        <v>16</v>
      </c>
      <c r="C22" s="262">
        <f>上年PL审定!B21</f>
        <v>0</v>
      </c>
      <c r="D22" s="263">
        <f>审定合并PL!C21</f>
        <v>0</v>
      </c>
      <c r="E22" s="263">
        <f t="shared" si="3"/>
        <v>0</v>
      </c>
      <c r="F22" s="255" t="str">
        <f t="shared" si="4"/>
        <v/>
      </c>
      <c r="G22" s="741" t="str">
        <f>IF(F22="","",IF(OR(ABS(F22)&gt;=30%,ABS(E22)&gt;=已审横向BS!$D$60*5%,ABS(E22)&gt;=$D$39*10%),"显著",IF(ABS(F22)&gt;=10%,"关注","")))</f>
        <v/>
      </c>
      <c r="H22" s="609"/>
    </row>
    <row r="23" spans="1:8" s="177" customFormat="1" ht="13.5">
      <c r="A23" s="1100" t="str">
        <f>报表格式!L21</f>
        <v xml:space="preserve">        税金及附加</v>
      </c>
      <c r="B23" s="1094">
        <f t="shared" si="0"/>
        <v>17</v>
      </c>
      <c r="C23" s="262">
        <f>上年PL审定!B22</f>
        <v>0</v>
      </c>
      <c r="D23" s="263">
        <f>审定合并PL!C22</f>
        <v>0</v>
      </c>
      <c r="E23" s="263">
        <f t="shared" si="3"/>
        <v>0</v>
      </c>
      <c r="F23" s="255" t="str">
        <f t="shared" si="4"/>
        <v/>
      </c>
      <c r="G23" s="741" t="str">
        <f>IF(F23="","",IF(OR(ABS(F23)&gt;=30%,ABS(E23)&gt;=已审横向BS!$D$60*5%,ABS(E23)&gt;=$D$39*10%),"显著",IF(ABS(F23)&gt;=10%,"关注","")))</f>
        <v/>
      </c>
      <c r="H23" s="609"/>
    </row>
    <row r="24" spans="1:8" s="177" customFormat="1" ht="13.5">
      <c r="A24" s="1100" t="str">
        <f>报表格式!L22</f>
        <v xml:space="preserve">        销售费用</v>
      </c>
      <c r="B24" s="1094">
        <f t="shared" si="0"/>
        <v>18</v>
      </c>
      <c r="C24" s="262">
        <f>上年PL审定!B23</f>
        <v>0</v>
      </c>
      <c r="D24" s="263">
        <f>审定合并PL!C23</f>
        <v>0</v>
      </c>
      <c r="E24" s="263">
        <f t="shared" si="3"/>
        <v>0</v>
      </c>
      <c r="F24" s="255" t="str">
        <f t="shared" si="4"/>
        <v/>
      </c>
      <c r="G24" s="741" t="str">
        <f>IF(F24="","",IF(OR(ABS(F24)&gt;=30%,ABS(E24)&gt;=已审横向BS!$D$60*5%,ABS(E24)&gt;=$D$39*10%),"显著",IF(ABS(F24)&gt;=10%,"关注","")))</f>
        <v/>
      </c>
      <c r="H24" s="609"/>
    </row>
    <row r="25" spans="1:8" s="177" customFormat="1" ht="13.5">
      <c r="A25" s="1100" t="str">
        <f>报表格式!L23</f>
        <v xml:space="preserve">        管理费用</v>
      </c>
      <c r="B25" s="1094">
        <f t="shared" si="0"/>
        <v>19</v>
      </c>
      <c r="C25" s="262">
        <f>上年PL审定!B24</f>
        <v>0</v>
      </c>
      <c r="D25" s="263">
        <f>审定合并PL!C24</f>
        <v>0</v>
      </c>
      <c r="E25" s="263">
        <f t="shared" si="3"/>
        <v>0</v>
      </c>
      <c r="F25" s="255" t="str">
        <f t="shared" si="4"/>
        <v/>
      </c>
      <c r="G25" s="741" t="str">
        <f>IF(F25="","",IF(OR(ABS(F25)&gt;=30%,ABS(E25)&gt;=已审横向BS!$D$60*5%,ABS(E25)&gt;=$D$39*10%),"显著",IF(ABS(F25)&gt;=10%,"关注","")))</f>
        <v/>
      </c>
      <c r="H25" s="609"/>
    </row>
    <row r="26" spans="1:8" s="177" customFormat="1" ht="13.5">
      <c r="A26" s="1100" t="str">
        <f>报表格式!L24</f>
        <v xml:space="preserve">        研发费用</v>
      </c>
      <c r="B26" s="1094">
        <f t="shared" si="0"/>
        <v>20</v>
      </c>
      <c r="C26" s="262">
        <f>上年PL审定!B25</f>
        <v>0</v>
      </c>
      <c r="D26" s="263">
        <f>审定合并PL!C25</f>
        <v>0</v>
      </c>
      <c r="E26" s="263">
        <f t="shared" si="3"/>
        <v>0</v>
      </c>
      <c r="F26" s="255" t="str">
        <f t="shared" si="4"/>
        <v/>
      </c>
      <c r="G26" s="741" t="str">
        <f>IF(F26="","",IF(OR(ABS(F26)&gt;=30%,ABS(E26)&gt;=已审横向BS!$D$60*5%,ABS(E26)&gt;=$D$39*10%),"显著",IF(ABS(F26)&gt;=10%,"关注","")))</f>
        <v/>
      </c>
      <c r="H26" s="609"/>
    </row>
    <row r="27" spans="1:8" s="177" customFormat="1" ht="13.5">
      <c r="A27" s="1100" t="str">
        <f>报表格式!L25</f>
        <v xml:space="preserve">        财务费用</v>
      </c>
      <c r="B27" s="1094">
        <f t="shared" si="0"/>
        <v>21</v>
      </c>
      <c r="C27" s="262">
        <f>上年PL审定!B26</f>
        <v>0</v>
      </c>
      <c r="D27" s="263">
        <f>审定合并PL!C26</f>
        <v>0</v>
      </c>
      <c r="E27" s="263">
        <f t="shared" si="3"/>
        <v>0</v>
      </c>
      <c r="F27" s="255" t="str">
        <f t="shared" si="4"/>
        <v/>
      </c>
      <c r="G27" s="741" t="str">
        <f>IF(F27="","",IF(OR(ABS(F27)&gt;=30%,ABS(E27)&gt;=已审横向BS!$D$60*5%,ABS(E27)&gt;=$D$39*10%),"显著",IF(ABS(F27)&gt;=10%,"关注","")))</f>
        <v/>
      </c>
      <c r="H27" s="609"/>
    </row>
    <row r="28" spans="1:8" s="177" customFormat="1" ht="13.5">
      <c r="A28" s="1100" t="str">
        <f>报表格式!L26</f>
        <v xml:space="preserve">        其中：利息费用</v>
      </c>
      <c r="B28" s="1094">
        <f t="shared" si="0"/>
        <v>22</v>
      </c>
      <c r="C28" s="262">
        <f>上年PL审定!B27</f>
        <v>0</v>
      </c>
      <c r="D28" s="263">
        <f>审定合并PL!C27</f>
        <v>0</v>
      </c>
      <c r="E28" s="263">
        <f t="shared" si="3"/>
        <v>0</v>
      </c>
      <c r="F28" s="255" t="str">
        <f t="shared" si="4"/>
        <v/>
      </c>
      <c r="G28" s="741" t="str">
        <f>IF(F28="","",IF(OR(ABS(F28)&gt;=30%,ABS(E28)&gt;=已审横向BS!$D$60*5%,ABS(E28)&gt;=$D$39*10%),"显著",IF(ABS(F28)&gt;=10%,"关注","")))</f>
        <v/>
      </c>
      <c r="H28" s="609"/>
    </row>
    <row r="29" spans="1:8" s="177" customFormat="1" ht="13.5">
      <c r="A29" s="1100" t="str">
        <f>报表格式!L27</f>
        <v xml:space="preserve">              利息收入</v>
      </c>
      <c r="B29" s="1094">
        <f t="shared" si="0"/>
        <v>23</v>
      </c>
      <c r="C29" s="262">
        <f>上年PL审定!B28</f>
        <v>0</v>
      </c>
      <c r="D29" s="263">
        <f>审定合并PL!C28</f>
        <v>0</v>
      </c>
      <c r="E29" s="263">
        <f t="shared" si="3"/>
        <v>0</v>
      </c>
      <c r="F29" s="255" t="str">
        <f t="shared" si="4"/>
        <v/>
      </c>
      <c r="G29" s="741" t="str">
        <f>IF(F29="","",IF(OR(ABS(F29)&gt;=30%,ABS(E29)&gt;=已审横向BS!$D$60*5%,ABS(E29)&gt;=$D$39*10%),"显著",IF(ABS(F29)&gt;=10%,"关注","")))</f>
        <v/>
      </c>
      <c r="H29" s="609"/>
    </row>
    <row r="30" spans="1:8" s="177" customFormat="1" ht="13.5">
      <c r="A30" s="1100" t="str">
        <f>报表格式!L28</f>
        <v xml:space="preserve">    加：其他收益</v>
      </c>
      <c r="B30" s="1094">
        <f t="shared" si="0"/>
        <v>24</v>
      </c>
      <c r="C30" s="262">
        <f>上年PL审定!B29</f>
        <v>0</v>
      </c>
      <c r="D30" s="263">
        <f>审定合并PL!C29</f>
        <v>0</v>
      </c>
      <c r="E30" s="263">
        <f t="shared" ref="E30:E38" si="7">D30-C30</f>
        <v>0</v>
      </c>
      <c r="F30" s="255" t="str">
        <f t="shared" ref="F30:F38" si="8">IF(AND(C30=0,D30=0),"",IF(C30=0,100%,IF(D30=0,-100%,E30/C30)))</f>
        <v/>
      </c>
      <c r="G30" s="741" t="str">
        <f>IF(F30="","",IF(OR(ABS(F30)&gt;=30%,ABS(E30)&gt;=已审横向BS!$D$60*5%,ABS(E30)&gt;=$D$39*10%),"显著",IF(ABS(F30)&gt;=10%,"关注","")))</f>
        <v/>
      </c>
      <c r="H30" s="609"/>
    </row>
    <row r="31" spans="1:8" s="177" customFormat="1" ht="13.5">
      <c r="A31" s="1100" t="str">
        <f>报表格式!L29</f>
        <v xml:space="preserve">        投资收益（损失以“－”号填列）</v>
      </c>
      <c r="B31" s="1094">
        <f t="shared" si="0"/>
        <v>25</v>
      </c>
      <c r="C31" s="262">
        <f>上年PL审定!B30</f>
        <v>0</v>
      </c>
      <c r="D31" s="263">
        <f>审定合并PL!C30</f>
        <v>0</v>
      </c>
      <c r="E31" s="263">
        <f t="shared" si="7"/>
        <v>0</v>
      </c>
      <c r="F31" s="255" t="str">
        <f t="shared" si="8"/>
        <v/>
      </c>
      <c r="G31" s="741" t="str">
        <f>IF(F31="","",IF(OR(ABS(F31)&gt;=30%,ABS(E31)&gt;=已审横向BS!$D$60*5%,ABS(E31)&gt;=$D$39*10%),"显著",IF(ABS(F31)&gt;=10%,"关注","")))</f>
        <v/>
      </c>
      <c r="H31" s="609"/>
    </row>
    <row r="32" spans="1:8" s="177" customFormat="1" ht="13.5">
      <c r="A32" s="1100" t="str">
        <f>报表格式!L30</f>
        <v xml:space="preserve">        其中：对联营企业和合营企业的投资收益</v>
      </c>
      <c r="B32" s="1094">
        <f t="shared" si="0"/>
        <v>26</v>
      </c>
      <c r="C32" s="262">
        <f>上年PL审定!B31</f>
        <v>0</v>
      </c>
      <c r="D32" s="263">
        <f>审定合并PL!C31</f>
        <v>0</v>
      </c>
      <c r="E32" s="263">
        <f t="shared" si="7"/>
        <v>0</v>
      </c>
      <c r="F32" s="255" t="str">
        <f t="shared" si="8"/>
        <v/>
      </c>
      <c r="G32" s="741" t="str">
        <f>IF(F32="","",IF(OR(ABS(F32)&gt;=30%,ABS(E32)&gt;=已审横向BS!$D$60*5%,ABS(E32)&gt;=$D$39*10%),"显著",IF(ABS(F32)&gt;=10%,"关注","")))</f>
        <v/>
      </c>
      <c r="H32" s="609"/>
    </row>
    <row r="33" spans="1:8" s="177" customFormat="1" ht="13.5">
      <c r="A33" s="1100" t="str">
        <f>报表格式!L31</f>
        <v xml:space="preserve">              以摊余成本计量的金融资产终止确认收益（损失以“-”号填列）</v>
      </c>
      <c r="B33" s="1094">
        <f t="shared" si="0"/>
        <v>27</v>
      </c>
      <c r="C33" s="262">
        <f>上年PL审定!B32</f>
        <v>0</v>
      </c>
      <c r="D33" s="263">
        <f>审定合并PL!C32</f>
        <v>0</v>
      </c>
      <c r="E33" s="263">
        <f t="shared" si="7"/>
        <v>0</v>
      </c>
      <c r="F33" s="255" t="str">
        <f t="shared" si="8"/>
        <v/>
      </c>
      <c r="G33" s="741" t="str">
        <f>IF(F33="","",IF(OR(ABS(F33)&gt;=30%,ABS(E33)&gt;=已审横向BS!$D$60*5%,ABS(E33)&gt;=$D$39*10%),"显著",IF(ABS(F33)&gt;=10%,"关注","")))</f>
        <v/>
      </c>
      <c r="H33" s="609"/>
    </row>
    <row r="34" spans="1:8" s="177" customFormat="1" ht="13.5">
      <c r="A34" s="1100" t="str">
        <f>报表格式!L32</f>
        <v xml:space="preserve">        净敞口套期收益（损失以“-”号填列）</v>
      </c>
      <c r="B34" s="1094">
        <f t="shared" si="0"/>
        <v>28</v>
      </c>
      <c r="C34" s="262">
        <f>上年PL审定!B33</f>
        <v>0</v>
      </c>
      <c r="D34" s="263">
        <f>审定合并PL!C33</f>
        <v>0</v>
      </c>
      <c r="E34" s="263">
        <f t="shared" si="7"/>
        <v>0</v>
      </c>
      <c r="F34" s="255" t="str">
        <f t="shared" si="8"/>
        <v/>
      </c>
      <c r="G34" s="741" t="str">
        <f>IF(F34="","",IF(OR(ABS(F34)&gt;=30%,ABS(E34)&gt;=已审横向BS!$D$60*5%,ABS(E34)&gt;=$D$39*10%),"显著",IF(ABS(F34)&gt;=10%,"关注","")))</f>
        <v/>
      </c>
      <c r="H34" s="609"/>
    </row>
    <row r="35" spans="1:8" s="177" customFormat="1" ht="13.5">
      <c r="A35" s="1100" t="str">
        <f>报表格式!L33</f>
        <v xml:space="preserve">        公允价值变动收益（损失以“－”号填列）</v>
      </c>
      <c r="B35" s="1094">
        <f t="shared" si="0"/>
        <v>29</v>
      </c>
      <c r="C35" s="262">
        <f>上年PL审定!B34</f>
        <v>0</v>
      </c>
      <c r="D35" s="263">
        <f>审定合并PL!C34</f>
        <v>0</v>
      </c>
      <c r="E35" s="263">
        <f t="shared" si="7"/>
        <v>0</v>
      </c>
      <c r="F35" s="255" t="str">
        <f t="shared" si="8"/>
        <v/>
      </c>
      <c r="G35" s="741" t="str">
        <f>IF(F35="","",IF(OR(ABS(F35)&gt;=30%,ABS(E35)&gt;=已审横向BS!$D$60*5%,ABS(E35)&gt;=$D$39*10%),"显著",IF(ABS(F35)&gt;=10%,"关注","")))</f>
        <v/>
      </c>
      <c r="H35" s="609"/>
    </row>
    <row r="36" spans="1:8" s="177" customFormat="1" ht="13.5">
      <c r="A36" s="1100" t="str">
        <f>报表格式!L34</f>
        <v xml:space="preserve">        信用减值损失(损失以“-”号填列）</v>
      </c>
      <c r="B36" s="1094">
        <f t="shared" si="0"/>
        <v>30</v>
      </c>
      <c r="C36" s="262">
        <f>上年PL审定!B35</f>
        <v>0</v>
      </c>
      <c r="D36" s="263">
        <f>审定合并PL!C35</f>
        <v>0</v>
      </c>
      <c r="E36" s="263">
        <f t="shared" si="7"/>
        <v>0</v>
      </c>
      <c r="F36" s="255" t="str">
        <f t="shared" si="8"/>
        <v/>
      </c>
      <c r="G36" s="741" t="str">
        <f>IF(F36="","",IF(OR(ABS(F36)&gt;=30%,ABS(E36)&gt;=已审横向BS!$D$60*5%,ABS(E36)&gt;=$D$39*10%),"显著",IF(ABS(F36)&gt;=10%,"关注","")))</f>
        <v/>
      </c>
      <c r="H36" s="609"/>
    </row>
    <row r="37" spans="1:8" s="177" customFormat="1" ht="13.5">
      <c r="A37" s="1100" t="str">
        <f>报表格式!L35</f>
        <v xml:space="preserve">        资产减值损失(损失以“-”号填列）</v>
      </c>
      <c r="B37" s="1094">
        <f t="shared" si="0"/>
        <v>31</v>
      </c>
      <c r="C37" s="262">
        <f>上年PL审定!B36</f>
        <v>0</v>
      </c>
      <c r="D37" s="263">
        <f>审定合并PL!C36</f>
        <v>0</v>
      </c>
      <c r="E37" s="263">
        <f t="shared" si="7"/>
        <v>0</v>
      </c>
      <c r="F37" s="255" t="str">
        <f t="shared" si="8"/>
        <v/>
      </c>
      <c r="G37" s="741" t="str">
        <f>IF(F37="","",IF(OR(ABS(F37)&gt;=30%,ABS(E37)&gt;=已审横向BS!$D$60*5%,ABS(E37)&gt;=$D$39*10%),"显著",IF(ABS(F37)&gt;=10%,"关注","")))</f>
        <v/>
      </c>
      <c r="H37" s="609"/>
    </row>
    <row r="38" spans="1:8" s="177" customFormat="1" ht="13.5">
      <c r="A38" s="1100" t="str">
        <f>报表格式!L36</f>
        <v xml:space="preserve">        资产处置收益(损失以“-”号填列）</v>
      </c>
      <c r="B38" s="1094">
        <f t="shared" si="0"/>
        <v>32</v>
      </c>
      <c r="C38" s="262">
        <f>上年PL审定!B37</f>
        <v>0</v>
      </c>
      <c r="D38" s="263">
        <f>审定合并PL!C37</f>
        <v>0</v>
      </c>
      <c r="E38" s="263">
        <f t="shared" si="7"/>
        <v>0</v>
      </c>
      <c r="F38" s="255" t="str">
        <f t="shared" si="8"/>
        <v/>
      </c>
      <c r="G38" s="741" t="str">
        <f>IF(F38="","",IF(OR(ABS(F38)&gt;=30%,ABS(E38)&gt;=已审横向BS!$D$60*5%,ABS(E38)&gt;=$D$39*10%),"显著",IF(ABS(F38)&gt;=10%,"关注","")))</f>
        <v/>
      </c>
      <c r="H38" s="609"/>
    </row>
    <row r="39" spans="1:8" s="177" customFormat="1" ht="13.5">
      <c r="A39" s="1101" t="str">
        <f>报表格式!L37</f>
        <v>二、营业利润（亏损以“－”号填列）</v>
      </c>
      <c r="B39" s="1094">
        <f t="shared" si="0"/>
        <v>33</v>
      </c>
      <c r="C39" s="320">
        <f>上年PL审定!B38</f>
        <v>0</v>
      </c>
      <c r="D39" s="320">
        <f>审定合并PL!C38</f>
        <v>0</v>
      </c>
      <c r="E39" s="320">
        <f>D39-C39</f>
        <v>0</v>
      </c>
      <c r="F39" s="322" t="str">
        <f>IF(AND(C39=0,D39=0),"",IF(C39=0,100%,IF(D39=0,-100%,E39/C39)))</f>
        <v/>
      </c>
      <c r="G39" s="742" t="str">
        <f>IF(F39="","",IF(OR(ABS(F39)&gt;=30%,ABS(E39)&gt;=已审横向BS!$D$60*5%,ABS(E39)&gt;=$D$39*10%),"显著",IF(ABS(F39)&gt;=10%,"关注","")))</f>
        <v/>
      </c>
      <c r="H39" s="691"/>
    </row>
    <row r="40" spans="1:8" s="177" customFormat="1" ht="13.5">
      <c r="A40" s="1100" t="str">
        <f>报表格式!L38</f>
        <v xml:space="preserve">    加：营业外收入</v>
      </c>
      <c r="B40" s="1094">
        <f t="shared" si="0"/>
        <v>34</v>
      </c>
      <c r="C40" s="262">
        <f>上年PL审定!B39</f>
        <v>0</v>
      </c>
      <c r="D40" s="263">
        <f>审定合并PL!C39</f>
        <v>0</v>
      </c>
      <c r="E40" s="263">
        <f>D40-C40</f>
        <v>0</v>
      </c>
      <c r="F40" s="255" t="str">
        <f>IF(AND(C40=0,D40=0),"",IF(C40=0,100%,IF(D40=0,-100%,E40/C40)))</f>
        <v/>
      </c>
      <c r="G40" s="741" t="str">
        <f>IF(F40="","",IF(OR(ABS(F40)&gt;=30%,ABS(E40)&gt;=已审横向BS!$D$60*5%,ABS(E40)&gt;=$D$39*10%),"显著",IF(ABS(F40)&gt;=10%,"关注","")))</f>
        <v/>
      </c>
      <c r="H40" s="609"/>
    </row>
    <row r="41" spans="1:8" s="177" customFormat="1" ht="13.5">
      <c r="A41" s="1100" t="str">
        <f>报表格式!L39</f>
        <v xml:space="preserve">    减：营业外支出</v>
      </c>
      <c r="B41" s="1094">
        <f t="shared" si="0"/>
        <v>35</v>
      </c>
      <c r="C41" s="262">
        <f>上年PL审定!B40</f>
        <v>0</v>
      </c>
      <c r="D41" s="263">
        <f>审定合并PL!C40</f>
        <v>0</v>
      </c>
      <c r="E41" s="263">
        <f>D41-C41</f>
        <v>0</v>
      </c>
      <c r="F41" s="255" t="str">
        <f>IF(AND(C41=0,D41=0),"",IF(C41=0,100%,IF(D41=0,-100%,E41/C41)))</f>
        <v/>
      </c>
      <c r="G41" s="741" t="str">
        <f>IF(F41="","",IF(OR(ABS(F41)&gt;=30%,ABS(E41)&gt;=已审横向BS!$D$60*5%,ABS(E41)&gt;=$D$39*10%),"显著",IF(ABS(F41)&gt;=10%,"关注","")))</f>
        <v/>
      </c>
      <c r="H41" s="609"/>
    </row>
    <row r="42" spans="1:8" s="177" customFormat="1" ht="13.5">
      <c r="A42" s="1101" t="str">
        <f>报表格式!L40</f>
        <v>三、利润总额（亏损总额以“－”号填列）</v>
      </c>
      <c r="B42" s="1094">
        <f t="shared" si="0"/>
        <v>36</v>
      </c>
      <c r="C42" s="320">
        <f>上年PL审定!B41</f>
        <v>0</v>
      </c>
      <c r="D42" s="320">
        <f>审定合并PL!C41</f>
        <v>0</v>
      </c>
      <c r="E42" s="320">
        <f t="shared" ref="E42:E50" si="9">D42-C42</f>
        <v>0</v>
      </c>
      <c r="F42" s="322" t="str">
        <f t="shared" ref="F42:F50" si="10">IF(AND(C42=0,D42=0),"",IF(C42=0,100%,IF(D42=0,-100%,E42/C42)))</f>
        <v/>
      </c>
      <c r="G42" s="742" t="str">
        <f>IF(F42="","",IF(OR(ABS(F42)&gt;=30%,ABS(E42)&gt;=已审横向BS!$D$60*5%,ABS(E42)&gt;=$D$39*10%),"显著",IF(ABS(F42)&gt;=10%,"关注","")))</f>
        <v/>
      </c>
      <c r="H42" s="691"/>
    </row>
    <row r="43" spans="1:8" s="177" customFormat="1" ht="13.5">
      <c r="A43" s="1100" t="str">
        <f>报表格式!L41</f>
        <v xml:space="preserve">    减：所得税费用</v>
      </c>
      <c r="B43" s="1094">
        <f t="shared" si="0"/>
        <v>37</v>
      </c>
      <c r="C43" s="262">
        <f>上年PL审定!B42</f>
        <v>0</v>
      </c>
      <c r="D43" s="263">
        <f>审定合并PL!C42</f>
        <v>0</v>
      </c>
      <c r="E43" s="263">
        <f t="shared" si="9"/>
        <v>0</v>
      </c>
      <c r="F43" s="255" t="str">
        <f t="shared" si="10"/>
        <v/>
      </c>
      <c r="G43" s="741" t="str">
        <f>IF(F43="","",IF(OR(ABS(F43)&gt;=30%,ABS(E43)&gt;=已审横向BS!$D$60*5%,ABS(E43)&gt;=$D$39*10%),"显著",IF(ABS(F43)&gt;=10%,"关注","")))</f>
        <v/>
      </c>
      <c r="H43" s="609"/>
    </row>
    <row r="44" spans="1:8" s="177" customFormat="1" ht="13.5">
      <c r="A44" s="1100">
        <f>报表格式!L42</f>
        <v>0</v>
      </c>
      <c r="B44" s="1094">
        <f t="shared" si="0"/>
        <v>38</v>
      </c>
      <c r="C44" s="262">
        <f>上年PL审定!B43</f>
        <v>0</v>
      </c>
      <c r="D44" s="263">
        <f>审定合并PL!C43</f>
        <v>0</v>
      </c>
      <c r="E44" s="263">
        <f t="shared" si="9"/>
        <v>0</v>
      </c>
      <c r="F44" s="255" t="str">
        <f t="shared" si="10"/>
        <v/>
      </c>
      <c r="G44" s="741" t="str">
        <f>IF(F44="","",IF(OR(ABS(F44)&gt;=30%,ABS(E44)&gt;=已审横向BS!$D$60*5%,ABS(E44)&gt;=$D$39*10%),"显著",IF(ABS(F44)&gt;=10%,"关注","")))</f>
        <v/>
      </c>
      <c r="H44" s="609"/>
    </row>
    <row r="45" spans="1:8" s="177" customFormat="1" ht="13.5">
      <c r="A45" s="1101" t="str">
        <f>报表格式!L43</f>
        <v>四、净利润（净亏损以“－”号填列）</v>
      </c>
      <c r="B45" s="1094">
        <f t="shared" si="0"/>
        <v>39</v>
      </c>
      <c r="C45" s="320">
        <f>上年PL审定!B44</f>
        <v>0</v>
      </c>
      <c r="D45" s="320">
        <f>审定合并PL!C44</f>
        <v>0</v>
      </c>
      <c r="E45" s="320">
        <f t="shared" si="9"/>
        <v>0</v>
      </c>
      <c r="F45" s="322" t="str">
        <f t="shared" si="10"/>
        <v/>
      </c>
      <c r="G45" s="742" t="str">
        <f>IF(F45="","",IF(OR(ABS(F45)&gt;=30%,ABS(E45)&gt;=已审横向BS!$D$60*5%,ABS(E45)&gt;=$D$39*10%),"显著",IF(ABS(F45)&gt;=10%,"关注","")))</f>
        <v/>
      </c>
      <c r="H45" s="691"/>
    </row>
    <row r="46" spans="1:8" s="177" customFormat="1" ht="13.5">
      <c r="A46" s="1100" t="str">
        <f>报表格式!L44</f>
        <v xml:space="preserve"> （一）按经营持续性分类</v>
      </c>
      <c r="B46" s="1094">
        <f t="shared" si="0"/>
        <v>40</v>
      </c>
      <c r="C46" s="262"/>
      <c r="D46" s="263"/>
      <c r="E46" s="263"/>
      <c r="F46" s="255"/>
      <c r="G46" s="741"/>
      <c r="H46" s="609"/>
    </row>
    <row r="47" spans="1:8" s="177" customFormat="1" ht="13.5">
      <c r="A47" s="1100" t="str">
        <f>报表格式!L45</f>
        <v xml:space="preserve">     其中：持续经营净利润（净亏损以“-”号填列）</v>
      </c>
      <c r="B47" s="1094">
        <f t="shared" si="0"/>
        <v>41</v>
      </c>
      <c r="C47" s="262">
        <f>上年PL审定!B46</f>
        <v>0</v>
      </c>
      <c r="D47" s="263">
        <f>审定合并PL!C46</f>
        <v>0</v>
      </c>
      <c r="E47" s="263">
        <f>D47-C47</f>
        <v>0</v>
      </c>
      <c r="F47" s="255" t="str">
        <f>IF(AND(C47=0,D47=0),"",IF(C47=0,100%,IF(D47=0,-100%,E47/C47)))</f>
        <v/>
      </c>
      <c r="G47" s="741" t="str">
        <f>IF(F47="","",IF(OR(ABS(F47)&gt;=30%,ABS(E47)&gt;=已审横向BS!$D$60*5%,ABS(E47)&gt;=$D$39*10%),"显著",IF(ABS(F47)&gt;=10%,"关注","")))</f>
        <v/>
      </c>
      <c r="H47" s="609"/>
    </row>
    <row r="48" spans="1:8" s="177" customFormat="1" ht="13.5">
      <c r="A48" s="1100" t="str">
        <f>报表格式!L46</f>
        <v xml:space="preserve">                 终止经营净利润（净亏损以“-”号填列）</v>
      </c>
      <c r="B48" s="1094">
        <f t="shared" si="0"/>
        <v>42</v>
      </c>
      <c r="C48" s="262">
        <f>上年PL审定!B47</f>
        <v>0</v>
      </c>
      <c r="D48" s="263">
        <f>审定合并PL!C47</f>
        <v>0</v>
      </c>
      <c r="E48" s="263">
        <f>D48-C48</f>
        <v>0</v>
      </c>
      <c r="F48" s="255" t="str">
        <f>IF(AND(C48=0,D48=0),"",IF(C48=0,100%,IF(D48=0,-100%,E48/C48)))</f>
        <v/>
      </c>
      <c r="G48" s="741" t="str">
        <f>IF(F48="","",IF(OR(ABS(F48)&gt;=30%,ABS(E48)&gt;=已审横向BS!$D$60*5%,ABS(E48)&gt;=$D$39*10%),"显著",IF(ABS(F48)&gt;=10%,"关注","")))</f>
        <v/>
      </c>
      <c r="H48" s="609"/>
    </row>
    <row r="49" spans="1:8" s="177" customFormat="1" ht="13.5">
      <c r="A49" s="1100" t="str">
        <f>报表格式!L47</f>
        <v xml:space="preserve"> （二）按所有权归属分类</v>
      </c>
      <c r="B49" s="1094">
        <f t="shared" si="0"/>
        <v>43</v>
      </c>
      <c r="C49" s="262"/>
      <c r="D49" s="263"/>
      <c r="E49" s="263"/>
      <c r="F49" s="255"/>
      <c r="G49" s="741"/>
      <c r="H49" s="609"/>
    </row>
    <row r="50" spans="1:8" s="177" customFormat="1" ht="13.5">
      <c r="A50" s="1100" t="str">
        <f>报表格式!L48</f>
        <v xml:space="preserve">     其中：归属于母公司股东的净利润（净亏损以“-”号填列）</v>
      </c>
      <c r="B50" s="1094">
        <f t="shared" si="0"/>
        <v>44</v>
      </c>
      <c r="C50" s="262">
        <f>上年PL审定!B49</f>
        <v>0</v>
      </c>
      <c r="D50" s="263">
        <f>审定合并PL!C49</f>
        <v>0</v>
      </c>
      <c r="E50" s="263">
        <f t="shared" si="9"/>
        <v>0</v>
      </c>
      <c r="F50" s="255" t="str">
        <f t="shared" si="10"/>
        <v/>
      </c>
      <c r="G50" s="741" t="str">
        <f>IF(F50="","",IF(OR(ABS(F50)&gt;=30%,ABS(E50)&gt;=已审横向BS!$D$60*5%,ABS(E50)&gt;=$D$39*10%),"显著",IF(ABS(F50)&gt;=10%,"关注","")))</f>
        <v/>
      </c>
      <c r="H50" s="609"/>
    </row>
    <row r="51" spans="1:8" s="177" customFormat="1" ht="13.5">
      <c r="A51" s="1100" t="str">
        <f>报表格式!L49</f>
        <v xml:space="preserve">                少数股东损益（净亏损以“-”号填列）</v>
      </c>
      <c r="B51" s="1094">
        <f t="shared" si="0"/>
        <v>45</v>
      </c>
      <c r="C51" s="262">
        <f>上年PL审定!B50</f>
        <v>0</v>
      </c>
      <c r="D51" s="263">
        <f>审定合并PL!C50</f>
        <v>0</v>
      </c>
      <c r="E51" s="263">
        <f>D51-C51</f>
        <v>0</v>
      </c>
      <c r="F51" s="255" t="str">
        <f>IF(AND(C51=0,D51=0),"",IF(C51=0,100%,IF(D51=0,-100%,E51/C51)))</f>
        <v/>
      </c>
      <c r="G51" s="741" t="str">
        <f>IF(F51="","",IF(OR(ABS(F51)&gt;=30%,ABS(E51)&gt;=已审横向BS!$D$60*5%,ABS(E51)&gt;=$D$39*10%),"显著",IF(ABS(F51)&gt;=10%,"关注","")))</f>
        <v/>
      </c>
      <c r="H51" s="609"/>
    </row>
    <row r="52" spans="1:8" s="177" customFormat="1" ht="13.5">
      <c r="A52" s="1101" t="str">
        <f>报表格式!L50</f>
        <v>五、其他综合收益的税后净额</v>
      </c>
      <c r="B52" s="1094">
        <f t="shared" si="0"/>
        <v>46</v>
      </c>
      <c r="C52" s="261">
        <f>上年PL审定!B51</f>
        <v>0</v>
      </c>
      <c r="D52" s="320">
        <f>审定合并PL!C51</f>
        <v>0</v>
      </c>
      <c r="E52" s="320">
        <f>D52-C52</f>
        <v>0</v>
      </c>
      <c r="F52" s="322" t="str">
        <f>IF(AND(C52=0,D52=0),"",IF(C52=0,100%,IF(D52=0,-100%,E52/C52)))</f>
        <v/>
      </c>
      <c r="G52" s="741" t="str">
        <f>IF(F52="","",IF(OR(ABS(F52)&gt;=30%,ABS(E52)&gt;=已审横向BS!$D$60*5%,ABS(E52)&gt;=$D$39*10%),"显著",IF(ABS(F52)&gt;=10%,"关注","")))</f>
        <v/>
      </c>
      <c r="H52" s="609"/>
    </row>
    <row r="53" spans="1:8" s="177" customFormat="1" ht="13.5">
      <c r="A53" s="1100" t="str">
        <f>报表格式!L51</f>
        <v>归属于母公司股东的其他综合收益的税后净额</v>
      </c>
      <c r="B53" s="1094">
        <f t="shared" si="0"/>
        <v>47</v>
      </c>
      <c r="C53" s="262">
        <f>上年PL审定!B52</f>
        <v>0</v>
      </c>
      <c r="D53" s="263">
        <f>审定合并PL!C52</f>
        <v>0</v>
      </c>
      <c r="E53" s="263">
        <f t="shared" ref="E53:E61" si="11">D53-C53</f>
        <v>0</v>
      </c>
      <c r="F53" s="255" t="str">
        <f t="shared" ref="F53:F61" si="12">IF(AND(C53=0,D53=0),"",IF(C53=0,100%,IF(D53=0,-100%,E53/C53)))</f>
        <v/>
      </c>
      <c r="G53" s="741" t="str">
        <f>IF(F53="","",IF(OR(ABS(F53)&gt;=30%,ABS(E53)&gt;=已审横向BS!$D$60*5%,ABS(E53)&gt;=$D$39*10%),"显著",IF(ABS(F53)&gt;=10%,"关注","")))</f>
        <v/>
      </c>
      <c r="H53" s="609"/>
    </row>
    <row r="54" spans="1:8" s="177" customFormat="1" ht="13.5">
      <c r="A54" s="1100" t="str">
        <f>报表格式!L52</f>
        <v xml:space="preserve">  （一）不能重分类进损益的其他综合收益</v>
      </c>
      <c r="B54" s="1094">
        <f t="shared" si="0"/>
        <v>48</v>
      </c>
      <c r="C54" s="262">
        <f>上年PL审定!B53</f>
        <v>0</v>
      </c>
      <c r="D54" s="263">
        <f>审定合并PL!C53</f>
        <v>0</v>
      </c>
      <c r="E54" s="263">
        <f t="shared" si="11"/>
        <v>0</v>
      </c>
      <c r="F54" s="255" t="str">
        <f t="shared" si="12"/>
        <v/>
      </c>
      <c r="G54" s="741" t="str">
        <f>IF(F54="","",IF(OR(ABS(F54)&gt;=30%,ABS(E54)&gt;=已审横向BS!$D$60*5%,ABS(E54)&gt;=$D$39*10%),"显著",IF(ABS(F54)&gt;=10%,"关注","")))</f>
        <v/>
      </c>
      <c r="H54" s="609"/>
    </row>
    <row r="55" spans="1:8" s="177" customFormat="1" ht="13.5">
      <c r="A55" s="1102" t="str">
        <f>报表格式!L53</f>
        <v>1.重新计量设定受益计划变动额</v>
      </c>
      <c r="B55" s="1094">
        <f t="shared" si="0"/>
        <v>49</v>
      </c>
      <c r="C55" s="262">
        <f>上年PL审定!B54</f>
        <v>0</v>
      </c>
      <c r="D55" s="263">
        <f>审定合并PL!C54</f>
        <v>0</v>
      </c>
      <c r="E55" s="263">
        <f t="shared" si="11"/>
        <v>0</v>
      </c>
      <c r="F55" s="255" t="str">
        <f t="shared" si="12"/>
        <v/>
      </c>
      <c r="G55" s="741" t="str">
        <f>IF(F55="","",IF(OR(ABS(F55)&gt;=30%,ABS(E55)&gt;=已审横向BS!$D$60*5%,ABS(E55)&gt;=$D$39*10%),"显著",IF(ABS(F55)&gt;=10%,"关注","")))</f>
        <v/>
      </c>
      <c r="H55" s="609"/>
    </row>
    <row r="56" spans="1:8" s="177" customFormat="1" ht="13.5">
      <c r="A56" s="1102" t="str">
        <f>报表格式!L54</f>
        <v>2.权益法下不能转损益的其他综合收益</v>
      </c>
      <c r="B56" s="1094">
        <f t="shared" si="0"/>
        <v>50</v>
      </c>
      <c r="C56" s="262">
        <f>上年PL审定!B55</f>
        <v>0</v>
      </c>
      <c r="D56" s="263">
        <f>审定合并PL!C55</f>
        <v>0</v>
      </c>
      <c r="E56" s="263">
        <f t="shared" si="11"/>
        <v>0</v>
      </c>
      <c r="F56" s="255" t="str">
        <f t="shared" si="12"/>
        <v/>
      </c>
      <c r="G56" s="741" t="str">
        <f>IF(F56="","",IF(OR(ABS(F56)&gt;=30%,ABS(E56)&gt;=已审横向BS!$D$60*5%,ABS(E56)&gt;=$D$39*10%),"显著",IF(ABS(F56)&gt;=10%,"关注","")))</f>
        <v/>
      </c>
      <c r="H56" s="609"/>
    </row>
    <row r="57" spans="1:8" s="177" customFormat="1" ht="13.5">
      <c r="A57" s="1102" t="str">
        <f>报表格式!L55</f>
        <v xml:space="preserve">3.其他权益工具投资公允价值变动 </v>
      </c>
      <c r="B57" s="1094">
        <f t="shared" si="0"/>
        <v>51</v>
      </c>
      <c r="C57" s="262">
        <f>上年PL审定!B56</f>
        <v>0</v>
      </c>
      <c r="D57" s="263">
        <f>审定合并PL!C56</f>
        <v>0</v>
      </c>
      <c r="E57" s="263">
        <f t="shared" ref="E57:E58" si="13">D57-C57</f>
        <v>0</v>
      </c>
      <c r="F57" s="255" t="str">
        <f t="shared" ref="F57:F58" si="14">IF(AND(C57=0,D57=0),"",IF(C57=0,100%,IF(D57=0,-100%,E57/C57)))</f>
        <v/>
      </c>
      <c r="G57" s="741" t="str">
        <f>IF(F57="","",IF(OR(ABS(F57)&gt;=30%,ABS(E57)&gt;=已审横向BS!$D$60*5%,ABS(E57)&gt;=$D$39*10%),"显著",IF(ABS(F57)&gt;=10%,"关注","")))</f>
        <v/>
      </c>
      <c r="H57" s="609"/>
    </row>
    <row r="58" spans="1:8" s="177" customFormat="1" ht="13.5">
      <c r="A58" s="1102" t="str">
        <f>报表格式!L56</f>
        <v xml:space="preserve">4.企业自身信用风险公允价值变动 </v>
      </c>
      <c r="B58" s="1094">
        <f t="shared" si="0"/>
        <v>52</v>
      </c>
      <c r="C58" s="262">
        <f>上年PL审定!B57</f>
        <v>0</v>
      </c>
      <c r="D58" s="263">
        <f>审定合并PL!C57</f>
        <v>0</v>
      </c>
      <c r="E58" s="263">
        <f t="shared" si="13"/>
        <v>0</v>
      </c>
      <c r="F58" s="255" t="str">
        <f t="shared" si="14"/>
        <v/>
      </c>
      <c r="G58" s="741" t="str">
        <f>IF(F58="","",IF(OR(ABS(F58)&gt;=30%,ABS(E58)&gt;=已审横向BS!$D$60*5%,ABS(E58)&gt;=$D$39*10%),"显著",IF(ABS(F58)&gt;=10%,"关注","")))</f>
        <v/>
      </c>
      <c r="H58" s="609"/>
    </row>
    <row r="59" spans="1:8" s="177" customFormat="1" ht="13.5">
      <c r="A59" s="1102" t="str">
        <f>报表格式!L57</f>
        <v>5.其他</v>
      </c>
      <c r="B59" s="1094">
        <f t="shared" si="0"/>
        <v>53</v>
      </c>
      <c r="C59" s="262">
        <f>上年PL审定!B58</f>
        <v>0</v>
      </c>
      <c r="D59" s="263">
        <f>审定合并PL!C58</f>
        <v>0</v>
      </c>
      <c r="E59" s="263">
        <f t="shared" si="11"/>
        <v>0</v>
      </c>
      <c r="F59" s="255" t="str">
        <f t="shared" si="12"/>
        <v/>
      </c>
      <c r="G59" s="741" t="str">
        <f>IF(F59="","",IF(OR(ABS(F59)&gt;=30%,ABS(E59)&gt;=已审横向BS!$D$60*5%,ABS(E59)&gt;=$D$39*10%),"显著",IF(ABS(F59)&gt;=10%,"关注","")))</f>
        <v/>
      </c>
      <c r="H59" s="609"/>
    </row>
    <row r="60" spans="1:8" s="177" customFormat="1" ht="13.5">
      <c r="A60" s="1100" t="str">
        <f>报表格式!L58</f>
        <v xml:space="preserve">  （二）将重分类进损益的其他综合收益</v>
      </c>
      <c r="B60" s="1094">
        <f t="shared" si="0"/>
        <v>54</v>
      </c>
      <c r="C60" s="262">
        <f>上年PL审定!B59</f>
        <v>0</v>
      </c>
      <c r="D60" s="263">
        <f>审定合并PL!C59</f>
        <v>0</v>
      </c>
      <c r="E60" s="263">
        <f t="shared" si="11"/>
        <v>0</v>
      </c>
      <c r="F60" s="255" t="str">
        <f t="shared" si="12"/>
        <v/>
      </c>
      <c r="G60" s="741" t="str">
        <f>IF(F60="","",IF(OR(ABS(F60)&gt;=30%,ABS(E60)&gt;=已审横向BS!$D$60*5%,ABS(E60)&gt;=$D$39*10%),"显著",IF(ABS(F60)&gt;=10%,"关注","")))</f>
        <v/>
      </c>
      <c r="H60" s="609"/>
    </row>
    <row r="61" spans="1:8" s="177" customFormat="1" ht="13.5">
      <c r="A61" s="1102" t="str">
        <f>报表格式!L59</f>
        <v>1.权益法下可转损益的其他综合收益</v>
      </c>
      <c r="B61" s="1094">
        <f t="shared" si="0"/>
        <v>55</v>
      </c>
      <c r="C61" s="262">
        <f>上年PL审定!B60</f>
        <v>0</v>
      </c>
      <c r="D61" s="263">
        <f>审定合并PL!C60</f>
        <v>0</v>
      </c>
      <c r="E61" s="263">
        <f t="shared" si="11"/>
        <v>0</v>
      </c>
      <c r="F61" s="255" t="str">
        <f t="shared" si="12"/>
        <v/>
      </c>
      <c r="G61" s="741" t="str">
        <f>IF(F61="","",IF(OR(ABS(F61)&gt;=30%,ABS(E61)&gt;=已审横向BS!$D$60*5%,ABS(E61)&gt;=$D$39*10%),"显著",IF(ABS(F61)&gt;=10%,"关注","")))</f>
        <v/>
      </c>
      <c r="H61" s="609"/>
    </row>
    <row r="62" spans="1:8" s="177" customFormat="1" ht="13.5">
      <c r="A62" s="1102" t="str">
        <f>报表格式!L60</f>
        <v xml:space="preserve">2.其他债权投资公允价值变动 </v>
      </c>
      <c r="B62" s="1094">
        <f t="shared" si="0"/>
        <v>56</v>
      </c>
      <c r="C62" s="262">
        <f>上年PL审定!B61</f>
        <v>0</v>
      </c>
      <c r="D62" s="263">
        <f>审定合并PL!C61</f>
        <v>0</v>
      </c>
      <c r="E62" s="263">
        <f t="shared" ref="E62:E66" si="15">D62-C62</f>
        <v>0</v>
      </c>
      <c r="F62" s="255" t="str">
        <f t="shared" ref="F62:F66" si="16">IF(AND(C62=0,D62=0),"",IF(C62=0,100%,IF(D62=0,-100%,E62/C62)))</f>
        <v/>
      </c>
      <c r="G62" s="741" t="str">
        <f>IF(F62="","",IF(OR(ABS(F62)&gt;=30%,ABS(E62)&gt;=已审横向BS!$D$60*5%,ABS(E62)&gt;=$D$39*10%),"显著",IF(ABS(F62)&gt;=10%,"关注","")))</f>
        <v/>
      </c>
      <c r="H62" s="609"/>
    </row>
    <row r="63" spans="1:8" s="177" customFormat="1" ht="13.5">
      <c r="A63" s="1102" t="str">
        <f>报表格式!L61</f>
        <v>3.可供出售金融资产公允价值变动损益</v>
      </c>
      <c r="B63" s="1094">
        <f t="shared" si="0"/>
        <v>57</v>
      </c>
      <c r="C63" s="262">
        <f>上年PL审定!B62</f>
        <v>0</v>
      </c>
      <c r="D63" s="263">
        <f>审定合并PL!C62</f>
        <v>0</v>
      </c>
      <c r="E63" s="263">
        <f t="shared" si="15"/>
        <v>0</v>
      </c>
      <c r="F63" s="255" t="str">
        <f t="shared" si="16"/>
        <v/>
      </c>
      <c r="G63" s="741" t="str">
        <f>IF(F63="","",IF(OR(ABS(F63)&gt;=30%,ABS(E63)&gt;=已审横向BS!$D$60*5%,ABS(E63)&gt;=$D$39*10%),"显著",IF(ABS(F63)&gt;=10%,"关注","")))</f>
        <v/>
      </c>
      <c r="H63" s="609"/>
    </row>
    <row r="64" spans="1:8" s="177" customFormat="1" ht="13.5">
      <c r="A64" s="1102" t="str">
        <f>报表格式!L62</f>
        <v xml:space="preserve">4.金融资产重分类计入其他综合收益的金额 </v>
      </c>
      <c r="B64" s="1094">
        <f t="shared" si="0"/>
        <v>58</v>
      </c>
      <c r="C64" s="262">
        <f>上年PL审定!B63</f>
        <v>0</v>
      </c>
      <c r="D64" s="263">
        <f>审定合并PL!C63</f>
        <v>0</v>
      </c>
      <c r="E64" s="263">
        <f t="shared" si="15"/>
        <v>0</v>
      </c>
      <c r="F64" s="255" t="str">
        <f t="shared" si="16"/>
        <v/>
      </c>
      <c r="G64" s="741" t="str">
        <f>IF(F64="","",IF(OR(ABS(F64)&gt;=30%,ABS(E64)&gt;=已审横向BS!$D$60*5%,ABS(E64)&gt;=$D$39*10%),"显著",IF(ABS(F64)&gt;=10%,"关注","")))</f>
        <v/>
      </c>
      <c r="H64" s="609"/>
    </row>
    <row r="65" spans="1:8" s="177" customFormat="1" ht="13.5">
      <c r="A65" s="1102" t="str">
        <f>报表格式!L63</f>
        <v>5.持有至到期投资重分类为可供出售金融资产损益</v>
      </c>
      <c r="B65" s="1094">
        <f t="shared" si="0"/>
        <v>59</v>
      </c>
      <c r="C65" s="262">
        <f>上年PL审定!B64</f>
        <v>0</v>
      </c>
      <c r="D65" s="263">
        <f>审定合并PL!C64</f>
        <v>0</v>
      </c>
      <c r="E65" s="263">
        <f t="shared" si="15"/>
        <v>0</v>
      </c>
      <c r="F65" s="255" t="str">
        <f t="shared" si="16"/>
        <v/>
      </c>
      <c r="G65" s="741" t="str">
        <f>IF(F65="","",IF(OR(ABS(F65)&gt;=30%,ABS(E65)&gt;=已审横向BS!$D$60*5%,ABS(E65)&gt;=$D$39*10%),"显著",IF(ABS(F65)&gt;=10%,"关注","")))</f>
        <v/>
      </c>
      <c r="H65" s="609"/>
    </row>
    <row r="66" spans="1:8" s="177" customFormat="1" ht="13.5">
      <c r="A66" s="1102" t="str">
        <f>报表格式!L64</f>
        <v>6.其他债权投资信用减值准备</v>
      </c>
      <c r="B66" s="1094">
        <f t="shared" si="0"/>
        <v>60</v>
      </c>
      <c r="C66" s="262">
        <f>上年PL审定!B65</f>
        <v>0</v>
      </c>
      <c r="D66" s="263">
        <f>审定合并PL!C65</f>
        <v>0</v>
      </c>
      <c r="E66" s="263">
        <f t="shared" si="15"/>
        <v>0</v>
      </c>
      <c r="F66" s="255" t="str">
        <f t="shared" si="16"/>
        <v/>
      </c>
      <c r="G66" s="741" t="str">
        <f>IF(F66="","",IF(OR(ABS(F66)&gt;=30%,ABS(E66)&gt;=已审横向BS!$D$60*5%,ABS(E66)&gt;=$D$39*10%),"显著",IF(ABS(F66)&gt;=10%,"关注","")))</f>
        <v/>
      </c>
      <c r="H66" s="609"/>
    </row>
    <row r="67" spans="1:8" s="177" customFormat="1" ht="13.5">
      <c r="A67" s="1102" t="str">
        <f>报表格式!L65</f>
        <v>7.现金流量套期储备</v>
      </c>
      <c r="B67" s="1094">
        <f t="shared" si="0"/>
        <v>61</v>
      </c>
      <c r="C67" s="262">
        <f>上年PL审定!B66</f>
        <v>0</v>
      </c>
      <c r="D67" s="263">
        <f>审定合并PL!C66</f>
        <v>0</v>
      </c>
      <c r="E67" s="263">
        <f t="shared" ref="E67:E71" si="17">D67-C67</f>
        <v>0</v>
      </c>
      <c r="F67" s="255" t="str">
        <f t="shared" ref="F67:F71" si="18">IF(AND(C67=0,D67=0),"",IF(C67=0,100%,IF(D67=0,-100%,E67/C67)))</f>
        <v/>
      </c>
      <c r="G67" s="741" t="str">
        <f>IF(F67="","",IF(OR(ABS(F67)&gt;=30%,ABS(E67)&gt;=已审横向BS!$D$60*5%,ABS(E67)&gt;=$D$39*10%),"显著",IF(ABS(F67)&gt;=10%,"关注","")))</f>
        <v/>
      </c>
      <c r="H67" s="609"/>
    </row>
    <row r="68" spans="1:8" s="177" customFormat="1" ht="13.5">
      <c r="A68" s="1102" t="str">
        <f>报表格式!L66</f>
        <v>8.外币财务报表折算差额</v>
      </c>
      <c r="B68" s="1094">
        <f t="shared" si="0"/>
        <v>62</v>
      </c>
      <c r="C68" s="262">
        <f>上年PL审定!B67</f>
        <v>0</v>
      </c>
      <c r="D68" s="263">
        <f>审定合并PL!C67</f>
        <v>0</v>
      </c>
      <c r="E68" s="263">
        <f t="shared" si="17"/>
        <v>0</v>
      </c>
      <c r="F68" s="255" t="str">
        <f t="shared" si="18"/>
        <v/>
      </c>
      <c r="G68" s="741" t="str">
        <f>IF(F68="","",IF(OR(ABS(F68)&gt;=30%,ABS(E68)&gt;=已审横向BS!$D$60*5%,ABS(E68)&gt;=$D$39*10%),"显著",IF(ABS(F68)&gt;=10%,"关注","")))</f>
        <v/>
      </c>
      <c r="H68" s="609"/>
    </row>
    <row r="69" spans="1:8" s="177" customFormat="1" ht="13.5">
      <c r="A69" s="1102" t="str">
        <f>报表格式!L67</f>
        <v>9.自用房地产或作为存货的房地产转换为以公允价值计量的投资性房地产在转换日公允价值大于账面价值部分</v>
      </c>
      <c r="B69" s="1094">
        <f t="shared" si="0"/>
        <v>63</v>
      </c>
      <c r="C69" s="262">
        <f>上年PL审定!B68</f>
        <v>0</v>
      </c>
      <c r="D69" s="263">
        <f>审定合并PL!C68</f>
        <v>0</v>
      </c>
      <c r="E69" s="263">
        <f t="shared" si="17"/>
        <v>0</v>
      </c>
      <c r="F69" s="255" t="str">
        <f t="shared" si="18"/>
        <v/>
      </c>
      <c r="G69" s="741" t="str">
        <f>IF(F69="","",IF(OR(ABS(F69)&gt;=30%,ABS(E69)&gt;=已审横向BS!$D$60*5%,ABS(E69)&gt;=$D$39*10%),"显著",IF(ABS(F69)&gt;=10%,"关注","")))</f>
        <v/>
      </c>
      <c r="H69" s="609"/>
    </row>
    <row r="70" spans="1:8" s="177" customFormat="1" ht="13.5">
      <c r="A70" s="1102" t="str">
        <f>报表格式!L68</f>
        <v>10.多次交易分步处置子公司股权构成一揽子交易的，丧失控制权之前各次交易处置价款与对应净资产账面价值份额的差额</v>
      </c>
      <c r="B70" s="1094">
        <f t="shared" si="0"/>
        <v>64</v>
      </c>
      <c r="C70" s="262">
        <f>上年PL审定!B69</f>
        <v>0</v>
      </c>
      <c r="D70" s="263">
        <f>审定合并PL!C69</f>
        <v>0</v>
      </c>
      <c r="E70" s="263">
        <f t="shared" si="17"/>
        <v>0</v>
      </c>
      <c r="F70" s="255" t="str">
        <f t="shared" si="18"/>
        <v/>
      </c>
      <c r="G70" s="741" t="str">
        <f>IF(F70="","",IF(OR(ABS(F70)&gt;=30%,ABS(E70)&gt;=已审横向BS!$D$60*5%,ABS(E70)&gt;=$D$39*10%),"显著",IF(ABS(F70)&gt;=10%,"关注","")))</f>
        <v/>
      </c>
      <c r="H70" s="609"/>
    </row>
    <row r="71" spans="1:8" s="177" customFormat="1" ht="13.5">
      <c r="A71" s="1102" t="str">
        <f>报表格式!L69</f>
        <v>11.其他</v>
      </c>
      <c r="B71" s="1094">
        <f t="shared" si="0"/>
        <v>65</v>
      </c>
      <c r="C71" s="262">
        <f>上年PL审定!B70</f>
        <v>0</v>
      </c>
      <c r="D71" s="263">
        <f>审定合并PL!C70</f>
        <v>0</v>
      </c>
      <c r="E71" s="263">
        <f t="shared" si="17"/>
        <v>0</v>
      </c>
      <c r="F71" s="255" t="str">
        <f t="shared" si="18"/>
        <v/>
      </c>
      <c r="G71" s="741" t="str">
        <f>IF(F71="","",IF(OR(ABS(F71)&gt;=30%,ABS(E71)&gt;=已审横向BS!$D$60*5%,ABS(E71)&gt;=$D$39*10%),"显著",IF(ABS(F71)&gt;=10%,"关注","")))</f>
        <v/>
      </c>
      <c r="H71" s="609"/>
    </row>
    <row r="72" spans="1:8" s="177" customFormat="1" ht="13.5">
      <c r="A72" s="1100" t="str">
        <f>报表格式!L70</f>
        <v>归属于少数股东的其他综合收益的税后净额</v>
      </c>
      <c r="B72" s="1094">
        <f t="shared" si="0"/>
        <v>66</v>
      </c>
      <c r="C72" s="263">
        <f>上年PL审定!B71</f>
        <v>0</v>
      </c>
      <c r="D72" s="263">
        <f>审定合并PL!C71</f>
        <v>0</v>
      </c>
      <c r="E72" s="263">
        <f>D72-C72</f>
        <v>0</v>
      </c>
      <c r="F72" s="255" t="str">
        <f>IF(AND(C72=0,D72=0),"",IF(C72=0,100%,IF(D72=0,-100%,E72/C72)))</f>
        <v/>
      </c>
      <c r="G72" s="741" t="str">
        <f>IF(F72="","",IF(OR(ABS(F72)&gt;=30%,ABS(E72)&gt;=已审横向BS!$D$60*5%,ABS(E72)&gt;=$D$39*10%),"显著",IF(ABS(F72)&gt;=10%,"关注","")))</f>
        <v/>
      </c>
      <c r="H72" s="609"/>
    </row>
    <row r="73" spans="1:8" s="177" customFormat="1" ht="13.5">
      <c r="A73" s="1101" t="str">
        <f>报表格式!L71</f>
        <v>六、综合收益总额</v>
      </c>
      <c r="B73" s="1094">
        <f t="shared" ref="B73:B77" si="19">B72+1</f>
        <v>67</v>
      </c>
      <c r="C73" s="320">
        <f>上年PL审定!B72</f>
        <v>0</v>
      </c>
      <c r="D73" s="320">
        <f>审定合并PL!C72</f>
        <v>0</v>
      </c>
      <c r="E73" s="320">
        <f>D73-C73</f>
        <v>0</v>
      </c>
      <c r="F73" s="322" t="str">
        <f>IF(AND(C73=0,D73=0),"",IF(C73=0,100%,IF(D73=0,-100%,E73/C73)))</f>
        <v/>
      </c>
      <c r="G73" s="741" t="str">
        <f>IF(F73="","",IF(OR(ABS(F73)&gt;=30%,ABS(E73)&gt;=已审横向BS!$D$60*5%,ABS(E73)&gt;=$D$39*10%),"显著",IF(ABS(F73)&gt;=10%,"关注","")))</f>
        <v/>
      </c>
      <c r="H73" s="609"/>
    </row>
    <row r="74" spans="1:8" s="177" customFormat="1" ht="13.5">
      <c r="A74" s="1100" t="str">
        <f>报表格式!L72</f>
        <v xml:space="preserve">     归属于母公司股东的综合收益总额</v>
      </c>
      <c r="B74" s="1094">
        <f t="shared" si="19"/>
        <v>68</v>
      </c>
      <c r="C74" s="263">
        <f>上年PL审定!B73</f>
        <v>0</v>
      </c>
      <c r="D74" s="263">
        <f>审定合并PL!C73</f>
        <v>0</v>
      </c>
      <c r="E74" s="263">
        <f>D74-C74</f>
        <v>0</v>
      </c>
      <c r="F74" s="255" t="str">
        <f>IF(AND(C74=0,D74=0),"",IF(C74=0,100%,IF(D74=0,-100%,E74/C74)))</f>
        <v/>
      </c>
      <c r="G74" s="741" t="str">
        <f>IF(F74="","",IF(OR(ABS(F74)&gt;=30%,ABS(E74)&gt;=已审横向BS!$D$60*5%,ABS(E74)&gt;=$D$39*10%),"显著",IF(ABS(F74)&gt;=10%,"关注","")))</f>
        <v/>
      </c>
      <c r="H74" s="609"/>
    </row>
    <row r="75" spans="1:8" s="177" customFormat="1" ht="13.5">
      <c r="A75" s="1100" t="str">
        <f>报表格式!L73</f>
        <v xml:space="preserve">     归属于少数股东的综合收益总额</v>
      </c>
      <c r="B75" s="1094">
        <f t="shared" si="19"/>
        <v>69</v>
      </c>
      <c r="C75" s="263">
        <f>上年PL审定!B74</f>
        <v>0</v>
      </c>
      <c r="D75" s="263">
        <f>审定合并PL!C74</f>
        <v>0</v>
      </c>
      <c r="E75" s="263">
        <f>D75-C75</f>
        <v>0</v>
      </c>
      <c r="F75" s="255" t="str">
        <f>IF(AND(C75=0,D75=0),"",IF(C75=0,100%,IF(D75=0,-100%,E75/C75)))</f>
        <v/>
      </c>
      <c r="G75" s="741" t="str">
        <f>IF(F75="","",IF(OR(ABS(F75)&gt;=30%,ABS(E75)&gt;=已审横向BS!$D$60*5%,ABS(E75)&gt;=$D$39*10%),"显著",IF(ABS(F75)&gt;=10%,"关注","")))</f>
        <v/>
      </c>
      <c r="H75" s="609"/>
    </row>
    <row r="76" spans="1:8" s="177" customFormat="1" ht="13.5">
      <c r="A76" s="1101" t="str">
        <f>报表格式!L74</f>
        <v>七、每股收益</v>
      </c>
      <c r="B76" s="1094">
        <f t="shared" si="19"/>
        <v>70</v>
      </c>
      <c r="C76" s="263"/>
      <c r="D76" s="263"/>
      <c r="E76" s="263"/>
      <c r="F76" s="255"/>
      <c r="G76" s="741"/>
      <c r="H76" s="609"/>
    </row>
    <row r="77" spans="1:8" s="177" customFormat="1" ht="13.5">
      <c r="A77" s="1103" t="str">
        <f>报表格式!L75</f>
        <v xml:space="preserve">   （一）基本每股收益</v>
      </c>
      <c r="B77" s="1094">
        <f t="shared" si="19"/>
        <v>71</v>
      </c>
      <c r="C77" s="263">
        <f>上年PL审定!B76</f>
        <v>0</v>
      </c>
      <c r="D77" s="263">
        <f>审定合并PL!C76</f>
        <v>0</v>
      </c>
      <c r="E77" s="263">
        <f>D77-C77</f>
        <v>0</v>
      </c>
      <c r="F77" s="255" t="str">
        <f>IF(AND(C77=0,D77=0),"",IF(C77=0,100%,IF(D77=0,-100%,E77/C77)))</f>
        <v/>
      </c>
      <c r="G77" s="741" t="str">
        <f>IF(F77="","",IF(OR(ABS(F77)&gt;=30%,ABS(E77)&gt;=已审横向BS!$D$60*5%,ABS(E77)&gt;=$D$39*10%),"显著",IF(ABS(F77)&gt;=10%,"关注","")))</f>
        <v/>
      </c>
      <c r="H77" s="609"/>
    </row>
    <row r="78" spans="1:8" s="177" customFormat="1" ht="13.5" thickBot="1">
      <c r="A78" s="1104" t="str">
        <f>报表格式!L76</f>
        <v xml:space="preserve">   （二）稀释每股收益</v>
      </c>
      <c r="B78" s="1096">
        <f t="shared" ref="B78" si="20">B77+1</f>
        <v>72</v>
      </c>
      <c r="C78" s="785">
        <f>上年PL审定!B77</f>
        <v>0</v>
      </c>
      <c r="D78" s="786">
        <f>审定合并PL!C77</f>
        <v>0</v>
      </c>
      <c r="E78" s="786">
        <f>D78-C78</f>
        <v>0</v>
      </c>
      <c r="F78" s="787" t="str">
        <f>IF(AND(C78=0,D78=0),"",IF(C78=0,100%,IF(D78=0,-100%,E78/C78)))</f>
        <v/>
      </c>
      <c r="G78" s="788" t="str">
        <f>IF(F78="","",IF(OR(ABS(F78)&gt;=30%,ABS(E78)&gt;=已审横向BS!$D$60*5%,ABS(E78)&gt;=$D$39*10%),"显著",IF(ABS(F78)&gt;=10%,"关注","")))</f>
        <v/>
      </c>
      <c r="H78" s="789"/>
    </row>
    <row r="81" spans="6:6">
      <c r="F81" s="178"/>
    </row>
    <row r="82" spans="6:6">
      <c r="F82" s="179"/>
    </row>
  </sheetData>
  <sheetProtection insertRows="0"/>
  <mergeCells count="7">
    <mergeCell ref="A4:A6"/>
    <mergeCell ref="B4:B6"/>
    <mergeCell ref="A1:H1"/>
    <mergeCell ref="C4:C5"/>
    <mergeCell ref="D4:D5"/>
    <mergeCell ref="G4:G6"/>
    <mergeCell ref="H4:H6"/>
  </mergeCells>
  <phoneticPr fontId="3" type="noConversion"/>
  <conditionalFormatting sqref="H8">
    <cfRule type="cellIs" dxfId="19" priority="1" stopIfTrue="1" operator="equal">
      <formula>"异常"</formula>
    </cfRule>
  </conditionalFormatting>
  <conditionalFormatting sqref="G7:G78">
    <cfRule type="cellIs" dxfId="18" priority="2" stopIfTrue="1" operator="equal">
      <formula>"显著"</formula>
    </cfRule>
  </conditionalFormatting>
  <printOptions horizontalCentered="1"/>
  <pageMargins left="0.67" right="0.23622047244094491" top="0.62" bottom="0.25" header="0.28000000000000003" footer="0.2"/>
  <pageSetup paperSize="9" scale="84" orientation="portrait" blackAndWhite="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39"/>
    <pageSetUpPr fitToPage="1"/>
  </sheetPr>
  <dimension ref="A1:J82"/>
  <sheetViews>
    <sheetView showZeros="0" workbookViewId="0">
      <pane xSplit="2" ySplit="6" topLeftCell="C7" activePane="bottomRight" state="frozen"/>
      <selection activeCell="H6" sqref="H6"/>
      <selection pane="topRight" activeCell="H6" sqref="H6"/>
      <selection pane="bottomLeft" activeCell="H6" sqref="H6"/>
      <selection pane="bottomRight" activeCell="K17" sqref="K17"/>
    </sheetView>
  </sheetViews>
  <sheetFormatPr defaultColWidth="9" defaultRowHeight="14.25"/>
  <cols>
    <col min="1" max="1" width="42.625" style="996" customWidth="1"/>
    <col min="2" max="2" width="4.5" style="996" customWidth="1"/>
    <col min="3" max="3" width="10.875" style="78" customWidth="1"/>
    <col min="4" max="4" width="9.625" style="78" customWidth="1"/>
    <col min="5" max="5" width="10.75" style="78" customWidth="1"/>
    <col min="6" max="6" width="9.625" style="78" customWidth="1"/>
    <col min="7" max="7" width="9.375" style="78" customWidth="1"/>
    <col min="8" max="8" width="7.625" style="78" customWidth="1"/>
    <col min="9" max="9" width="12.875" style="78" customWidth="1"/>
    <col min="10" max="16384" width="9" style="78"/>
  </cols>
  <sheetData>
    <row r="1" spans="1:10" ht="18.75">
      <c r="A1" s="1219" t="s">
        <v>937</v>
      </c>
      <c r="B1" s="1219"/>
      <c r="C1" s="1219"/>
      <c r="D1" s="1219"/>
      <c r="E1" s="1219"/>
      <c r="F1" s="1219"/>
      <c r="G1" s="1219"/>
      <c r="H1" s="1219"/>
      <c r="I1" s="1219"/>
    </row>
    <row r="2" spans="1:10" s="32" customFormat="1" ht="15" customHeight="1">
      <c r="A2" s="1107" t="str">
        <f>CONCATENATE("客户名称：",说明!E23)</f>
        <v>客户名称：</v>
      </c>
      <c r="B2" s="1105" t="str">
        <f>CONCATENATE("编制：",说明!E36)</f>
        <v>编制：</v>
      </c>
      <c r="F2" s="88" t="str">
        <f>CONCATENATE("复核：",说明!E37)</f>
        <v>复核：</v>
      </c>
      <c r="I2" s="807" t="s">
        <v>955</v>
      </c>
      <c r="J2" s="91"/>
    </row>
    <row r="3" spans="1:10" s="32" customFormat="1" ht="17.25" customHeight="1" thickBot="1">
      <c r="A3" s="1108" t="str">
        <f>CONCATENATE("会计期间：",TEXT(说明!E30,"yyyy.mm.dd"))</f>
        <v>会计期间：2019年度</v>
      </c>
      <c r="B3" s="1106" t="str">
        <f ca="1">CONCATENATE("日期：",TEXT(NOW(),"yyyy.mm.dd"))</f>
        <v>日期：2019.12.31</v>
      </c>
      <c r="F3" s="89" t="s">
        <v>295</v>
      </c>
      <c r="I3" s="89" t="s">
        <v>380</v>
      </c>
      <c r="J3" s="91"/>
    </row>
    <row r="4" spans="1:10" s="177" customFormat="1" ht="12" customHeight="1">
      <c r="A4" s="1241" t="s">
        <v>253</v>
      </c>
      <c r="B4" s="1244" t="s">
        <v>255</v>
      </c>
      <c r="C4" s="1223" t="s">
        <v>365</v>
      </c>
      <c r="D4" s="1223"/>
      <c r="E4" s="1223" t="s">
        <v>384</v>
      </c>
      <c r="F4" s="1223"/>
      <c r="G4" s="1248" t="s">
        <v>379</v>
      </c>
      <c r="H4" s="1228" t="s">
        <v>448</v>
      </c>
      <c r="I4" s="1234" t="s">
        <v>449</v>
      </c>
    </row>
    <row r="5" spans="1:10" s="177" customFormat="1" ht="12.75">
      <c r="A5" s="1242"/>
      <c r="B5" s="1245"/>
      <c r="C5" s="174" t="s">
        <v>376</v>
      </c>
      <c r="D5" s="174" t="s">
        <v>377</v>
      </c>
      <c r="E5" s="174" t="s">
        <v>451</v>
      </c>
      <c r="F5" s="174" t="s">
        <v>377</v>
      </c>
      <c r="G5" s="1224"/>
      <c r="H5" s="1229"/>
      <c r="I5" s="1235"/>
    </row>
    <row r="6" spans="1:10" s="177" customFormat="1" ht="12.75">
      <c r="A6" s="1243"/>
      <c r="B6" s="1246"/>
      <c r="C6" s="176" t="s">
        <v>367</v>
      </c>
      <c r="D6" s="184" t="s">
        <v>381</v>
      </c>
      <c r="E6" s="184" t="s">
        <v>378</v>
      </c>
      <c r="F6" s="184" t="s">
        <v>382</v>
      </c>
      <c r="G6" s="184" t="s">
        <v>383</v>
      </c>
      <c r="H6" s="1230"/>
      <c r="I6" s="1236"/>
    </row>
    <row r="7" spans="1:10" s="177" customFormat="1" ht="13.5">
      <c r="A7" s="1099" t="str">
        <f>报表格式!L5</f>
        <v>一、营业收入</v>
      </c>
      <c r="B7" s="1093">
        <v>1</v>
      </c>
      <c r="C7" s="261">
        <f>已审横向PL!C7</f>
        <v>0</v>
      </c>
      <c r="D7" s="752" t="str">
        <f>IF(AND(C7&lt;&gt;0,$C$7&lt;&gt;0),C7/$C$7,"")</f>
        <v/>
      </c>
      <c r="E7" s="261">
        <f>已审横向PL!D7</f>
        <v>0</v>
      </c>
      <c r="F7" s="752" t="str">
        <f>IF(AND(E7&lt;&gt;0,$E$7&lt;&gt;0),E7/$E$7,"")</f>
        <v/>
      </c>
      <c r="G7" s="739" t="str">
        <f>IF(AND(D7="",F7=""),"",IF(D7="",F7,IF(F7="",-D7,F7-D7)))</f>
        <v/>
      </c>
      <c r="H7" s="692" t="str">
        <f>IF(G7="","",IF(ABS(G7)&gt;=30%,"显著",IF(ABS(G7)&gt;=10%,"关注","")))</f>
        <v/>
      </c>
      <c r="I7" s="607"/>
    </row>
    <row r="8" spans="1:10" s="177" customFormat="1" ht="13.5">
      <c r="A8" s="1100" t="str">
        <f>报表格式!L6</f>
        <v xml:space="preserve">        其中：主营业务收入</v>
      </c>
      <c r="B8" s="1094">
        <f>B7+1</f>
        <v>2</v>
      </c>
      <c r="C8" s="262">
        <f>已审横向PL!C8</f>
        <v>0</v>
      </c>
      <c r="D8" s="265" t="str">
        <f t="shared" ref="D8:D50" si="0">IF(AND(C8&lt;&gt;0,$C$7&lt;&gt;0),C8/$C$7,"")</f>
        <v/>
      </c>
      <c r="E8" s="263">
        <f>已审横向PL!D8</f>
        <v>0</v>
      </c>
      <c r="F8" s="265" t="str">
        <f t="shared" ref="F8:F50" si="1">IF(AND(E8&lt;&gt;0,$E$7&lt;&gt;0),E8/$E$7,"")</f>
        <v/>
      </c>
      <c r="G8" s="255" t="str">
        <f>IF(AND(D8="",F8=""),"",IF(D8="",F8,IF(F8="",-D8,F8-D8)))</f>
        <v/>
      </c>
      <c r="H8" s="692" t="str">
        <f t="shared" ref="H8:H50" si="2">IF(G8="","",IF(ABS(G8)&gt;=30%,"显著",IF(ABS(G8)&gt;=10%,"关注","")))</f>
        <v/>
      </c>
      <c r="I8" s="608"/>
    </row>
    <row r="9" spans="1:10" s="177" customFormat="1" ht="13.5">
      <c r="A9" s="1100" t="str">
        <f>报表格式!L7</f>
        <v xml:space="preserve">              利息收入</v>
      </c>
      <c r="B9" s="1094">
        <f t="shared" ref="B9:B12" si="3">B8+1</f>
        <v>3</v>
      </c>
      <c r="C9" s="262">
        <f>已审横向PL!C9</f>
        <v>0</v>
      </c>
      <c r="D9" s="265" t="str">
        <f t="shared" ref="D9:D12" si="4">IF(AND(C9&lt;&gt;0,$C$7&lt;&gt;0),C9/$C$7,"")</f>
        <v/>
      </c>
      <c r="E9" s="263">
        <f>已审横向PL!D9</f>
        <v>0</v>
      </c>
      <c r="F9" s="265" t="str">
        <f t="shared" ref="F9:F12" si="5">IF(AND(E9&lt;&gt;0,$E$7&lt;&gt;0),E9/$E$7,"")</f>
        <v/>
      </c>
      <c r="G9" s="255" t="str">
        <f t="shared" ref="G9:G12" si="6">IF(AND(D9="",F9=""),"",IF(D9="",F9,IF(F9="",-D9,F9-D9)))</f>
        <v/>
      </c>
      <c r="H9" s="692" t="str">
        <f t="shared" ref="H9:H12" si="7">IF(G9="","",IF(ABS(G9)&gt;=30%,"显著",IF(ABS(G9)&gt;=10%,"关注","")))</f>
        <v/>
      </c>
      <c r="I9" s="608"/>
    </row>
    <row r="10" spans="1:10" s="177" customFormat="1" ht="13.5">
      <c r="A10" s="1100" t="str">
        <f>报表格式!L8</f>
        <v xml:space="preserve">              已赚保费</v>
      </c>
      <c r="B10" s="1094">
        <f t="shared" si="3"/>
        <v>4</v>
      </c>
      <c r="C10" s="262">
        <f>已审横向PL!C10</f>
        <v>0</v>
      </c>
      <c r="D10" s="265" t="str">
        <f t="shared" si="4"/>
        <v/>
      </c>
      <c r="E10" s="263">
        <f>已审横向PL!D10</f>
        <v>0</v>
      </c>
      <c r="F10" s="265" t="str">
        <f t="shared" si="5"/>
        <v/>
      </c>
      <c r="G10" s="255" t="str">
        <f t="shared" si="6"/>
        <v/>
      </c>
      <c r="H10" s="692" t="str">
        <f t="shared" si="7"/>
        <v/>
      </c>
      <c r="I10" s="608"/>
    </row>
    <row r="11" spans="1:10" s="177" customFormat="1" ht="13.5">
      <c r="A11" s="1100" t="str">
        <f>报表格式!L9</f>
        <v xml:space="preserve">              手续费及佣金收入</v>
      </c>
      <c r="B11" s="1094">
        <f t="shared" si="3"/>
        <v>5</v>
      </c>
      <c r="C11" s="262">
        <f>已审横向PL!C11</f>
        <v>0</v>
      </c>
      <c r="D11" s="265" t="str">
        <f t="shared" si="4"/>
        <v/>
      </c>
      <c r="E11" s="263">
        <f>已审横向PL!D11</f>
        <v>0</v>
      </c>
      <c r="F11" s="265" t="str">
        <f t="shared" si="5"/>
        <v/>
      </c>
      <c r="G11" s="255" t="str">
        <f t="shared" si="6"/>
        <v/>
      </c>
      <c r="H11" s="692" t="str">
        <f t="shared" si="7"/>
        <v/>
      </c>
      <c r="I11" s="608"/>
    </row>
    <row r="12" spans="1:10" s="177" customFormat="1" ht="13.5">
      <c r="A12" s="1100" t="str">
        <f>报表格式!L10</f>
        <v xml:space="preserve">              其他业务收入</v>
      </c>
      <c r="B12" s="1094">
        <f t="shared" si="3"/>
        <v>6</v>
      </c>
      <c r="C12" s="262">
        <f>已审横向PL!C12</f>
        <v>0</v>
      </c>
      <c r="D12" s="265" t="str">
        <f t="shared" si="4"/>
        <v/>
      </c>
      <c r="E12" s="263">
        <f>已审横向PL!D12</f>
        <v>0</v>
      </c>
      <c r="F12" s="265" t="str">
        <f t="shared" si="5"/>
        <v/>
      </c>
      <c r="G12" s="255" t="str">
        <f t="shared" si="6"/>
        <v/>
      </c>
      <c r="H12" s="692" t="str">
        <f t="shared" si="7"/>
        <v/>
      </c>
      <c r="I12" s="608"/>
    </row>
    <row r="13" spans="1:10" s="177" customFormat="1" ht="13.5">
      <c r="A13" s="1100" t="str">
        <f>报表格式!L11</f>
        <v xml:space="preserve">    减：营业成本</v>
      </c>
      <c r="B13" s="1094">
        <f t="shared" ref="B13:B78" si="8">B12+1</f>
        <v>7</v>
      </c>
      <c r="C13" s="262">
        <f>已审横向PL!C13</f>
        <v>0</v>
      </c>
      <c r="D13" s="265" t="str">
        <f t="shared" si="0"/>
        <v/>
      </c>
      <c r="E13" s="263">
        <f>已审横向PL!D13</f>
        <v>0</v>
      </c>
      <c r="F13" s="265" t="str">
        <f t="shared" si="1"/>
        <v/>
      </c>
      <c r="G13" s="255" t="str">
        <f>IF(AND(D13="",F13=""),"",IF(D13="",F13,IF(F13="",-D13,F13-D13)))</f>
        <v/>
      </c>
      <c r="H13" s="692" t="str">
        <f t="shared" si="2"/>
        <v/>
      </c>
      <c r="I13" s="609"/>
    </row>
    <row r="14" spans="1:10" s="177" customFormat="1" ht="13.5">
      <c r="A14" s="1100" t="str">
        <f>报表格式!L12</f>
        <v xml:space="preserve">        其中：主营业务成本</v>
      </c>
      <c r="B14" s="1094">
        <f t="shared" si="8"/>
        <v>8</v>
      </c>
      <c r="C14" s="262">
        <f>已审横向PL!C14</f>
        <v>0</v>
      </c>
      <c r="D14" s="265" t="str">
        <f t="shared" si="0"/>
        <v/>
      </c>
      <c r="E14" s="263">
        <f>已审横向PL!D14</f>
        <v>0</v>
      </c>
      <c r="F14" s="265" t="str">
        <f t="shared" si="1"/>
        <v/>
      </c>
      <c r="G14" s="255" t="str">
        <f>IF(AND(D14="",F14=""),"",IF(D14="",F14,IF(F14="",-D14,F14-D14)))</f>
        <v/>
      </c>
      <c r="H14" s="692" t="str">
        <f t="shared" si="2"/>
        <v/>
      </c>
      <c r="I14" s="609"/>
    </row>
    <row r="15" spans="1:10" s="177" customFormat="1" ht="13.5">
      <c r="A15" s="1100" t="str">
        <f>报表格式!L13</f>
        <v xml:space="preserve">              利息支出</v>
      </c>
      <c r="B15" s="1094">
        <f t="shared" si="8"/>
        <v>9</v>
      </c>
      <c r="C15" s="262">
        <f>已审横向PL!C15</f>
        <v>0</v>
      </c>
      <c r="D15" s="265" t="str">
        <f t="shared" ref="D15:D22" si="9">IF(AND(C15&lt;&gt;0,$C$7&lt;&gt;0),C15/$C$7,"")</f>
        <v/>
      </c>
      <c r="E15" s="263">
        <f>已审横向PL!D15</f>
        <v>0</v>
      </c>
      <c r="F15" s="265" t="str">
        <f t="shared" ref="F15:F22" si="10">IF(AND(E15&lt;&gt;0,$E$7&lt;&gt;0),E15/$E$7,"")</f>
        <v/>
      </c>
      <c r="G15" s="255" t="str">
        <f t="shared" ref="G15:G22" si="11">IF(AND(D15="",F15=""),"",IF(D15="",F15,IF(F15="",-D15,F15-D15)))</f>
        <v/>
      </c>
      <c r="H15" s="692" t="str">
        <f t="shared" ref="H15:H22" si="12">IF(G15="","",IF(ABS(G15)&gt;=30%,"显著",IF(ABS(G15)&gt;=10%,"关注","")))</f>
        <v/>
      </c>
      <c r="I15" s="609"/>
    </row>
    <row r="16" spans="1:10" s="177" customFormat="1" ht="13.5">
      <c r="A16" s="1100" t="str">
        <f>报表格式!L14</f>
        <v xml:space="preserve">              手续费及佣金支出</v>
      </c>
      <c r="B16" s="1094">
        <f t="shared" si="8"/>
        <v>10</v>
      </c>
      <c r="C16" s="262">
        <f>已审横向PL!C16</f>
        <v>0</v>
      </c>
      <c r="D16" s="265" t="str">
        <f t="shared" si="9"/>
        <v/>
      </c>
      <c r="E16" s="263">
        <f>已审横向PL!D16</f>
        <v>0</v>
      </c>
      <c r="F16" s="265" t="str">
        <f t="shared" si="10"/>
        <v/>
      </c>
      <c r="G16" s="255" t="str">
        <f t="shared" si="11"/>
        <v/>
      </c>
      <c r="H16" s="692" t="str">
        <f t="shared" si="12"/>
        <v/>
      </c>
      <c r="I16" s="609"/>
    </row>
    <row r="17" spans="1:9" s="177" customFormat="1" ht="13.5">
      <c r="A17" s="1100" t="str">
        <f>报表格式!L15</f>
        <v xml:space="preserve">              退保金</v>
      </c>
      <c r="B17" s="1094">
        <f t="shared" si="8"/>
        <v>11</v>
      </c>
      <c r="C17" s="262">
        <f>已审横向PL!C17</f>
        <v>0</v>
      </c>
      <c r="D17" s="265" t="str">
        <f t="shared" si="9"/>
        <v/>
      </c>
      <c r="E17" s="263">
        <f>已审横向PL!D17</f>
        <v>0</v>
      </c>
      <c r="F17" s="265" t="str">
        <f t="shared" si="10"/>
        <v/>
      </c>
      <c r="G17" s="255" t="str">
        <f t="shared" si="11"/>
        <v/>
      </c>
      <c r="H17" s="692" t="str">
        <f t="shared" si="12"/>
        <v/>
      </c>
      <c r="I17" s="609"/>
    </row>
    <row r="18" spans="1:9" s="177" customFormat="1" ht="13.5">
      <c r="A18" s="1100" t="str">
        <f>报表格式!L16</f>
        <v xml:space="preserve">              赔付支出净额</v>
      </c>
      <c r="B18" s="1094">
        <f t="shared" si="8"/>
        <v>12</v>
      </c>
      <c r="C18" s="262">
        <f>已审横向PL!C18</f>
        <v>0</v>
      </c>
      <c r="D18" s="265" t="str">
        <f t="shared" si="9"/>
        <v/>
      </c>
      <c r="E18" s="263">
        <f>已审横向PL!D18</f>
        <v>0</v>
      </c>
      <c r="F18" s="265" t="str">
        <f t="shared" si="10"/>
        <v/>
      </c>
      <c r="G18" s="255" t="str">
        <f t="shared" si="11"/>
        <v/>
      </c>
      <c r="H18" s="692" t="str">
        <f t="shared" si="12"/>
        <v/>
      </c>
      <c r="I18" s="609"/>
    </row>
    <row r="19" spans="1:9" s="177" customFormat="1" ht="13.5">
      <c r="A19" s="1100" t="str">
        <f>报表格式!L17</f>
        <v xml:space="preserve">              提取保险合同准备金净额</v>
      </c>
      <c r="B19" s="1094">
        <f t="shared" si="8"/>
        <v>13</v>
      </c>
      <c r="C19" s="262">
        <f>已审横向PL!C19</f>
        <v>0</v>
      </c>
      <c r="D19" s="265" t="str">
        <f t="shared" si="9"/>
        <v/>
      </c>
      <c r="E19" s="263">
        <f>已审横向PL!D19</f>
        <v>0</v>
      </c>
      <c r="F19" s="265" t="str">
        <f t="shared" si="10"/>
        <v/>
      </c>
      <c r="G19" s="255" t="str">
        <f t="shared" si="11"/>
        <v/>
      </c>
      <c r="H19" s="692" t="str">
        <f t="shared" si="12"/>
        <v/>
      </c>
      <c r="I19" s="609"/>
    </row>
    <row r="20" spans="1:9" s="177" customFormat="1" ht="13.5">
      <c r="A20" s="1100" t="str">
        <f>报表格式!L18</f>
        <v xml:space="preserve">              保单红利支出</v>
      </c>
      <c r="B20" s="1094">
        <f t="shared" si="8"/>
        <v>14</v>
      </c>
      <c r="C20" s="262">
        <f>已审横向PL!C20</f>
        <v>0</v>
      </c>
      <c r="D20" s="265" t="str">
        <f t="shared" si="9"/>
        <v/>
      </c>
      <c r="E20" s="263">
        <f>已审横向PL!D20</f>
        <v>0</v>
      </c>
      <c r="F20" s="265" t="str">
        <f t="shared" si="10"/>
        <v/>
      </c>
      <c r="G20" s="255" t="str">
        <f t="shared" si="11"/>
        <v/>
      </c>
      <c r="H20" s="692" t="str">
        <f t="shared" si="12"/>
        <v/>
      </c>
      <c r="I20" s="609"/>
    </row>
    <row r="21" spans="1:9" s="177" customFormat="1" ht="13.5">
      <c r="A21" s="1100" t="str">
        <f>报表格式!L19</f>
        <v xml:space="preserve">              分保费用</v>
      </c>
      <c r="B21" s="1094">
        <f t="shared" si="8"/>
        <v>15</v>
      </c>
      <c r="C21" s="262">
        <f>已审横向PL!C21</f>
        <v>0</v>
      </c>
      <c r="D21" s="265" t="str">
        <f t="shared" si="9"/>
        <v/>
      </c>
      <c r="E21" s="263">
        <f>已审横向PL!D21</f>
        <v>0</v>
      </c>
      <c r="F21" s="265" t="str">
        <f t="shared" si="10"/>
        <v/>
      </c>
      <c r="G21" s="255" t="str">
        <f t="shared" si="11"/>
        <v/>
      </c>
      <c r="H21" s="692" t="str">
        <f t="shared" si="12"/>
        <v/>
      </c>
      <c r="I21" s="609"/>
    </row>
    <row r="22" spans="1:9" s="177" customFormat="1" ht="13.5">
      <c r="A22" s="1100" t="str">
        <f>报表格式!L20</f>
        <v xml:space="preserve">              其他业务成本</v>
      </c>
      <c r="B22" s="1094">
        <f t="shared" si="8"/>
        <v>16</v>
      </c>
      <c r="C22" s="262">
        <f>已审横向PL!C22</f>
        <v>0</v>
      </c>
      <c r="D22" s="265" t="str">
        <f t="shared" si="9"/>
        <v/>
      </c>
      <c r="E22" s="263">
        <f>已审横向PL!D22</f>
        <v>0</v>
      </c>
      <c r="F22" s="265" t="str">
        <f t="shared" si="10"/>
        <v/>
      </c>
      <c r="G22" s="255" t="str">
        <f t="shared" si="11"/>
        <v/>
      </c>
      <c r="H22" s="692" t="str">
        <f t="shared" si="12"/>
        <v/>
      </c>
      <c r="I22" s="609"/>
    </row>
    <row r="23" spans="1:9" s="177" customFormat="1" ht="13.5">
      <c r="A23" s="1100" t="str">
        <f>报表格式!L21</f>
        <v xml:space="preserve">        税金及附加</v>
      </c>
      <c r="B23" s="1094">
        <f t="shared" si="8"/>
        <v>17</v>
      </c>
      <c r="C23" s="262">
        <f>已审横向PL!C23</f>
        <v>0</v>
      </c>
      <c r="D23" s="265" t="str">
        <f t="shared" si="0"/>
        <v/>
      </c>
      <c r="E23" s="263">
        <f>已审横向PL!D23</f>
        <v>0</v>
      </c>
      <c r="F23" s="265" t="str">
        <f t="shared" si="1"/>
        <v/>
      </c>
      <c r="G23" s="255" t="str">
        <f t="shared" ref="G23:G50" si="13">IF(AND(D23="",F23=""),"",IF(D23="",F23,IF(F23="",-D23,F23-D23)))</f>
        <v/>
      </c>
      <c r="H23" s="692" t="str">
        <f t="shared" si="2"/>
        <v/>
      </c>
      <c r="I23" s="609"/>
    </row>
    <row r="24" spans="1:9" s="177" customFormat="1" ht="13.5">
      <c r="A24" s="1100" t="str">
        <f>报表格式!L22</f>
        <v xml:space="preserve">        销售费用</v>
      </c>
      <c r="B24" s="1094">
        <f t="shared" si="8"/>
        <v>18</v>
      </c>
      <c r="C24" s="262">
        <f>已审横向PL!C24</f>
        <v>0</v>
      </c>
      <c r="D24" s="265" t="str">
        <f t="shared" si="0"/>
        <v/>
      </c>
      <c r="E24" s="263">
        <f>已审横向PL!D24</f>
        <v>0</v>
      </c>
      <c r="F24" s="265" t="str">
        <f t="shared" si="1"/>
        <v/>
      </c>
      <c r="G24" s="255" t="str">
        <f t="shared" si="13"/>
        <v/>
      </c>
      <c r="H24" s="692" t="str">
        <f t="shared" si="2"/>
        <v/>
      </c>
      <c r="I24" s="609"/>
    </row>
    <row r="25" spans="1:9" s="177" customFormat="1" ht="13.5">
      <c r="A25" s="1100" t="str">
        <f>报表格式!L23</f>
        <v xml:space="preserve">        管理费用</v>
      </c>
      <c r="B25" s="1094">
        <f t="shared" si="8"/>
        <v>19</v>
      </c>
      <c r="C25" s="262">
        <f>已审横向PL!C25</f>
        <v>0</v>
      </c>
      <c r="D25" s="265" t="str">
        <f t="shared" si="0"/>
        <v/>
      </c>
      <c r="E25" s="263">
        <f>已审横向PL!D25</f>
        <v>0</v>
      </c>
      <c r="F25" s="265" t="str">
        <f t="shared" si="1"/>
        <v/>
      </c>
      <c r="G25" s="255" t="str">
        <f t="shared" si="13"/>
        <v/>
      </c>
      <c r="H25" s="692" t="str">
        <f t="shared" si="2"/>
        <v/>
      </c>
      <c r="I25" s="609"/>
    </row>
    <row r="26" spans="1:9" s="177" customFormat="1" ht="13.5">
      <c r="A26" s="1100" t="str">
        <f>报表格式!L24</f>
        <v xml:space="preserve">        研发费用</v>
      </c>
      <c r="B26" s="1094">
        <f t="shared" si="8"/>
        <v>20</v>
      </c>
      <c r="C26" s="262">
        <f>已审横向PL!C26</f>
        <v>0</v>
      </c>
      <c r="D26" s="265" t="str">
        <f t="shared" si="0"/>
        <v/>
      </c>
      <c r="E26" s="263">
        <f>已审横向PL!D26</f>
        <v>0</v>
      </c>
      <c r="F26" s="265" t="str">
        <f t="shared" si="1"/>
        <v/>
      </c>
      <c r="G26" s="255" t="str">
        <f t="shared" si="13"/>
        <v/>
      </c>
      <c r="H26" s="692" t="str">
        <f t="shared" si="2"/>
        <v/>
      </c>
      <c r="I26" s="609"/>
    </row>
    <row r="27" spans="1:9" s="177" customFormat="1" ht="13.5">
      <c r="A27" s="1100" t="str">
        <f>报表格式!L25</f>
        <v xml:space="preserve">        财务费用</v>
      </c>
      <c r="B27" s="1094">
        <f t="shared" si="8"/>
        <v>21</v>
      </c>
      <c r="C27" s="262">
        <f>已审横向PL!C27</f>
        <v>0</v>
      </c>
      <c r="D27" s="265" t="str">
        <f t="shared" si="0"/>
        <v/>
      </c>
      <c r="E27" s="263">
        <f>已审横向PL!D27</f>
        <v>0</v>
      </c>
      <c r="F27" s="265" t="str">
        <f t="shared" si="1"/>
        <v/>
      </c>
      <c r="G27" s="255" t="str">
        <f t="shared" si="13"/>
        <v/>
      </c>
      <c r="H27" s="692" t="str">
        <f t="shared" si="2"/>
        <v/>
      </c>
      <c r="I27" s="609"/>
    </row>
    <row r="28" spans="1:9" s="177" customFormat="1" ht="13.5">
      <c r="A28" s="1100" t="str">
        <f>报表格式!L26</f>
        <v xml:space="preserve">        其中：利息费用</v>
      </c>
      <c r="B28" s="1094">
        <f t="shared" si="8"/>
        <v>22</v>
      </c>
      <c r="C28" s="262">
        <f>已审横向PL!C28</f>
        <v>0</v>
      </c>
      <c r="D28" s="265" t="str">
        <f t="shared" si="0"/>
        <v/>
      </c>
      <c r="E28" s="263">
        <f>已审横向PL!D28</f>
        <v>0</v>
      </c>
      <c r="F28" s="265" t="str">
        <f t="shared" si="1"/>
        <v/>
      </c>
      <c r="G28" s="255" t="str">
        <f t="shared" si="13"/>
        <v/>
      </c>
      <c r="H28" s="692" t="str">
        <f t="shared" si="2"/>
        <v/>
      </c>
      <c r="I28" s="609"/>
    </row>
    <row r="29" spans="1:9" s="177" customFormat="1" ht="13.5">
      <c r="A29" s="1100" t="str">
        <f>报表格式!L27</f>
        <v xml:space="preserve">              利息收入</v>
      </c>
      <c r="B29" s="1094">
        <f t="shared" si="8"/>
        <v>23</v>
      </c>
      <c r="C29" s="262">
        <f>已审横向PL!C29</f>
        <v>0</v>
      </c>
      <c r="D29" s="265" t="str">
        <f t="shared" si="0"/>
        <v/>
      </c>
      <c r="E29" s="263">
        <f>已审横向PL!D29</f>
        <v>0</v>
      </c>
      <c r="F29" s="265" t="str">
        <f t="shared" si="1"/>
        <v/>
      </c>
      <c r="G29" s="255" t="str">
        <f t="shared" si="13"/>
        <v/>
      </c>
      <c r="H29" s="692" t="str">
        <f t="shared" si="2"/>
        <v/>
      </c>
      <c r="I29" s="609"/>
    </row>
    <row r="30" spans="1:9" s="177" customFormat="1" ht="13.5">
      <c r="A30" s="1100" t="str">
        <f>报表格式!L28</f>
        <v xml:space="preserve">    加：其他收益</v>
      </c>
      <c r="B30" s="1094">
        <f t="shared" si="8"/>
        <v>24</v>
      </c>
      <c r="C30" s="262">
        <f>已审横向PL!C30</f>
        <v>0</v>
      </c>
      <c r="D30" s="265" t="str">
        <f t="shared" ref="D30:D38" si="14">IF(AND(C30&lt;&gt;0,$C$7&lt;&gt;0),C30/$C$7,"")</f>
        <v/>
      </c>
      <c r="E30" s="263">
        <f>已审横向PL!D30</f>
        <v>0</v>
      </c>
      <c r="F30" s="265" t="str">
        <f t="shared" ref="F30:F38" si="15">IF(AND(E30&lt;&gt;0,$E$7&lt;&gt;0),E30/$E$7,"")</f>
        <v/>
      </c>
      <c r="G30" s="255" t="str">
        <f t="shared" ref="G30:G38" si="16">IF(AND(D30="",F30=""),"",IF(D30="",F30,IF(F30="",-D30,F30-D30)))</f>
        <v/>
      </c>
      <c r="H30" s="692" t="str">
        <f t="shared" ref="H30:H38" si="17">IF(G30="","",IF(ABS(G30)&gt;=30%,"显著",IF(ABS(G30)&gt;=10%,"关注","")))</f>
        <v/>
      </c>
      <c r="I30" s="609"/>
    </row>
    <row r="31" spans="1:9" s="177" customFormat="1" ht="13.5">
      <c r="A31" s="1100" t="str">
        <f>报表格式!L29</f>
        <v xml:space="preserve">        投资收益（损失以“－”号填列）</v>
      </c>
      <c r="B31" s="1094">
        <f t="shared" si="8"/>
        <v>25</v>
      </c>
      <c r="C31" s="262">
        <f>已审横向PL!C31</f>
        <v>0</v>
      </c>
      <c r="D31" s="265" t="str">
        <f t="shared" si="14"/>
        <v/>
      </c>
      <c r="E31" s="263">
        <f>已审横向PL!D31</f>
        <v>0</v>
      </c>
      <c r="F31" s="265" t="str">
        <f t="shared" si="15"/>
        <v/>
      </c>
      <c r="G31" s="255" t="str">
        <f t="shared" si="16"/>
        <v/>
      </c>
      <c r="H31" s="692" t="str">
        <f t="shared" si="17"/>
        <v/>
      </c>
      <c r="I31" s="609"/>
    </row>
    <row r="32" spans="1:9" s="177" customFormat="1" ht="13.5">
      <c r="A32" s="1100" t="str">
        <f>报表格式!L30</f>
        <v xml:space="preserve">        其中：对联营企业和合营企业的投资收益</v>
      </c>
      <c r="B32" s="1094">
        <f t="shared" si="8"/>
        <v>26</v>
      </c>
      <c r="C32" s="262">
        <f>已审横向PL!C32</f>
        <v>0</v>
      </c>
      <c r="D32" s="265" t="str">
        <f t="shared" si="14"/>
        <v/>
      </c>
      <c r="E32" s="263">
        <f>已审横向PL!D32</f>
        <v>0</v>
      </c>
      <c r="F32" s="265" t="str">
        <f t="shared" si="15"/>
        <v/>
      </c>
      <c r="G32" s="255" t="str">
        <f t="shared" si="16"/>
        <v/>
      </c>
      <c r="H32" s="692" t="str">
        <f t="shared" si="17"/>
        <v/>
      </c>
      <c r="I32" s="609"/>
    </row>
    <row r="33" spans="1:9" s="177" customFormat="1" ht="13.5">
      <c r="A33" s="1100" t="str">
        <f>报表格式!L31</f>
        <v xml:space="preserve">              以摊余成本计量的金融资产终止确认收益（损失以“-”号填列）</v>
      </c>
      <c r="B33" s="1094">
        <f t="shared" si="8"/>
        <v>27</v>
      </c>
      <c r="C33" s="262">
        <f>已审横向PL!C33</f>
        <v>0</v>
      </c>
      <c r="D33" s="265" t="str">
        <f t="shared" si="14"/>
        <v/>
      </c>
      <c r="E33" s="263">
        <f>已审横向PL!D33</f>
        <v>0</v>
      </c>
      <c r="F33" s="265" t="str">
        <f t="shared" si="15"/>
        <v/>
      </c>
      <c r="G33" s="255" t="str">
        <f t="shared" si="16"/>
        <v/>
      </c>
      <c r="H33" s="692" t="str">
        <f t="shared" si="17"/>
        <v/>
      </c>
      <c r="I33" s="609"/>
    </row>
    <row r="34" spans="1:9" s="177" customFormat="1" ht="13.5">
      <c r="A34" s="1100" t="str">
        <f>报表格式!L32</f>
        <v xml:space="preserve">        净敞口套期收益（损失以“-”号填列）</v>
      </c>
      <c r="B34" s="1094">
        <f t="shared" si="8"/>
        <v>28</v>
      </c>
      <c r="C34" s="262">
        <f>已审横向PL!C34</f>
        <v>0</v>
      </c>
      <c r="D34" s="265" t="str">
        <f t="shared" si="14"/>
        <v/>
      </c>
      <c r="E34" s="263">
        <f>已审横向PL!D34</f>
        <v>0</v>
      </c>
      <c r="F34" s="265" t="str">
        <f t="shared" si="15"/>
        <v/>
      </c>
      <c r="G34" s="255" t="str">
        <f t="shared" si="16"/>
        <v/>
      </c>
      <c r="H34" s="692" t="str">
        <f t="shared" si="17"/>
        <v/>
      </c>
      <c r="I34" s="609"/>
    </row>
    <row r="35" spans="1:9" s="177" customFormat="1" ht="13.5">
      <c r="A35" s="1100" t="str">
        <f>报表格式!L33</f>
        <v xml:space="preserve">        公允价值变动收益（损失以“－”号填列）</v>
      </c>
      <c r="B35" s="1094">
        <f t="shared" si="8"/>
        <v>29</v>
      </c>
      <c r="C35" s="262">
        <f>已审横向PL!C35</f>
        <v>0</v>
      </c>
      <c r="D35" s="265" t="str">
        <f t="shared" si="14"/>
        <v/>
      </c>
      <c r="E35" s="263">
        <f>已审横向PL!D35</f>
        <v>0</v>
      </c>
      <c r="F35" s="265" t="str">
        <f t="shared" si="15"/>
        <v/>
      </c>
      <c r="G35" s="255" t="str">
        <f t="shared" si="16"/>
        <v/>
      </c>
      <c r="H35" s="692" t="str">
        <f t="shared" si="17"/>
        <v/>
      </c>
      <c r="I35" s="609"/>
    </row>
    <row r="36" spans="1:9" s="177" customFormat="1" ht="13.5">
      <c r="A36" s="1100" t="str">
        <f>报表格式!L34</f>
        <v xml:space="preserve">        信用减值损失(损失以“-”号填列）</v>
      </c>
      <c r="B36" s="1094">
        <f t="shared" si="8"/>
        <v>30</v>
      </c>
      <c r="C36" s="262">
        <f>已审横向PL!C36</f>
        <v>0</v>
      </c>
      <c r="D36" s="265" t="str">
        <f t="shared" si="14"/>
        <v/>
      </c>
      <c r="E36" s="263">
        <f>已审横向PL!D36</f>
        <v>0</v>
      </c>
      <c r="F36" s="265" t="str">
        <f t="shared" si="15"/>
        <v/>
      </c>
      <c r="G36" s="255" t="str">
        <f t="shared" si="16"/>
        <v/>
      </c>
      <c r="H36" s="692" t="str">
        <f t="shared" si="17"/>
        <v/>
      </c>
      <c r="I36" s="609"/>
    </row>
    <row r="37" spans="1:9" s="177" customFormat="1" ht="13.5">
      <c r="A37" s="1100" t="str">
        <f>报表格式!L35</f>
        <v xml:space="preserve">        资产减值损失(损失以“-”号填列）</v>
      </c>
      <c r="B37" s="1094">
        <f t="shared" si="8"/>
        <v>31</v>
      </c>
      <c r="C37" s="262">
        <f>已审横向PL!C37</f>
        <v>0</v>
      </c>
      <c r="D37" s="265" t="str">
        <f t="shared" si="14"/>
        <v/>
      </c>
      <c r="E37" s="263">
        <f>已审横向PL!D37</f>
        <v>0</v>
      </c>
      <c r="F37" s="265" t="str">
        <f t="shared" si="15"/>
        <v/>
      </c>
      <c r="G37" s="255" t="str">
        <f t="shared" si="16"/>
        <v/>
      </c>
      <c r="H37" s="692" t="str">
        <f t="shared" si="17"/>
        <v/>
      </c>
      <c r="I37" s="609"/>
    </row>
    <row r="38" spans="1:9" s="177" customFormat="1" ht="13.5">
      <c r="A38" s="1100" t="str">
        <f>报表格式!L36</f>
        <v xml:space="preserve">        资产处置收益(损失以“-”号填列）</v>
      </c>
      <c r="B38" s="1094">
        <f t="shared" si="8"/>
        <v>32</v>
      </c>
      <c r="C38" s="262">
        <f>已审横向PL!C38</f>
        <v>0</v>
      </c>
      <c r="D38" s="265" t="str">
        <f t="shared" si="14"/>
        <v/>
      </c>
      <c r="E38" s="263">
        <f>已审横向PL!D38</f>
        <v>0</v>
      </c>
      <c r="F38" s="265" t="str">
        <f t="shared" si="15"/>
        <v/>
      </c>
      <c r="G38" s="255" t="str">
        <f t="shared" si="16"/>
        <v/>
      </c>
      <c r="H38" s="692" t="str">
        <f t="shared" si="17"/>
        <v/>
      </c>
      <c r="I38" s="609"/>
    </row>
    <row r="39" spans="1:9" s="177" customFormat="1" ht="13.5">
      <c r="A39" s="1101" t="str">
        <f>报表格式!L37</f>
        <v>二、营业利润（亏损以“－”号填列）</v>
      </c>
      <c r="B39" s="1094">
        <f t="shared" si="8"/>
        <v>33</v>
      </c>
      <c r="C39" s="697">
        <f>已审横向PL!C39</f>
        <v>0</v>
      </c>
      <c r="D39" s="321" t="str">
        <f t="shared" si="0"/>
        <v/>
      </c>
      <c r="E39" s="697">
        <f>已审横向PL!D39</f>
        <v>0</v>
      </c>
      <c r="F39" s="321" t="str">
        <f>IF(AND(E39&lt;&gt;0,$E$7&lt;&gt;0),E39/$E$7,"")</f>
        <v/>
      </c>
      <c r="G39" s="322" t="str">
        <f t="shared" si="13"/>
        <v/>
      </c>
      <c r="H39" s="693" t="str">
        <f t="shared" si="2"/>
        <v/>
      </c>
      <c r="I39" s="698"/>
    </row>
    <row r="40" spans="1:9" s="177" customFormat="1" ht="13.5">
      <c r="A40" s="1100" t="str">
        <f>报表格式!L38</f>
        <v xml:space="preserve">    加：营业外收入</v>
      </c>
      <c r="B40" s="1094">
        <f t="shared" si="8"/>
        <v>34</v>
      </c>
      <c r="C40" s="262">
        <f>已审横向PL!C40</f>
        <v>0</v>
      </c>
      <c r="D40" s="265" t="str">
        <f t="shared" si="0"/>
        <v/>
      </c>
      <c r="E40" s="263">
        <f>已审横向PL!D40</f>
        <v>0</v>
      </c>
      <c r="F40" s="265" t="str">
        <f t="shared" si="1"/>
        <v/>
      </c>
      <c r="G40" s="255" t="str">
        <f t="shared" si="13"/>
        <v/>
      </c>
      <c r="H40" s="692" t="str">
        <f t="shared" si="2"/>
        <v/>
      </c>
      <c r="I40" s="609"/>
    </row>
    <row r="41" spans="1:9" s="177" customFormat="1" ht="13.5">
      <c r="A41" s="1100" t="str">
        <f>报表格式!L39</f>
        <v xml:space="preserve">    减：营业外支出</v>
      </c>
      <c r="B41" s="1094">
        <f t="shared" si="8"/>
        <v>35</v>
      </c>
      <c r="C41" s="262">
        <f>已审横向PL!C41</f>
        <v>0</v>
      </c>
      <c r="D41" s="265" t="str">
        <f t="shared" si="0"/>
        <v/>
      </c>
      <c r="E41" s="263">
        <f>已审横向PL!D41</f>
        <v>0</v>
      </c>
      <c r="F41" s="265" t="str">
        <f t="shared" si="1"/>
        <v/>
      </c>
      <c r="G41" s="255" t="str">
        <f t="shared" si="13"/>
        <v/>
      </c>
      <c r="H41" s="692" t="str">
        <f t="shared" si="2"/>
        <v/>
      </c>
      <c r="I41" s="609"/>
    </row>
    <row r="42" spans="1:9" s="177" customFormat="1" ht="13.5">
      <c r="A42" s="1101" t="str">
        <f>报表格式!L40</f>
        <v>三、利润总额（亏损总额以“－”号填列）</v>
      </c>
      <c r="B42" s="1094">
        <f t="shared" si="8"/>
        <v>36</v>
      </c>
      <c r="C42" s="697">
        <f>已审横向PL!C42</f>
        <v>0</v>
      </c>
      <c r="D42" s="321" t="str">
        <f t="shared" si="0"/>
        <v/>
      </c>
      <c r="E42" s="697">
        <f>已审横向PL!D42</f>
        <v>0</v>
      </c>
      <c r="F42" s="321" t="str">
        <f t="shared" si="1"/>
        <v/>
      </c>
      <c r="G42" s="322" t="str">
        <f t="shared" si="13"/>
        <v/>
      </c>
      <c r="H42" s="693" t="str">
        <f t="shared" si="2"/>
        <v/>
      </c>
      <c r="I42" s="698"/>
    </row>
    <row r="43" spans="1:9" s="177" customFormat="1" ht="13.5">
      <c r="A43" s="1100" t="str">
        <f>报表格式!L41</f>
        <v xml:space="preserve">    减：所得税费用</v>
      </c>
      <c r="B43" s="1094">
        <f t="shared" si="8"/>
        <v>37</v>
      </c>
      <c r="C43" s="262">
        <f>已审横向PL!C43</f>
        <v>0</v>
      </c>
      <c r="D43" s="265" t="str">
        <f t="shared" si="0"/>
        <v/>
      </c>
      <c r="E43" s="263">
        <f>已审横向PL!D43</f>
        <v>0</v>
      </c>
      <c r="F43" s="265" t="str">
        <f>IF(AND(E43&lt;&gt;0,$E$7&lt;&gt;0),E43/$E$7,"")</f>
        <v/>
      </c>
      <c r="G43" s="255" t="str">
        <f t="shared" si="13"/>
        <v/>
      </c>
      <c r="H43" s="692" t="str">
        <f t="shared" si="2"/>
        <v/>
      </c>
      <c r="I43" s="609"/>
    </row>
    <row r="44" spans="1:9" s="177" customFormat="1" ht="13.5">
      <c r="A44" s="1100">
        <f>报表格式!L42</f>
        <v>0</v>
      </c>
      <c r="B44" s="1094">
        <f t="shared" si="8"/>
        <v>38</v>
      </c>
      <c r="C44" s="262">
        <f>已审横向PL!C44</f>
        <v>0</v>
      </c>
      <c r="D44" s="265" t="str">
        <f t="shared" si="0"/>
        <v/>
      </c>
      <c r="E44" s="263">
        <f>已审横向PL!D44</f>
        <v>0</v>
      </c>
      <c r="F44" s="265" t="str">
        <f t="shared" si="1"/>
        <v/>
      </c>
      <c r="G44" s="255" t="str">
        <f t="shared" si="13"/>
        <v/>
      </c>
      <c r="H44" s="692" t="str">
        <f t="shared" si="2"/>
        <v/>
      </c>
      <c r="I44" s="609"/>
    </row>
    <row r="45" spans="1:9" s="177" customFormat="1" ht="13.5">
      <c r="A45" s="1101" t="str">
        <f>报表格式!L43</f>
        <v>四、净利润（净亏损以“－”号填列）</v>
      </c>
      <c r="B45" s="1094">
        <f t="shared" si="8"/>
        <v>39</v>
      </c>
      <c r="C45" s="697">
        <f>已审横向PL!C45</f>
        <v>0</v>
      </c>
      <c r="D45" s="321" t="str">
        <f t="shared" si="0"/>
        <v/>
      </c>
      <c r="E45" s="697">
        <f>已审横向PL!D45</f>
        <v>0</v>
      </c>
      <c r="F45" s="321" t="str">
        <f t="shared" si="1"/>
        <v/>
      </c>
      <c r="G45" s="322" t="str">
        <f t="shared" si="13"/>
        <v/>
      </c>
      <c r="H45" s="693" t="str">
        <f t="shared" si="2"/>
        <v/>
      </c>
      <c r="I45" s="698"/>
    </row>
    <row r="46" spans="1:9" s="177" customFormat="1" ht="13.5">
      <c r="A46" s="1100" t="str">
        <f>报表格式!L44</f>
        <v xml:space="preserve"> （一）按经营持续性分类</v>
      </c>
      <c r="B46" s="1094">
        <f t="shared" si="8"/>
        <v>40</v>
      </c>
      <c r="C46" s="262"/>
      <c r="D46" s="265"/>
      <c r="E46" s="263"/>
      <c r="F46" s="265"/>
      <c r="G46" s="255"/>
      <c r="H46" s="692"/>
      <c r="I46" s="609"/>
    </row>
    <row r="47" spans="1:9" s="177" customFormat="1" ht="13.5">
      <c r="A47" s="1100" t="str">
        <f>报表格式!L45</f>
        <v xml:space="preserve">     其中：持续经营净利润（净亏损以“-”号填列）</v>
      </c>
      <c r="B47" s="1094">
        <f>B46+1</f>
        <v>41</v>
      </c>
      <c r="C47" s="262">
        <f>已审横向PL!C47</f>
        <v>0</v>
      </c>
      <c r="D47" s="265" t="str">
        <f>IF(AND(C47&lt;&gt;0,$C$7&lt;&gt;0),C47/$C$7,"")</f>
        <v/>
      </c>
      <c r="E47" s="263">
        <f>已审横向PL!D47</f>
        <v>0</v>
      </c>
      <c r="F47" s="265" t="str">
        <f>IF(AND(E47&lt;&gt;0,$E$7&lt;&gt;0),E47/$E$7,"")</f>
        <v/>
      </c>
      <c r="G47" s="255" t="str">
        <f>IF(AND(D47="",F47=""),"",IF(D47="",F47,IF(F47="",-D47,F47-D47)))</f>
        <v/>
      </c>
      <c r="H47" s="692" t="str">
        <f>IF(G47="","",IF(ABS(G47)&gt;=30%,"显著",IF(ABS(G47)&gt;=10%,"关注","")))</f>
        <v/>
      </c>
      <c r="I47" s="609"/>
    </row>
    <row r="48" spans="1:9" s="177" customFormat="1" ht="13.5">
      <c r="A48" s="1100" t="str">
        <f>报表格式!L46</f>
        <v xml:space="preserve">                 终止经营净利润（净亏损以“-”号填列）</v>
      </c>
      <c r="B48" s="1094">
        <f t="shared" si="8"/>
        <v>42</v>
      </c>
      <c r="C48" s="262">
        <f>已审横向PL!C48</f>
        <v>0</v>
      </c>
      <c r="D48" s="265" t="str">
        <f>IF(AND(C48&lt;&gt;0,$C$7&lt;&gt;0),C48/$C$7,"")</f>
        <v/>
      </c>
      <c r="E48" s="263">
        <f>已审横向PL!D48</f>
        <v>0</v>
      </c>
      <c r="F48" s="265" t="str">
        <f>IF(AND(E48&lt;&gt;0,$E$7&lt;&gt;0),E48/$E$7,"")</f>
        <v/>
      </c>
      <c r="G48" s="255" t="str">
        <f>IF(AND(D48="",F48=""),"",IF(D48="",F48,IF(F48="",-D48,F48-D48)))</f>
        <v/>
      </c>
      <c r="H48" s="692" t="str">
        <f>IF(G48="","",IF(ABS(G48)&gt;=30%,"显著",IF(ABS(G48)&gt;=10%,"关注","")))</f>
        <v/>
      </c>
      <c r="I48" s="609"/>
    </row>
    <row r="49" spans="1:9" s="177" customFormat="1" ht="13.5">
      <c r="A49" s="1100" t="str">
        <f>报表格式!L47</f>
        <v xml:space="preserve"> （二）按所有权归属分类</v>
      </c>
      <c r="B49" s="1094">
        <f t="shared" si="8"/>
        <v>43</v>
      </c>
      <c r="C49" s="262"/>
      <c r="D49" s="265"/>
      <c r="E49" s="263"/>
      <c r="F49" s="265"/>
      <c r="G49" s="255"/>
      <c r="H49" s="692"/>
      <c r="I49" s="609"/>
    </row>
    <row r="50" spans="1:9" s="177" customFormat="1" ht="13.5">
      <c r="A50" s="1100" t="str">
        <f>报表格式!L48</f>
        <v xml:space="preserve">     其中：归属于母公司股东的净利润（净亏损以“-”号填列）</v>
      </c>
      <c r="B50" s="1094">
        <f t="shared" si="8"/>
        <v>44</v>
      </c>
      <c r="C50" s="262">
        <f>已审横向PL!C50</f>
        <v>0</v>
      </c>
      <c r="D50" s="265" t="str">
        <f t="shared" si="0"/>
        <v/>
      </c>
      <c r="E50" s="263">
        <f>已审横向PL!D50</f>
        <v>0</v>
      </c>
      <c r="F50" s="265" t="str">
        <f t="shared" si="1"/>
        <v/>
      </c>
      <c r="G50" s="255" t="str">
        <f t="shared" si="13"/>
        <v/>
      </c>
      <c r="H50" s="692" t="str">
        <f t="shared" si="2"/>
        <v/>
      </c>
      <c r="I50" s="609"/>
    </row>
    <row r="51" spans="1:9" s="177" customFormat="1" ht="13.5">
      <c r="A51" s="1100" t="str">
        <f>报表格式!L49</f>
        <v xml:space="preserve">                少数股东损益（净亏损以“-”号填列）</v>
      </c>
      <c r="B51" s="1094">
        <f t="shared" si="8"/>
        <v>45</v>
      </c>
      <c r="C51" s="262">
        <f>已审横向PL!C51</f>
        <v>0</v>
      </c>
      <c r="D51" s="265" t="str">
        <f>IF(AND(C51&lt;&gt;0,$C$7&lt;&gt;0),C51/$C$7,"")</f>
        <v/>
      </c>
      <c r="E51" s="263">
        <f>已审横向PL!D51</f>
        <v>0</v>
      </c>
      <c r="F51" s="265" t="str">
        <f>IF(AND(E51&lt;&gt;0,$E$7&lt;&gt;0),E51/$E$7,"")</f>
        <v/>
      </c>
      <c r="G51" s="255" t="str">
        <f>IF(AND(D51="",F51=""),"",IF(D51="",F51,IF(F51="",-D51,F51-D51)))</f>
        <v/>
      </c>
      <c r="H51" s="692" t="str">
        <f>IF(G51="","",IF(ABS(G51)&gt;=30%,"显著",IF(ABS(G51)&gt;=10%,"关注","")))</f>
        <v/>
      </c>
      <c r="I51" s="609"/>
    </row>
    <row r="52" spans="1:9" s="177" customFormat="1" ht="13.5">
      <c r="A52" s="1101" t="str">
        <f>报表格式!L50</f>
        <v>五、其他综合收益的税后净额</v>
      </c>
      <c r="B52" s="1094">
        <f t="shared" si="8"/>
        <v>46</v>
      </c>
      <c r="C52" s="697">
        <f>已审横向PL!C52</f>
        <v>0</v>
      </c>
      <c r="D52" s="321" t="str">
        <f t="shared" ref="D52:D73" si="18">IF(AND(C52&lt;&gt;0,$C$7&lt;&gt;0),C52/$C$7,"")</f>
        <v/>
      </c>
      <c r="E52" s="697">
        <f>已审横向PL!D52</f>
        <v>0</v>
      </c>
      <c r="F52" s="321" t="str">
        <f t="shared" ref="F52:F73" si="19">IF(AND(E52&lt;&gt;0,$E$7&lt;&gt;0),E52/$E$7,"")</f>
        <v/>
      </c>
      <c r="G52" s="322" t="str">
        <f t="shared" ref="G52:G73" si="20">IF(AND(D52="",F52=""),"",IF(D52="",F52,IF(F52="",-D52,F52-D52)))</f>
        <v/>
      </c>
      <c r="H52" s="692" t="str">
        <f t="shared" ref="H52:H73" si="21">IF(G52="","",IF(ABS(G52)&gt;=30%,"显著",IF(ABS(G52)&gt;=10%,"关注","")))</f>
        <v/>
      </c>
      <c r="I52" s="609"/>
    </row>
    <row r="53" spans="1:9" s="177" customFormat="1" ht="13.5">
      <c r="A53" s="1100" t="str">
        <f>报表格式!L51</f>
        <v>归属于母公司股东的其他综合收益的税后净额</v>
      </c>
      <c r="B53" s="1094">
        <f t="shared" si="8"/>
        <v>47</v>
      </c>
      <c r="C53" s="262">
        <f>已审横向PL!C53</f>
        <v>0</v>
      </c>
      <c r="D53" s="265" t="str">
        <f t="shared" si="18"/>
        <v/>
      </c>
      <c r="E53" s="263">
        <f>已审横向PL!D53</f>
        <v>0</v>
      </c>
      <c r="F53" s="265" t="str">
        <f t="shared" si="19"/>
        <v/>
      </c>
      <c r="G53" s="255" t="str">
        <f t="shared" si="20"/>
        <v/>
      </c>
      <c r="H53" s="692" t="str">
        <f t="shared" si="21"/>
        <v/>
      </c>
      <c r="I53" s="609"/>
    </row>
    <row r="54" spans="1:9" s="177" customFormat="1" ht="13.5">
      <c r="A54" s="1100" t="str">
        <f>报表格式!L52</f>
        <v xml:space="preserve">  （一）不能重分类进损益的其他综合收益</v>
      </c>
      <c r="B54" s="1094">
        <f t="shared" si="8"/>
        <v>48</v>
      </c>
      <c r="C54" s="262">
        <f>已审横向PL!C54</f>
        <v>0</v>
      </c>
      <c r="D54" s="265" t="str">
        <f t="shared" si="18"/>
        <v/>
      </c>
      <c r="E54" s="263">
        <f>已审横向PL!D54</f>
        <v>0</v>
      </c>
      <c r="F54" s="265" t="str">
        <f t="shared" ref="F54:F59" si="22">IF(AND(E54&lt;&gt;0,$E$7&lt;&gt;0),E54/$E$7,"")</f>
        <v/>
      </c>
      <c r="G54" s="255" t="str">
        <f t="shared" ref="G54:G59" si="23">IF(AND(D54="",F54=""),"",IF(D54="",F54,IF(F54="",-D54,F54-D54)))</f>
        <v/>
      </c>
      <c r="H54" s="692" t="str">
        <f t="shared" ref="H54:H59" si="24">IF(G54="","",IF(ABS(G54)&gt;=30%,"显著",IF(ABS(G54)&gt;=10%,"关注","")))</f>
        <v/>
      </c>
      <c r="I54" s="609"/>
    </row>
    <row r="55" spans="1:9" s="177" customFormat="1" ht="13.5">
      <c r="A55" s="1102" t="str">
        <f>报表格式!L53</f>
        <v>1.重新计量设定受益计划变动额</v>
      </c>
      <c r="B55" s="1094">
        <f t="shared" si="8"/>
        <v>49</v>
      </c>
      <c r="C55" s="262">
        <f>已审横向PL!C55</f>
        <v>0</v>
      </c>
      <c r="D55" s="265" t="str">
        <f t="shared" si="18"/>
        <v/>
      </c>
      <c r="E55" s="263">
        <f>已审横向PL!D55</f>
        <v>0</v>
      </c>
      <c r="F55" s="265" t="str">
        <f t="shared" si="22"/>
        <v/>
      </c>
      <c r="G55" s="255" t="str">
        <f t="shared" si="23"/>
        <v/>
      </c>
      <c r="H55" s="692" t="str">
        <f t="shared" si="24"/>
        <v/>
      </c>
      <c r="I55" s="609"/>
    </row>
    <row r="56" spans="1:9" s="177" customFormat="1" ht="13.5">
      <c r="A56" s="1102" t="str">
        <f>报表格式!L54</f>
        <v>2.权益法下不能转损益的其他综合收益</v>
      </c>
      <c r="B56" s="1094">
        <f t="shared" si="8"/>
        <v>50</v>
      </c>
      <c r="C56" s="262">
        <f>已审横向PL!C56</f>
        <v>0</v>
      </c>
      <c r="D56" s="265" t="str">
        <f t="shared" si="18"/>
        <v/>
      </c>
      <c r="E56" s="263">
        <f>已审横向PL!D56</f>
        <v>0</v>
      </c>
      <c r="F56" s="265" t="str">
        <f t="shared" si="22"/>
        <v/>
      </c>
      <c r="G56" s="255" t="str">
        <f t="shared" si="23"/>
        <v/>
      </c>
      <c r="H56" s="692" t="str">
        <f t="shared" si="24"/>
        <v/>
      </c>
      <c r="I56" s="609"/>
    </row>
    <row r="57" spans="1:9" s="177" customFormat="1" ht="13.5">
      <c r="A57" s="1102" t="str">
        <f>报表格式!L55</f>
        <v xml:space="preserve">3.其他权益工具投资公允价值变动 </v>
      </c>
      <c r="B57" s="1094">
        <f t="shared" si="8"/>
        <v>51</v>
      </c>
      <c r="C57" s="262">
        <f>已审横向PL!C57</f>
        <v>0</v>
      </c>
      <c r="D57" s="265"/>
      <c r="E57" s="263">
        <f>已审横向PL!D57</f>
        <v>0</v>
      </c>
      <c r="F57" s="265" t="str">
        <f t="shared" si="22"/>
        <v/>
      </c>
      <c r="G57" s="255" t="str">
        <f t="shared" si="23"/>
        <v/>
      </c>
      <c r="H57" s="692" t="str">
        <f t="shared" si="24"/>
        <v/>
      </c>
      <c r="I57" s="609"/>
    </row>
    <row r="58" spans="1:9" s="177" customFormat="1" ht="13.5">
      <c r="A58" s="1102" t="str">
        <f>报表格式!L56</f>
        <v xml:space="preserve">4.企业自身信用风险公允价值变动 </v>
      </c>
      <c r="B58" s="1094">
        <f t="shared" si="8"/>
        <v>52</v>
      </c>
      <c r="C58" s="262">
        <f>已审横向PL!C58</f>
        <v>0</v>
      </c>
      <c r="D58" s="265"/>
      <c r="E58" s="263">
        <f>已审横向PL!D58</f>
        <v>0</v>
      </c>
      <c r="F58" s="265" t="str">
        <f t="shared" si="22"/>
        <v/>
      </c>
      <c r="G58" s="255" t="str">
        <f t="shared" si="23"/>
        <v/>
      </c>
      <c r="H58" s="692" t="str">
        <f t="shared" si="24"/>
        <v/>
      </c>
      <c r="I58" s="609"/>
    </row>
    <row r="59" spans="1:9" s="177" customFormat="1" ht="13.5">
      <c r="A59" s="1102" t="str">
        <f>报表格式!L57</f>
        <v>5.其他</v>
      </c>
      <c r="B59" s="1094">
        <f t="shared" si="8"/>
        <v>53</v>
      </c>
      <c r="C59" s="262">
        <f>已审横向PL!C59</f>
        <v>0</v>
      </c>
      <c r="D59" s="265" t="str">
        <f t="shared" si="18"/>
        <v/>
      </c>
      <c r="E59" s="263">
        <f>已审横向PL!D59</f>
        <v>0</v>
      </c>
      <c r="F59" s="265" t="str">
        <f t="shared" si="22"/>
        <v/>
      </c>
      <c r="G59" s="255" t="str">
        <f t="shared" si="23"/>
        <v/>
      </c>
      <c r="H59" s="692" t="str">
        <f t="shared" si="24"/>
        <v/>
      </c>
      <c r="I59" s="609"/>
    </row>
    <row r="60" spans="1:9" s="177" customFormat="1" ht="13.5">
      <c r="A60" s="1100" t="str">
        <f>报表格式!L58</f>
        <v xml:space="preserve">  （二）将重分类进损益的其他综合收益</v>
      </c>
      <c r="B60" s="1094">
        <f t="shared" si="8"/>
        <v>54</v>
      </c>
      <c r="C60" s="262">
        <f>已审横向PL!C60</f>
        <v>0</v>
      </c>
      <c r="D60" s="265" t="str">
        <f t="shared" si="18"/>
        <v/>
      </c>
      <c r="E60" s="263">
        <f>已审横向PL!D60</f>
        <v>0</v>
      </c>
      <c r="F60" s="265" t="str">
        <f t="shared" si="19"/>
        <v/>
      </c>
      <c r="G60" s="255" t="str">
        <f t="shared" si="20"/>
        <v/>
      </c>
      <c r="H60" s="692" t="str">
        <f t="shared" si="21"/>
        <v/>
      </c>
      <c r="I60" s="609"/>
    </row>
    <row r="61" spans="1:9" s="177" customFormat="1" ht="13.5">
      <c r="A61" s="1102" t="str">
        <f>报表格式!L59</f>
        <v>1.权益法下可转损益的其他综合收益</v>
      </c>
      <c r="B61" s="1094">
        <f t="shared" si="8"/>
        <v>55</v>
      </c>
      <c r="C61" s="262">
        <f>已审横向PL!C61</f>
        <v>0</v>
      </c>
      <c r="D61" s="265" t="str">
        <f t="shared" si="18"/>
        <v/>
      </c>
      <c r="E61" s="263">
        <f>已审横向PL!D61</f>
        <v>0</v>
      </c>
      <c r="F61" s="265" t="str">
        <f t="shared" si="19"/>
        <v/>
      </c>
      <c r="G61" s="255" t="str">
        <f t="shared" si="20"/>
        <v/>
      </c>
      <c r="H61" s="692" t="str">
        <f t="shared" si="21"/>
        <v/>
      </c>
      <c r="I61" s="609"/>
    </row>
    <row r="62" spans="1:9" s="177" customFormat="1" ht="13.5">
      <c r="A62" s="1102" t="str">
        <f>报表格式!L60</f>
        <v xml:space="preserve">2.其他债权投资公允价值变动 </v>
      </c>
      <c r="B62" s="1094">
        <f t="shared" si="8"/>
        <v>56</v>
      </c>
      <c r="C62" s="262">
        <f>已审横向PL!C62</f>
        <v>0</v>
      </c>
      <c r="D62" s="265" t="str">
        <f t="shared" ref="D62:D65" si="25">IF(AND(C62&lt;&gt;0,$C$7&lt;&gt;0),C62/$C$7,"")</f>
        <v/>
      </c>
      <c r="E62" s="263">
        <f>已审横向PL!D62</f>
        <v>0</v>
      </c>
      <c r="F62" s="265" t="str">
        <f t="shared" ref="F62:F72" si="26">IF(AND(E62&lt;&gt;0,$E$7&lt;&gt;0),E62/$E$7,"")</f>
        <v/>
      </c>
      <c r="G62" s="255" t="str">
        <f t="shared" ref="G62:G72" si="27">IF(AND(D62="",F62=""),"",IF(D62="",F62,IF(F62="",-D62,F62-D62)))</f>
        <v/>
      </c>
      <c r="H62" s="692" t="str">
        <f t="shared" ref="H62:H72" si="28">IF(G62="","",IF(ABS(G62)&gt;=30%,"显著",IF(ABS(G62)&gt;=10%,"关注","")))</f>
        <v/>
      </c>
      <c r="I62" s="609"/>
    </row>
    <row r="63" spans="1:9" s="177" customFormat="1" ht="13.5">
      <c r="A63" s="1102" t="str">
        <f>报表格式!L61</f>
        <v>3.可供出售金融资产公允价值变动损益</v>
      </c>
      <c r="B63" s="1094">
        <f t="shared" si="8"/>
        <v>57</v>
      </c>
      <c r="C63" s="262">
        <f>已审横向PL!C63</f>
        <v>0</v>
      </c>
      <c r="D63" s="265" t="str">
        <f t="shared" si="25"/>
        <v/>
      </c>
      <c r="E63" s="263">
        <f>已审横向PL!D63</f>
        <v>0</v>
      </c>
      <c r="F63" s="265" t="str">
        <f t="shared" si="26"/>
        <v/>
      </c>
      <c r="G63" s="255" t="str">
        <f t="shared" si="27"/>
        <v/>
      </c>
      <c r="H63" s="692" t="str">
        <f t="shared" si="28"/>
        <v/>
      </c>
      <c r="I63" s="609"/>
    </row>
    <row r="64" spans="1:9" s="177" customFormat="1" ht="13.5">
      <c r="A64" s="1102" t="str">
        <f>报表格式!L62</f>
        <v xml:space="preserve">4.金融资产重分类计入其他综合收益的金额 </v>
      </c>
      <c r="B64" s="1094">
        <f t="shared" si="8"/>
        <v>58</v>
      </c>
      <c r="C64" s="262">
        <f>已审横向PL!C64</f>
        <v>0</v>
      </c>
      <c r="D64" s="265" t="str">
        <f t="shared" si="25"/>
        <v/>
      </c>
      <c r="E64" s="263">
        <f>已审横向PL!D64</f>
        <v>0</v>
      </c>
      <c r="F64" s="265" t="str">
        <f t="shared" si="26"/>
        <v/>
      </c>
      <c r="G64" s="255" t="str">
        <f t="shared" si="27"/>
        <v/>
      </c>
      <c r="H64" s="692" t="str">
        <f t="shared" si="28"/>
        <v/>
      </c>
      <c r="I64" s="609"/>
    </row>
    <row r="65" spans="1:9" s="177" customFormat="1" ht="13.5">
      <c r="A65" s="1102" t="str">
        <f>报表格式!L63</f>
        <v>5.持有至到期投资重分类为可供出售金融资产损益</v>
      </c>
      <c r="B65" s="1094">
        <f t="shared" si="8"/>
        <v>59</v>
      </c>
      <c r="C65" s="262">
        <f>已审横向PL!C65</f>
        <v>0</v>
      </c>
      <c r="D65" s="265" t="str">
        <f t="shared" si="25"/>
        <v/>
      </c>
      <c r="E65" s="263">
        <f>已审横向PL!D65</f>
        <v>0</v>
      </c>
      <c r="F65" s="265" t="str">
        <f t="shared" si="26"/>
        <v/>
      </c>
      <c r="G65" s="255" t="str">
        <f t="shared" si="27"/>
        <v/>
      </c>
      <c r="H65" s="692" t="str">
        <f t="shared" si="28"/>
        <v/>
      </c>
      <c r="I65" s="609"/>
    </row>
    <row r="66" spans="1:9" s="177" customFormat="1" ht="13.5">
      <c r="A66" s="1102" t="str">
        <f>报表格式!L64</f>
        <v>6.其他债权投资信用减值准备</v>
      </c>
      <c r="B66" s="1094">
        <f t="shared" si="8"/>
        <v>60</v>
      </c>
      <c r="C66" s="262">
        <f>已审横向PL!C66</f>
        <v>0</v>
      </c>
      <c r="D66" s="265"/>
      <c r="E66" s="263">
        <f>已审横向PL!D66</f>
        <v>0</v>
      </c>
      <c r="F66" s="265" t="str">
        <f t="shared" si="26"/>
        <v/>
      </c>
      <c r="G66" s="255" t="str">
        <f t="shared" si="27"/>
        <v/>
      </c>
      <c r="H66" s="692" t="str">
        <f t="shared" si="28"/>
        <v/>
      </c>
      <c r="I66" s="609"/>
    </row>
    <row r="67" spans="1:9" s="177" customFormat="1" ht="13.5">
      <c r="A67" s="1102" t="str">
        <f>报表格式!L65</f>
        <v>7.现金流量套期储备</v>
      </c>
      <c r="B67" s="1094">
        <f t="shared" si="8"/>
        <v>61</v>
      </c>
      <c r="C67" s="262">
        <f>已审横向PL!C67</f>
        <v>0</v>
      </c>
      <c r="D67" s="265" t="str">
        <f t="shared" si="18"/>
        <v/>
      </c>
      <c r="E67" s="263">
        <f>已审横向PL!D67</f>
        <v>0</v>
      </c>
      <c r="F67" s="265" t="str">
        <f t="shared" si="26"/>
        <v/>
      </c>
      <c r="G67" s="255" t="str">
        <f t="shared" si="27"/>
        <v/>
      </c>
      <c r="H67" s="692" t="str">
        <f t="shared" si="28"/>
        <v/>
      </c>
      <c r="I67" s="609"/>
    </row>
    <row r="68" spans="1:9">
      <c r="A68" s="1102" t="str">
        <f>报表格式!L66</f>
        <v>8.外币财务报表折算差额</v>
      </c>
      <c r="B68" s="1094">
        <f t="shared" si="8"/>
        <v>62</v>
      </c>
      <c r="C68" s="262">
        <f>已审横向PL!C68</f>
        <v>0</v>
      </c>
      <c r="D68" s="265" t="str">
        <f t="shared" si="18"/>
        <v/>
      </c>
      <c r="E68" s="263">
        <f>已审横向PL!D68</f>
        <v>0</v>
      </c>
      <c r="F68" s="265" t="str">
        <f t="shared" si="26"/>
        <v/>
      </c>
      <c r="G68" s="255" t="str">
        <f t="shared" si="27"/>
        <v/>
      </c>
      <c r="H68" s="692" t="str">
        <f t="shared" si="28"/>
        <v/>
      </c>
      <c r="I68" s="609"/>
    </row>
    <row r="69" spans="1:9">
      <c r="A69" s="1102" t="str">
        <f>报表格式!L67</f>
        <v>9.自用房地产或作为存货的房地产转换为以公允价值计量的投资性房地产在转换日公允价值大于账面价值部分</v>
      </c>
      <c r="B69" s="1094">
        <f t="shared" si="8"/>
        <v>63</v>
      </c>
      <c r="C69" s="262">
        <f>已审横向PL!C69</f>
        <v>0</v>
      </c>
      <c r="D69" s="265" t="str">
        <f t="shared" si="18"/>
        <v/>
      </c>
      <c r="E69" s="263">
        <f>已审横向PL!D69</f>
        <v>0</v>
      </c>
      <c r="F69" s="265" t="str">
        <f t="shared" si="26"/>
        <v/>
      </c>
      <c r="G69" s="255" t="str">
        <f t="shared" si="27"/>
        <v/>
      </c>
      <c r="H69" s="692" t="str">
        <f t="shared" si="28"/>
        <v/>
      </c>
      <c r="I69" s="609"/>
    </row>
    <row r="70" spans="1:9">
      <c r="A70" s="1102" t="str">
        <f>报表格式!L68</f>
        <v>10.多次交易分步处置子公司股权构成一揽子交易的，丧失控制权之前各次交易处置价款与对应净资产账面价值份额的差额</v>
      </c>
      <c r="B70" s="1094">
        <f t="shared" si="8"/>
        <v>64</v>
      </c>
      <c r="C70" s="262">
        <f>已审横向PL!C70</f>
        <v>0</v>
      </c>
      <c r="D70" s="265" t="str">
        <f t="shared" si="18"/>
        <v/>
      </c>
      <c r="E70" s="263">
        <f>已审横向PL!D70</f>
        <v>0</v>
      </c>
      <c r="F70" s="265" t="str">
        <f t="shared" si="26"/>
        <v/>
      </c>
      <c r="G70" s="255" t="str">
        <f t="shared" si="27"/>
        <v/>
      </c>
      <c r="H70" s="692" t="str">
        <f t="shared" si="28"/>
        <v/>
      </c>
      <c r="I70" s="609"/>
    </row>
    <row r="71" spans="1:9">
      <c r="A71" s="1102" t="str">
        <f>报表格式!L69</f>
        <v>11.其他</v>
      </c>
      <c r="B71" s="1094">
        <f t="shared" si="8"/>
        <v>65</v>
      </c>
      <c r="C71" s="262">
        <f>已审横向PL!C71</f>
        <v>0</v>
      </c>
      <c r="D71" s="265" t="str">
        <f t="shared" si="18"/>
        <v/>
      </c>
      <c r="E71" s="263">
        <f>已审横向PL!D71</f>
        <v>0</v>
      </c>
      <c r="F71" s="265" t="str">
        <f t="shared" si="26"/>
        <v/>
      </c>
      <c r="G71" s="255" t="str">
        <f t="shared" si="27"/>
        <v/>
      </c>
      <c r="H71" s="692" t="str">
        <f t="shared" si="28"/>
        <v/>
      </c>
      <c r="I71" s="609"/>
    </row>
    <row r="72" spans="1:9">
      <c r="A72" s="1100" t="str">
        <f>报表格式!L70</f>
        <v>归属于少数股东的其他综合收益的税后净额</v>
      </c>
      <c r="B72" s="1094">
        <f t="shared" si="8"/>
        <v>66</v>
      </c>
      <c r="C72" s="262">
        <f>已审横向PL!C72</f>
        <v>0</v>
      </c>
      <c r="D72" s="265" t="str">
        <f t="shared" si="18"/>
        <v/>
      </c>
      <c r="E72" s="263">
        <f>已审横向PL!D72</f>
        <v>0</v>
      </c>
      <c r="F72" s="265" t="str">
        <f t="shared" si="26"/>
        <v/>
      </c>
      <c r="G72" s="255" t="str">
        <f t="shared" si="27"/>
        <v/>
      </c>
      <c r="H72" s="692" t="str">
        <f t="shared" si="28"/>
        <v/>
      </c>
      <c r="I72" s="609"/>
    </row>
    <row r="73" spans="1:9" s="636" customFormat="1">
      <c r="A73" s="1101" t="str">
        <f>报表格式!L71</f>
        <v>六、综合收益总额</v>
      </c>
      <c r="B73" s="1094">
        <f t="shared" si="8"/>
        <v>67</v>
      </c>
      <c r="C73" s="697">
        <f>已审横向PL!C73</f>
        <v>0</v>
      </c>
      <c r="D73" s="321" t="str">
        <f t="shared" si="18"/>
        <v/>
      </c>
      <c r="E73" s="697">
        <f>已审横向PL!D73</f>
        <v>0</v>
      </c>
      <c r="F73" s="321" t="str">
        <f t="shared" si="19"/>
        <v/>
      </c>
      <c r="G73" s="322" t="str">
        <f t="shared" si="20"/>
        <v/>
      </c>
      <c r="H73" s="692" t="str">
        <f t="shared" si="21"/>
        <v/>
      </c>
      <c r="I73" s="691"/>
    </row>
    <row r="74" spans="1:9">
      <c r="A74" s="1100" t="str">
        <f>报表格式!L72</f>
        <v xml:space="preserve">     归属于母公司股东的综合收益总额</v>
      </c>
      <c r="B74" s="1094">
        <f t="shared" si="8"/>
        <v>68</v>
      </c>
      <c r="C74" s="262">
        <f>已审横向PL!C74</f>
        <v>0</v>
      </c>
      <c r="D74" s="265" t="str">
        <f>IF(AND(C74&lt;&gt;0,$C$7&lt;&gt;0),C74/$C$7,"")</f>
        <v/>
      </c>
      <c r="E74" s="263">
        <f>已审横向PL!D74</f>
        <v>0</v>
      </c>
      <c r="F74" s="265" t="str">
        <f>IF(AND(E74&lt;&gt;0,$E$7&lt;&gt;0),E74/$E$7,"")</f>
        <v/>
      </c>
      <c r="G74" s="255" t="str">
        <f>IF(AND(D74="",F74=""),"",IF(D74="",F74,IF(F74="",-D74,F74-D74)))</f>
        <v/>
      </c>
      <c r="H74" s="692" t="str">
        <f>IF(G74="","",IF(ABS(G74)&gt;=30%,"显著",IF(ABS(G74)&gt;=10%,"关注","")))</f>
        <v/>
      </c>
      <c r="I74" s="609"/>
    </row>
    <row r="75" spans="1:9">
      <c r="A75" s="1100" t="str">
        <f>报表格式!L73</f>
        <v xml:space="preserve">     归属于少数股东的综合收益总额</v>
      </c>
      <c r="B75" s="1094">
        <f t="shared" si="8"/>
        <v>69</v>
      </c>
      <c r="C75" s="262">
        <f>已审横向PL!C75</f>
        <v>0</v>
      </c>
      <c r="D75" s="265" t="str">
        <f>IF(AND(C75&lt;&gt;0,$C$7&lt;&gt;0),C75/$C$7,"")</f>
        <v/>
      </c>
      <c r="E75" s="263">
        <f>已审横向PL!D75</f>
        <v>0</v>
      </c>
      <c r="F75" s="265" t="str">
        <f>IF(AND(E75&lt;&gt;0,$E$7&lt;&gt;0),E75/$E$7,"")</f>
        <v/>
      </c>
      <c r="G75" s="255" t="str">
        <f>IF(AND(D75="",F75=""),"",IF(D75="",F75,IF(F75="",-D75,F75-D75)))</f>
        <v/>
      </c>
      <c r="H75" s="692" t="str">
        <f>IF(G75="","",IF(ABS(G75)&gt;=30%,"显著",IF(ABS(G75)&gt;=10%,"关注","")))</f>
        <v/>
      </c>
      <c r="I75" s="609"/>
    </row>
    <row r="76" spans="1:9">
      <c r="A76" s="1101" t="str">
        <f>报表格式!L74</f>
        <v>七、每股收益</v>
      </c>
      <c r="B76" s="1094">
        <f t="shared" si="8"/>
        <v>70</v>
      </c>
      <c r="C76" s="262"/>
      <c r="D76" s="265"/>
      <c r="E76" s="263"/>
      <c r="F76" s="265"/>
      <c r="G76" s="255"/>
      <c r="H76" s="692"/>
      <c r="I76" s="609"/>
    </row>
    <row r="77" spans="1:9">
      <c r="A77" s="1103" t="str">
        <f>报表格式!L75</f>
        <v xml:space="preserve">   （一）基本每股收益</v>
      </c>
      <c r="B77" s="1094">
        <f t="shared" si="8"/>
        <v>71</v>
      </c>
      <c r="C77" s="262">
        <f>已审横向PL!C77</f>
        <v>0</v>
      </c>
      <c r="D77" s="265" t="str">
        <f>IF(AND(C77&lt;&gt;0,$C$7&lt;&gt;0),C77/$C$7,"")</f>
        <v/>
      </c>
      <c r="E77" s="263">
        <f>已审横向PL!D77</f>
        <v>0</v>
      </c>
      <c r="F77" s="265" t="str">
        <f>IF(AND(E77&lt;&gt;0,$E$7&lt;&gt;0),E77/$E$7,"")</f>
        <v/>
      </c>
      <c r="G77" s="255" t="str">
        <f>IF(AND(D77="",F77=""),"",IF(D77="",F77,IF(F77="",-D77,F77-D77)))</f>
        <v/>
      </c>
      <c r="H77" s="692" t="str">
        <f>IF(G77="","",IF(ABS(G77)&gt;=30%,"显著",IF(ABS(G77)&gt;=10%,"关注","")))</f>
        <v/>
      </c>
      <c r="I77" s="609"/>
    </row>
    <row r="78" spans="1:9" ht="15" thickBot="1">
      <c r="A78" s="1109" t="str">
        <f>报表格式!L76</f>
        <v xml:space="preserve">   （二）稀释每股收益</v>
      </c>
      <c r="B78" s="1096">
        <f t="shared" si="8"/>
        <v>72</v>
      </c>
      <c r="C78" s="785">
        <f>已审横向PL!C78</f>
        <v>0</v>
      </c>
      <c r="D78" s="790" t="str">
        <f>IF(AND(C78&lt;&gt;0,$C$7&lt;&gt;0),C78/$C$7,"")</f>
        <v/>
      </c>
      <c r="E78" s="785">
        <f>已审横向PL!D78</f>
        <v>0</v>
      </c>
      <c r="F78" s="790" t="str">
        <f>IF(AND(E78&lt;&gt;0,$E$7&lt;&gt;0),E78/$E$7,"")</f>
        <v/>
      </c>
      <c r="G78" s="791" t="str">
        <f>IF(AND(D78="",F78=""),"",IF(D78="",F78,IF(F78="",-D78,F78-D78)))</f>
        <v/>
      </c>
      <c r="H78" s="792" t="str">
        <f>IF(G78="","",IF(ABS(G78)&gt;=30%,"显著",IF(ABS(G78)&gt;=10%,"关注","")))</f>
        <v/>
      </c>
      <c r="I78" s="789"/>
    </row>
    <row r="81" spans="7:7">
      <c r="G81" s="178"/>
    </row>
    <row r="82" spans="7:7">
      <c r="G82" s="179"/>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I12">
    <cfRule type="cellIs" dxfId="17" priority="1" stopIfTrue="1" operator="equal">
      <formula>"异常"</formula>
    </cfRule>
  </conditionalFormatting>
  <conditionalFormatting sqref="H7:H78">
    <cfRule type="cellIs" dxfId="16" priority="2" stopIfTrue="1" operator="equal">
      <formula>"显著"</formula>
    </cfRule>
  </conditionalFormatting>
  <printOptions horizontalCentered="1"/>
  <pageMargins left="0.63" right="0.23622047244094491" top="0.34" bottom="0.25" header="0.2" footer="0.2"/>
  <pageSetup paperSize="9" scale="74" orientation="portrait" blackAndWhite="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indexed="39"/>
  </sheetPr>
  <dimension ref="A1:P399"/>
  <sheetViews>
    <sheetView showZeros="0" workbookViewId="0">
      <selection activeCell="F31" sqref="F31"/>
    </sheetView>
  </sheetViews>
  <sheetFormatPr defaultColWidth="9" defaultRowHeight="11.25"/>
  <cols>
    <col min="1" max="1" width="18.75" style="205" customWidth="1"/>
    <col min="2" max="2" width="41.375" style="235" customWidth="1"/>
    <col min="3" max="3" width="11.875" style="209" customWidth="1"/>
    <col min="4" max="4" width="11" style="209" customWidth="1"/>
    <col min="5" max="5" width="6.375" style="205" bestFit="1" customWidth="1"/>
    <col min="6" max="6" width="11.625" style="209" customWidth="1"/>
    <col min="7" max="7" width="12.25" style="209" customWidth="1"/>
    <col min="8" max="8" width="7.625" style="205" customWidth="1"/>
    <col min="9" max="9" width="7.5" style="205" customWidth="1"/>
    <col min="10" max="10" width="9.875" style="205" customWidth="1"/>
    <col min="11" max="11" width="6.875" style="205" customWidth="1"/>
    <col min="12" max="16384" width="9" style="205"/>
  </cols>
  <sheetData>
    <row r="1" spans="1:16" ht="18.75">
      <c r="A1" s="1249" t="s">
        <v>466</v>
      </c>
      <c r="B1" s="1249"/>
      <c r="C1" s="1249"/>
      <c r="D1" s="1249"/>
      <c r="E1" s="1249"/>
      <c r="F1" s="1249"/>
      <c r="G1" s="1249"/>
      <c r="H1" s="1249"/>
      <c r="I1" s="1249"/>
      <c r="J1" s="1249"/>
    </row>
    <row r="2" spans="1:16" s="196" customFormat="1" ht="16.5">
      <c r="A2" s="195" t="str">
        <f>CONCATENATE("客户名称：",说明!E23)</f>
        <v>客户名称：</v>
      </c>
      <c r="B2" s="227"/>
      <c r="C2" s="197" t="str">
        <f>CONCATENATE("编制：",说明!E36)</f>
        <v>编制：</v>
      </c>
      <c r="F2" s="195" t="str">
        <f>CONCATENATE("复核：",说明!E37)</f>
        <v>复核：</v>
      </c>
      <c r="I2" s="807" t="s">
        <v>956</v>
      </c>
      <c r="J2" s="198"/>
      <c r="K2" s="199"/>
      <c r="N2" s="200"/>
      <c r="O2" s="201"/>
      <c r="P2" s="123"/>
    </row>
    <row r="3" spans="1:16" s="196" customFormat="1" ht="14.25" thickBot="1">
      <c r="A3" s="198" t="str">
        <f>CONCATENATE("会计期间：",TEXT(说明!E30,"yyyy.mm.dd"))</f>
        <v>会计期间：2019年度</v>
      </c>
      <c r="B3" s="227"/>
      <c r="C3" s="202" t="str">
        <f ca="1">CONCATENATE("日期：",TEXT(NOW(),"yyyy.mm.dd"))</f>
        <v>日期：2019.12.31</v>
      </c>
      <c r="F3" s="197" t="s">
        <v>295</v>
      </c>
      <c r="I3" s="197" t="s">
        <v>380</v>
      </c>
      <c r="J3" s="198"/>
      <c r="K3" s="198"/>
      <c r="N3" s="200"/>
      <c r="O3" s="201"/>
      <c r="P3" s="123"/>
    </row>
    <row r="4" spans="1:16" s="224" customFormat="1" ht="12" customHeight="1">
      <c r="A4" s="1255" t="s">
        <v>389</v>
      </c>
      <c r="B4" s="1257" t="s">
        <v>434</v>
      </c>
      <c r="C4" s="1250" t="str">
        <f>CONCATENATE(说明!E29,"已审数")</f>
        <v>2018年度已审数</v>
      </c>
      <c r="D4" s="1250"/>
      <c r="E4" s="1250"/>
      <c r="F4" s="1250" t="str">
        <f>CONCATENATE(说明!E30,"已审数")</f>
        <v>2019年度已审数</v>
      </c>
      <c r="G4" s="1250"/>
      <c r="H4" s="1250"/>
      <c r="I4" s="1251" t="s">
        <v>392</v>
      </c>
      <c r="J4" s="1253" t="s">
        <v>393</v>
      </c>
    </row>
    <row r="5" spans="1:16" s="224" customFormat="1" ht="12" customHeight="1">
      <c r="A5" s="1256"/>
      <c r="B5" s="1258"/>
      <c r="C5" s="226" t="s">
        <v>390</v>
      </c>
      <c r="D5" s="226" t="s">
        <v>391</v>
      </c>
      <c r="E5" s="225" t="s">
        <v>433</v>
      </c>
      <c r="F5" s="226" t="s">
        <v>390</v>
      </c>
      <c r="G5" s="226" t="s">
        <v>391</v>
      </c>
      <c r="H5" s="225" t="s">
        <v>433</v>
      </c>
      <c r="I5" s="1252"/>
      <c r="J5" s="1254"/>
    </row>
    <row r="6" spans="1:16" ht="12.75" customHeight="1">
      <c r="A6" s="217" t="s">
        <v>394</v>
      </c>
      <c r="B6" s="228"/>
      <c r="C6" s="218"/>
      <c r="D6" s="218"/>
      <c r="E6" s="219"/>
      <c r="F6" s="218"/>
      <c r="G6" s="218"/>
      <c r="H6" s="219"/>
      <c r="I6" s="219"/>
      <c r="J6" s="220"/>
      <c r="K6" s="204"/>
    </row>
    <row r="7" spans="1:16" ht="12" customHeight="1">
      <c r="A7" s="210" t="s">
        <v>395</v>
      </c>
      <c r="B7" s="229" t="s">
        <v>436</v>
      </c>
      <c r="C7" s="267"/>
      <c r="D7" s="267"/>
      <c r="E7" s="268">
        <f t="shared" ref="E7:E14" si="0">IF(D7=0,0,C7/D7)</f>
        <v>0</v>
      </c>
      <c r="F7" s="267">
        <f>(审定合并PL!C41+审定合并PL!C27-审定合并PL!C28)/说明!J32*12</f>
        <v>0</v>
      </c>
      <c r="G7" s="267">
        <f>(审定合并BS!C105+审定合并BS!E105)/2+(审定合并BS!C121+审定合并BS!E121)/2</f>
        <v>0</v>
      </c>
      <c r="H7" s="268">
        <f t="shared" ref="H7:H14" si="1">IF(G7=0,0,F7/G7)</f>
        <v>0</v>
      </c>
      <c r="I7" s="268">
        <f t="shared" ref="I7:I14" si="2">IF(E7=0,0,(H7-E7)/E7)</f>
        <v>0</v>
      </c>
      <c r="J7" s="211" t="str">
        <f t="shared" ref="J7:J14" si="3">IF(ABS(I7)&lt;20%,"",IF(ABS(I7)&lt;50%,"关注","显著"))</f>
        <v/>
      </c>
      <c r="K7" s="204"/>
    </row>
    <row r="8" spans="1:16" ht="12" customHeight="1">
      <c r="A8" s="212" t="s">
        <v>396</v>
      </c>
      <c r="B8" s="229" t="s">
        <v>458</v>
      </c>
      <c r="C8" s="267"/>
      <c r="D8" s="267"/>
      <c r="E8" s="268">
        <f t="shared" si="0"/>
        <v>0</v>
      </c>
      <c r="F8" s="267">
        <f>审定合并PL!C44/说明!J32*12</f>
        <v>0</v>
      </c>
      <c r="G8" s="267">
        <f>审定合并BS!C108</f>
        <v>0</v>
      </c>
      <c r="H8" s="268">
        <f t="shared" si="1"/>
        <v>0</v>
      </c>
      <c r="I8" s="268">
        <f t="shared" si="2"/>
        <v>0</v>
      </c>
      <c r="J8" s="211" t="str">
        <f t="shared" si="3"/>
        <v/>
      </c>
      <c r="K8" s="204"/>
    </row>
    <row r="9" spans="1:16" ht="12" customHeight="1">
      <c r="A9" s="210" t="s">
        <v>397</v>
      </c>
      <c r="B9" s="229" t="s">
        <v>459</v>
      </c>
      <c r="C9" s="267"/>
      <c r="D9" s="267"/>
      <c r="E9" s="268">
        <f t="shared" si="0"/>
        <v>0</v>
      </c>
      <c r="F9" s="267">
        <f>审定合并PL!C44/说明!J32*12</f>
        <v>0</v>
      </c>
      <c r="G9" s="267">
        <f>(审定合并BS!C121+审定合并BS!E121)/2</f>
        <v>0</v>
      </c>
      <c r="H9" s="268">
        <f t="shared" si="1"/>
        <v>0</v>
      </c>
      <c r="I9" s="268">
        <f t="shared" si="2"/>
        <v>0</v>
      </c>
      <c r="J9" s="211" t="str">
        <f t="shared" si="3"/>
        <v/>
      </c>
      <c r="K9" s="204"/>
    </row>
    <row r="10" spans="1:16" ht="12" customHeight="1">
      <c r="A10" s="210" t="s">
        <v>437</v>
      </c>
      <c r="B10" s="229" t="s">
        <v>460</v>
      </c>
      <c r="C10" s="267"/>
      <c r="D10" s="267"/>
      <c r="E10" s="268">
        <f t="shared" si="0"/>
        <v>0</v>
      </c>
      <c r="F10" s="267">
        <f>(审定合并PL!C41+审定合并PL!C27-审定合并PL!C28)/说明!J32*12</f>
        <v>0</v>
      </c>
      <c r="G10" s="267">
        <f>(已审横向BS!C60+已审横向BS!D60)/2</f>
        <v>0</v>
      </c>
      <c r="H10" s="268">
        <f t="shared" si="1"/>
        <v>0</v>
      </c>
      <c r="I10" s="268">
        <f t="shared" si="2"/>
        <v>0</v>
      </c>
      <c r="J10" s="211" t="str">
        <f t="shared" si="3"/>
        <v/>
      </c>
      <c r="K10" s="204"/>
    </row>
    <row r="11" spans="1:16" ht="12" customHeight="1">
      <c r="A11" s="210" t="s">
        <v>398</v>
      </c>
      <c r="B11" s="229" t="s">
        <v>157</v>
      </c>
      <c r="C11" s="267"/>
      <c r="D11" s="267"/>
      <c r="E11" s="268">
        <f t="shared" si="0"/>
        <v>0</v>
      </c>
      <c r="F11" s="267">
        <f>审定合并PL!C6-审定合并PL!C12</f>
        <v>0</v>
      </c>
      <c r="G11" s="267">
        <f>审定合并PL!C6</f>
        <v>0</v>
      </c>
      <c r="H11" s="268">
        <f t="shared" si="1"/>
        <v>0</v>
      </c>
      <c r="I11" s="268">
        <f t="shared" si="2"/>
        <v>0</v>
      </c>
      <c r="J11" s="211" t="str">
        <f t="shared" si="3"/>
        <v/>
      </c>
      <c r="K11" s="204"/>
    </row>
    <row r="12" spans="1:16" ht="12" customHeight="1">
      <c r="A12" s="210" t="s">
        <v>399</v>
      </c>
      <c r="B12" s="229" t="s">
        <v>158</v>
      </c>
      <c r="C12" s="267"/>
      <c r="D12" s="267"/>
      <c r="E12" s="268">
        <f t="shared" si="0"/>
        <v>0</v>
      </c>
      <c r="F12" s="267">
        <f>(审定合并PL!C38+审定合并PL!C27-审定合并PL!C28)</f>
        <v>0</v>
      </c>
      <c r="G12" s="267">
        <f>审定合并PL!C6</f>
        <v>0</v>
      </c>
      <c r="H12" s="268">
        <f t="shared" si="1"/>
        <v>0</v>
      </c>
      <c r="I12" s="268">
        <f t="shared" si="2"/>
        <v>0</v>
      </c>
      <c r="J12" s="211" t="str">
        <f t="shared" si="3"/>
        <v/>
      </c>
      <c r="K12" s="204"/>
    </row>
    <row r="13" spans="1:16" ht="12" customHeight="1">
      <c r="A13" s="210" t="s">
        <v>400</v>
      </c>
      <c r="B13" s="229" t="s">
        <v>159</v>
      </c>
      <c r="C13" s="267"/>
      <c r="D13" s="267"/>
      <c r="E13" s="268">
        <f t="shared" si="0"/>
        <v>0</v>
      </c>
      <c r="F13" s="267">
        <f>审定合并PL!C44</f>
        <v>0</v>
      </c>
      <c r="G13" s="267">
        <f>审定合并PL!C6</f>
        <v>0</v>
      </c>
      <c r="H13" s="268">
        <f t="shared" si="1"/>
        <v>0</v>
      </c>
      <c r="I13" s="268">
        <f t="shared" si="2"/>
        <v>0</v>
      </c>
      <c r="J13" s="211" t="str">
        <f t="shared" si="3"/>
        <v/>
      </c>
      <c r="K13" s="204"/>
    </row>
    <row r="14" spans="1:16" ht="12" customHeight="1">
      <c r="A14" s="210" t="s">
        <v>401</v>
      </c>
      <c r="B14" s="229" t="s">
        <v>160</v>
      </c>
      <c r="C14" s="267"/>
      <c r="D14" s="267"/>
      <c r="E14" s="268">
        <f t="shared" si="0"/>
        <v>0</v>
      </c>
      <c r="F14" s="267">
        <f>审定合并PL!C38</f>
        <v>0</v>
      </c>
      <c r="G14" s="267">
        <f>审定合并PL!C12+审定合并PL!C23+审定合并PL!C24+审定合并PL!C26</f>
        <v>0</v>
      </c>
      <c r="H14" s="268">
        <f t="shared" si="1"/>
        <v>0</v>
      </c>
      <c r="I14" s="268">
        <f t="shared" si="2"/>
        <v>0</v>
      </c>
      <c r="J14" s="211" t="str">
        <f t="shared" si="3"/>
        <v/>
      </c>
      <c r="K14" s="204"/>
    </row>
    <row r="15" spans="1:16" ht="12" customHeight="1">
      <c r="A15" s="221" t="s">
        <v>402</v>
      </c>
      <c r="B15" s="230"/>
      <c r="C15" s="269"/>
      <c r="D15" s="269"/>
      <c r="E15" s="270"/>
      <c r="F15" s="269"/>
      <c r="G15" s="269"/>
      <c r="H15" s="270"/>
      <c r="I15" s="270"/>
      <c r="J15" s="222"/>
      <c r="K15" s="204"/>
    </row>
    <row r="16" spans="1:16" ht="12" customHeight="1">
      <c r="A16" s="210" t="s">
        <v>403</v>
      </c>
      <c r="B16" s="229" t="s">
        <v>404</v>
      </c>
      <c r="C16" s="267"/>
      <c r="D16" s="267"/>
      <c r="E16" s="268">
        <f>IF(D16=0,0,C16/D16)</f>
        <v>0</v>
      </c>
      <c r="F16" s="267">
        <f>审定合并BS!C31</f>
        <v>0</v>
      </c>
      <c r="G16" s="267">
        <f>审定合并BS!C92</f>
        <v>0</v>
      </c>
      <c r="H16" s="268">
        <f>IF(G16=0,0,F16/G16)</f>
        <v>0</v>
      </c>
      <c r="I16" s="268">
        <f>IF(E16=0,0,(H16-E16)/E16)</f>
        <v>0</v>
      </c>
      <c r="J16" s="211" t="str">
        <f>IF(AND(H16=0,I16=0),"",IF(AND(ABS(I16)&lt;20%,H16&gt;=1.6),"",IF(OR(ABS(I16)&gt;=50%,H16&lt;=1),"显著","关注")))</f>
        <v/>
      </c>
      <c r="K16" s="204"/>
    </row>
    <row r="17" spans="1:11" ht="12" customHeight="1">
      <c r="A17" s="210" t="s">
        <v>405</v>
      </c>
      <c r="B17" s="229" t="s">
        <v>406</v>
      </c>
      <c r="C17" s="267"/>
      <c r="D17" s="267"/>
      <c r="E17" s="268">
        <f>IF(D17=0,0,C17/D17)</f>
        <v>0</v>
      </c>
      <c r="F17" s="267">
        <f>审定合并BS!C31-SUM(审定合并BS!C23:C30)</f>
        <v>0</v>
      </c>
      <c r="G17" s="267">
        <f>审定合并BS!C92</f>
        <v>0</v>
      </c>
      <c r="H17" s="268">
        <f>IF(G17=0,0,F17/G17)</f>
        <v>0</v>
      </c>
      <c r="I17" s="268">
        <f>IF(E17=0,0,(H17-E17)/E17)</f>
        <v>0</v>
      </c>
      <c r="J17" s="211" t="str">
        <f>IF(AND(H17=0,I17=0),"",IF(AND(ABS(I17)&lt;20%,H17&gt;=0.8),"",IF(OR(ABS(I17)&gt;=50%,H17&lt;=0.5),"显著","关注")))</f>
        <v/>
      </c>
      <c r="K17" s="204"/>
    </row>
    <row r="18" spans="1:11" ht="12" customHeight="1">
      <c r="A18" s="210" t="s">
        <v>407</v>
      </c>
      <c r="B18" s="229" t="s">
        <v>161</v>
      </c>
      <c r="C18" s="267"/>
      <c r="D18" s="267"/>
      <c r="E18" s="268">
        <f>IF(D18=0,0,C18/D18)</f>
        <v>0</v>
      </c>
      <c r="F18" s="267">
        <f>审定合并BS!C7+审定合并BS!C10</f>
        <v>0</v>
      </c>
      <c r="G18" s="267">
        <f>审定合并BS!C92</f>
        <v>0</v>
      </c>
      <c r="H18" s="268">
        <f>IF(G18=0,0,F18/G18)</f>
        <v>0</v>
      </c>
      <c r="I18" s="268">
        <f>IF(E18=0,0,(H18-E18)/E18)</f>
        <v>0</v>
      </c>
      <c r="J18" s="211" t="str">
        <f>IF(AND(H18=0,I18=0),"",IF(AND(ABS(I18)&lt;20%,H18&gt;=0.24),"",IF(OR(ABS(I18)&gt;=50%,H18&lt;=0.15),"显著","关注")))</f>
        <v/>
      </c>
      <c r="K18" s="204"/>
    </row>
    <row r="19" spans="1:11" ht="12" customHeight="1">
      <c r="A19" s="221" t="s">
        <v>408</v>
      </c>
      <c r="B19" s="231"/>
      <c r="C19" s="269"/>
      <c r="D19" s="269"/>
      <c r="E19" s="270"/>
      <c r="F19" s="269"/>
      <c r="G19" s="269"/>
      <c r="H19" s="270"/>
      <c r="I19" s="270"/>
      <c r="J19" s="222" t="str">
        <f>IF(ABS(I19)&lt;20%,"",IF(ABS(I19)&lt;50%,"关注","异常"))</f>
        <v/>
      </c>
      <c r="K19" s="204"/>
    </row>
    <row r="20" spans="1:11" ht="12" customHeight="1">
      <c r="A20" s="210" t="s">
        <v>409</v>
      </c>
      <c r="B20" s="229" t="s">
        <v>410</v>
      </c>
      <c r="C20" s="267"/>
      <c r="D20" s="267"/>
      <c r="E20" s="268">
        <f t="shared" ref="E20:E26" si="4">IF(D20=0,0,C20/D20)</f>
        <v>0</v>
      </c>
      <c r="F20" s="267">
        <f>审定合并BS!C106</f>
        <v>0</v>
      </c>
      <c r="G20" s="267">
        <f>审定合并BS!C59</f>
        <v>0</v>
      </c>
      <c r="H20" s="268">
        <f t="shared" ref="H20:H26" si="5">IF(G20=0,0,F20/G20)</f>
        <v>0</v>
      </c>
      <c r="I20" s="268">
        <f t="shared" ref="I20:I26" si="6">IF(E20=0,0,(H20-E20)/E20)</f>
        <v>0</v>
      </c>
      <c r="J20" s="211" t="str">
        <f>IF(AND(ABS(I20)&lt;20%,H20&lt;=60%),"",IF(OR(ABS(I20)&gt;=50%,H20&gt;=90%),"显著","关注"))</f>
        <v/>
      </c>
      <c r="K20" s="204"/>
    </row>
    <row r="21" spans="1:11" ht="12" customHeight="1">
      <c r="A21" s="210" t="s">
        <v>411</v>
      </c>
      <c r="B21" s="229" t="s">
        <v>412</v>
      </c>
      <c r="C21" s="267"/>
      <c r="D21" s="267"/>
      <c r="E21" s="268">
        <f t="shared" si="4"/>
        <v>0</v>
      </c>
      <c r="F21" s="267">
        <f>审定合并BS!C106</f>
        <v>0</v>
      </c>
      <c r="G21" s="267">
        <f>审定合并BS!C121</f>
        <v>0</v>
      </c>
      <c r="H21" s="268">
        <f t="shared" si="5"/>
        <v>0</v>
      </c>
      <c r="I21" s="268">
        <f t="shared" si="6"/>
        <v>0</v>
      </c>
      <c r="J21" s="211" t="str">
        <f>IF(AND(ABS(I21)&lt;20%,H21&lt;=100%),"",IF(OR(ABS(I21)&gt;=50%,H21&gt;=150%),"显著","关注"))</f>
        <v/>
      </c>
      <c r="K21" s="204"/>
    </row>
    <row r="22" spans="1:11" ht="12" customHeight="1">
      <c r="A22" s="210" t="s">
        <v>413</v>
      </c>
      <c r="B22" s="229" t="s">
        <v>162</v>
      </c>
      <c r="C22" s="267"/>
      <c r="D22" s="267"/>
      <c r="E22" s="268">
        <f t="shared" si="4"/>
        <v>0</v>
      </c>
      <c r="F22" s="267">
        <f>审定合并BS!C106</f>
        <v>0</v>
      </c>
      <c r="G22" s="267">
        <f>审定合并BS!C121-审定合并BS!C46-审定合并BS!C47-审定合并BS!C48-审定合并BS!C50</f>
        <v>0</v>
      </c>
      <c r="H22" s="268">
        <f t="shared" si="5"/>
        <v>0</v>
      </c>
      <c r="I22" s="268">
        <f t="shared" si="6"/>
        <v>0</v>
      </c>
      <c r="J22" s="211" t="str">
        <f>IF(AND(ABS(I22)&lt;20%,H22&lt;=150%),"",IF(OR(ABS(I22)&gt;=50%,H22&gt;=200%),"显著","关注"))</f>
        <v/>
      </c>
      <c r="K22" s="204"/>
    </row>
    <row r="23" spans="1:11" ht="12" customHeight="1">
      <c r="A23" s="210" t="s">
        <v>414</v>
      </c>
      <c r="B23" s="229" t="s">
        <v>163</v>
      </c>
      <c r="C23" s="267"/>
      <c r="D23" s="267"/>
      <c r="E23" s="268">
        <f t="shared" si="4"/>
        <v>0</v>
      </c>
      <c r="F23" s="267">
        <f>审定合并PL!C41+审定合并PL!C27-审定合并PL!C28</f>
        <v>0</v>
      </c>
      <c r="G23" s="267">
        <f>审定合并PL!C27-审定合并PL!C28</f>
        <v>0</v>
      </c>
      <c r="H23" s="268">
        <f t="shared" si="5"/>
        <v>0</v>
      </c>
      <c r="I23" s="268">
        <f t="shared" si="6"/>
        <v>0</v>
      </c>
      <c r="J23" s="211" t="str">
        <f>IF(AND(H23=0,I23=0),"",IF(AND(ABS(I23)&lt;20%,H23&gt;=100%),"",IF(OR(ABS(I23)&gt;=50%,H23&lt;=50%),"显著","关注")))</f>
        <v/>
      </c>
      <c r="K23" s="204"/>
    </row>
    <row r="24" spans="1:11" ht="12" customHeight="1">
      <c r="A24" s="210" t="s">
        <v>415</v>
      </c>
      <c r="B24" s="229" t="s">
        <v>164</v>
      </c>
      <c r="C24" s="267"/>
      <c r="D24" s="267"/>
      <c r="E24" s="268">
        <f t="shared" si="4"/>
        <v>0</v>
      </c>
      <c r="F24" s="267">
        <f>审定合并BS!C31-审定合并BS!C92</f>
        <v>0</v>
      </c>
      <c r="G24" s="267">
        <f>审定合并BS!C105</f>
        <v>0</v>
      </c>
      <c r="H24" s="268">
        <f t="shared" si="5"/>
        <v>0</v>
      </c>
      <c r="I24" s="268">
        <f t="shared" si="6"/>
        <v>0</v>
      </c>
      <c r="J24" s="211" t="str">
        <f>IF(AND(H24=0,I24=0),"",IF(AND(ABS(I24)&lt;20%,H24&gt;=100%),"",IF(OR(ABS(I24)&gt;=50%,H24&lt;=50%),"显著","关注")))</f>
        <v/>
      </c>
      <c r="K24" s="204"/>
    </row>
    <row r="25" spans="1:11" ht="12" customHeight="1">
      <c r="A25" s="210" t="s">
        <v>416</v>
      </c>
      <c r="B25" s="229" t="s">
        <v>165</v>
      </c>
      <c r="C25" s="267"/>
      <c r="D25" s="267"/>
      <c r="E25" s="268">
        <f t="shared" si="4"/>
        <v>0</v>
      </c>
      <c r="F25" s="267">
        <f>已审横向BS!L50</f>
        <v>0</v>
      </c>
      <c r="G25" s="267">
        <f>已审横向BS!L53</f>
        <v>0</v>
      </c>
      <c r="H25" s="268">
        <f t="shared" si="5"/>
        <v>0</v>
      </c>
      <c r="I25" s="268">
        <f t="shared" si="6"/>
        <v>0</v>
      </c>
      <c r="J25" s="211" t="str">
        <f>IF(ABS(I25)&lt;20%,"",IF(ABS(I25)&lt;50%,"关注","显著"))</f>
        <v/>
      </c>
      <c r="K25" s="204"/>
    </row>
    <row r="26" spans="1:11" ht="12" customHeight="1">
      <c r="A26" s="210" t="s">
        <v>417</v>
      </c>
      <c r="B26" s="229" t="s">
        <v>457</v>
      </c>
      <c r="C26" s="267"/>
      <c r="D26" s="267"/>
      <c r="E26" s="268">
        <f t="shared" si="4"/>
        <v>0</v>
      </c>
      <c r="F26" s="267">
        <f>审定合并BS!C92+审定合并BS!C116</f>
        <v>0</v>
      </c>
      <c r="G26" s="267">
        <f>审定合并BS!C106+审定合并BS!C119</f>
        <v>0</v>
      </c>
      <c r="H26" s="268">
        <f t="shared" si="5"/>
        <v>0</v>
      </c>
      <c r="I26" s="268">
        <f t="shared" si="6"/>
        <v>0</v>
      </c>
      <c r="J26" s="211" t="str">
        <f>IF(AND(H26=0,I26=0),"",IF(AND(ABS(I26)&lt;20%,H26&gt;=50%),"",IF(OR(ABS(I26)&gt;=50%,H26&lt;=30%),"显著","关注")))</f>
        <v/>
      </c>
      <c r="K26" s="204"/>
    </row>
    <row r="27" spans="1:11" ht="12" customHeight="1">
      <c r="A27" s="221" t="s">
        <v>438</v>
      </c>
      <c r="B27" s="230"/>
      <c r="C27" s="269"/>
      <c r="D27" s="269"/>
      <c r="E27" s="270"/>
      <c r="F27" s="269"/>
      <c r="G27" s="269"/>
      <c r="H27" s="270"/>
      <c r="I27" s="270"/>
      <c r="J27" s="222"/>
      <c r="K27" s="204"/>
    </row>
    <row r="28" spans="1:11" ht="12" customHeight="1">
      <c r="A28" s="210" t="s">
        <v>418</v>
      </c>
      <c r="B28" s="229" t="s">
        <v>166</v>
      </c>
      <c r="C28" s="267"/>
      <c r="D28" s="267"/>
      <c r="E28" s="268">
        <f>IF(D28=0,0,C28/D28)</f>
        <v>0</v>
      </c>
      <c r="F28" s="267">
        <f>审定合并PL!C6/说明!J32*12</f>
        <v>0</v>
      </c>
      <c r="G28" s="267">
        <f>(审定合并BS!C59+审定合并BS!E59)/2</f>
        <v>0</v>
      </c>
      <c r="H28" s="268">
        <f>IF(G28=0,0,F28/G28)</f>
        <v>0</v>
      </c>
      <c r="I28" s="268">
        <f t="shared" ref="I28:I33" si="7">IF(E28=0,0,(H28-E28)/E28)</f>
        <v>0</v>
      </c>
      <c r="J28" s="211" t="str">
        <f t="shared" ref="J28:J33" si="8">IF(ABS(I28)&lt;20%,"",IF(ABS(I28)&lt;50%,"关注","显著"))</f>
        <v/>
      </c>
      <c r="K28" s="204"/>
    </row>
    <row r="29" spans="1:11" ht="12" customHeight="1">
      <c r="A29" s="210" t="s">
        <v>419</v>
      </c>
      <c r="B29" s="229" t="s">
        <v>167</v>
      </c>
      <c r="C29" s="267"/>
      <c r="D29" s="267"/>
      <c r="E29" s="268">
        <f>IF(D29=0,0,C29/D29)</f>
        <v>0</v>
      </c>
      <c r="F29" s="267">
        <f>审定合并PL!C6/说明!J32*12</f>
        <v>0</v>
      </c>
      <c r="G29" s="267">
        <f>(审定合并BS!C42+审定合并BS!E42)/2</f>
        <v>0</v>
      </c>
      <c r="H29" s="268">
        <f>IF(G29=0,0,F29/G29)</f>
        <v>0</v>
      </c>
      <c r="I29" s="268">
        <f t="shared" si="7"/>
        <v>0</v>
      </c>
      <c r="J29" s="211" t="str">
        <f t="shared" si="8"/>
        <v/>
      </c>
      <c r="K29" s="204"/>
    </row>
    <row r="30" spans="1:11" ht="12" customHeight="1">
      <c r="A30" s="210" t="s">
        <v>420</v>
      </c>
      <c r="B30" s="229" t="s">
        <v>168</v>
      </c>
      <c r="C30" s="267"/>
      <c r="D30" s="267"/>
      <c r="E30" s="268">
        <f>IF(D30=0,0,C30/D30)</f>
        <v>0</v>
      </c>
      <c r="F30" s="267">
        <f>审定合并PL!C6/说明!J32*12</f>
        <v>0</v>
      </c>
      <c r="G30" s="267">
        <f>(审定合并BS!C31+审定合并BS!E31)/2</f>
        <v>0</v>
      </c>
      <c r="H30" s="268">
        <f>IF(G30=0,0,F30/G30)</f>
        <v>0</v>
      </c>
      <c r="I30" s="268">
        <f t="shared" si="7"/>
        <v>0</v>
      </c>
      <c r="J30" s="211" t="str">
        <f t="shared" si="8"/>
        <v/>
      </c>
      <c r="K30" s="204"/>
    </row>
    <row r="31" spans="1:11" ht="12" customHeight="1">
      <c r="A31" s="210" t="s">
        <v>421</v>
      </c>
      <c r="B31" s="229" t="s">
        <v>435</v>
      </c>
      <c r="C31" s="267"/>
      <c r="D31" s="267"/>
      <c r="E31" s="325">
        <f>IF(D31=0,0,C31/D31)</f>
        <v>0</v>
      </c>
      <c r="F31" s="267">
        <f>审定合并PL!C6/说明!J32*12</f>
        <v>0</v>
      </c>
      <c r="G31" s="267">
        <f>(审定合并BS!C14+审定合并BS!E14)/2</f>
        <v>0</v>
      </c>
      <c r="H31" s="325">
        <f>IF(G31=0,0,F31/G31)</f>
        <v>0</v>
      </c>
      <c r="I31" s="268">
        <f t="shared" si="7"/>
        <v>0</v>
      </c>
      <c r="J31" s="211" t="str">
        <f t="shared" si="8"/>
        <v/>
      </c>
      <c r="K31" s="204"/>
    </row>
    <row r="32" spans="1:11" ht="12" customHeight="1">
      <c r="A32" s="210" t="s">
        <v>422</v>
      </c>
      <c r="B32" s="229" t="s">
        <v>169</v>
      </c>
      <c r="C32" s="267"/>
      <c r="D32" s="267"/>
      <c r="E32" s="325">
        <f>IF(D32=0,0,C32/D32)</f>
        <v>0</v>
      </c>
      <c r="F32" s="267">
        <f>已审横向PL!D22/说明!J32*12</f>
        <v>0</v>
      </c>
      <c r="G32" s="267">
        <f>(审定合并BS!C24+审定合并BS!E24)/2</f>
        <v>0</v>
      </c>
      <c r="H32" s="325">
        <f>IF(G32=0,0,F32/G32)</f>
        <v>0</v>
      </c>
      <c r="I32" s="268">
        <f t="shared" si="7"/>
        <v>0</v>
      </c>
      <c r="J32" s="211" t="str">
        <f t="shared" si="8"/>
        <v/>
      </c>
      <c r="K32" s="204"/>
    </row>
    <row r="33" spans="1:11" ht="12" customHeight="1">
      <c r="A33" s="210" t="s">
        <v>423</v>
      </c>
      <c r="B33" s="229" t="s">
        <v>424</v>
      </c>
      <c r="C33" s="267"/>
      <c r="D33" s="267"/>
      <c r="E33" s="271">
        <f>SUM(C33:D33)</f>
        <v>0</v>
      </c>
      <c r="F33" s="267">
        <f>IF(H31&lt;&gt;0,365/H31,)</f>
        <v>0</v>
      </c>
      <c r="G33" s="267">
        <f>IF(H32&lt;&gt;0,365/H32,)</f>
        <v>0</v>
      </c>
      <c r="H33" s="271">
        <f>SUM(F33:G33)</f>
        <v>0</v>
      </c>
      <c r="I33" s="268">
        <f t="shared" si="7"/>
        <v>0</v>
      </c>
      <c r="J33" s="211" t="str">
        <f t="shared" si="8"/>
        <v/>
      </c>
      <c r="K33" s="204"/>
    </row>
    <row r="34" spans="1:11" ht="12" customHeight="1">
      <c r="A34" s="221" t="s">
        <v>440</v>
      </c>
      <c r="B34" s="230"/>
      <c r="C34" s="269"/>
      <c r="D34" s="269"/>
      <c r="E34" s="272"/>
      <c r="F34" s="269"/>
      <c r="G34" s="269"/>
      <c r="H34" s="272"/>
      <c r="I34" s="270"/>
      <c r="J34" s="222"/>
      <c r="K34" s="204"/>
    </row>
    <row r="35" spans="1:11" ht="12" customHeight="1">
      <c r="A35" s="210" t="s">
        <v>461</v>
      </c>
      <c r="B35" s="229" t="s">
        <v>462</v>
      </c>
      <c r="C35" s="267"/>
      <c r="D35" s="267"/>
      <c r="E35" s="268">
        <f t="shared" ref="E35:E40" si="9">IF(D35=0,0,C35/D35)</f>
        <v>0</v>
      </c>
      <c r="F35" s="267">
        <f>审定合并BS!C121</f>
        <v>0</v>
      </c>
      <c r="G35" s="267">
        <f>审定合并BS!E121</f>
        <v>0</v>
      </c>
      <c r="H35" s="268">
        <f t="shared" ref="H35:H40" si="10">IF(G35=0,0,F35/G35)</f>
        <v>0</v>
      </c>
      <c r="I35" s="268">
        <f t="shared" ref="I35:I40" si="11">IF(E35=0,0,(H35-E35)/E35)</f>
        <v>0</v>
      </c>
      <c r="J35" s="211" t="str">
        <f t="shared" ref="J35:J40" si="12">IF(ABS(I35)&lt;20%,"",IF(ABS(I35)&lt;50%,"关注","显著"))</f>
        <v/>
      </c>
      <c r="K35" s="204"/>
    </row>
    <row r="36" spans="1:11" ht="12" customHeight="1">
      <c r="A36" s="210" t="s">
        <v>463</v>
      </c>
      <c r="B36" s="229" t="s">
        <v>467</v>
      </c>
      <c r="C36" s="470"/>
      <c r="D36" s="267"/>
      <c r="E36" s="268">
        <f t="shared" si="9"/>
        <v>0</v>
      </c>
      <c r="F36" s="470"/>
      <c r="G36" s="267">
        <f>(审定合并BS!C59+审定合并BS!E59)/2</f>
        <v>0</v>
      </c>
      <c r="H36" s="268">
        <f t="shared" si="10"/>
        <v>0</v>
      </c>
      <c r="I36" s="268">
        <f t="shared" si="11"/>
        <v>0</v>
      </c>
      <c r="J36" s="211" t="str">
        <f t="shared" si="12"/>
        <v/>
      </c>
      <c r="K36" s="204"/>
    </row>
    <row r="37" spans="1:11" ht="12" customHeight="1">
      <c r="A37" s="210" t="s">
        <v>464</v>
      </c>
      <c r="B37" s="229" t="s">
        <v>465</v>
      </c>
      <c r="C37" s="470"/>
      <c r="D37" s="267"/>
      <c r="E37" s="268">
        <f t="shared" si="9"/>
        <v>0</v>
      </c>
      <c r="F37" s="470"/>
      <c r="G37" s="267">
        <f>F36</f>
        <v>0</v>
      </c>
      <c r="H37" s="268">
        <f t="shared" si="10"/>
        <v>0</v>
      </c>
      <c r="I37" s="268">
        <f t="shared" si="11"/>
        <v>0</v>
      </c>
      <c r="J37" s="211" t="str">
        <f t="shared" si="12"/>
        <v/>
      </c>
      <c r="K37" s="204"/>
    </row>
    <row r="38" spans="1:11" ht="12" customHeight="1">
      <c r="A38" s="210" t="s">
        <v>441</v>
      </c>
      <c r="B38" s="229" t="s">
        <v>442</v>
      </c>
      <c r="C38" s="470"/>
      <c r="D38" s="267"/>
      <c r="E38" s="268">
        <f t="shared" si="9"/>
        <v>0</v>
      </c>
      <c r="F38" s="470"/>
      <c r="G38" s="267">
        <f>审定合并BS!C59</f>
        <v>0</v>
      </c>
      <c r="H38" s="268">
        <f t="shared" si="10"/>
        <v>0</v>
      </c>
      <c r="I38" s="268">
        <f t="shared" si="11"/>
        <v>0</v>
      </c>
      <c r="J38" s="211" t="str">
        <f t="shared" si="12"/>
        <v/>
      </c>
      <c r="K38" s="204"/>
    </row>
    <row r="39" spans="1:11" ht="12" customHeight="1">
      <c r="A39" s="210" t="s">
        <v>443</v>
      </c>
      <c r="B39" s="229" t="s">
        <v>444</v>
      </c>
      <c r="C39" s="470"/>
      <c r="D39" s="267"/>
      <c r="E39" s="268">
        <f t="shared" si="9"/>
        <v>0</v>
      </c>
      <c r="F39" s="470"/>
      <c r="G39" s="267">
        <f>审定合并BS!C59</f>
        <v>0</v>
      </c>
      <c r="H39" s="268">
        <f t="shared" si="10"/>
        <v>0</v>
      </c>
      <c r="I39" s="268">
        <f t="shared" si="11"/>
        <v>0</v>
      </c>
      <c r="J39" s="211" t="str">
        <f t="shared" si="12"/>
        <v/>
      </c>
      <c r="K39" s="204"/>
    </row>
    <row r="40" spans="1:11" ht="12" customHeight="1">
      <c r="A40" s="210" t="s">
        <v>445</v>
      </c>
      <c r="B40" s="229" t="s">
        <v>446</v>
      </c>
      <c r="C40" s="267"/>
      <c r="D40" s="470"/>
      <c r="E40" s="268">
        <f t="shared" si="9"/>
        <v>0</v>
      </c>
      <c r="F40" s="267">
        <f>(审定合并BS!C42+审定合并BS!E42)/2</f>
        <v>0</v>
      </c>
      <c r="G40" s="470"/>
      <c r="H40" s="268">
        <f t="shared" si="10"/>
        <v>0</v>
      </c>
      <c r="I40" s="268">
        <f t="shared" si="11"/>
        <v>0</v>
      </c>
      <c r="J40" s="211" t="str">
        <f t="shared" si="12"/>
        <v/>
      </c>
      <c r="K40" s="204"/>
    </row>
    <row r="41" spans="1:11" ht="12" customHeight="1">
      <c r="A41" s="223" t="s">
        <v>439</v>
      </c>
      <c r="B41" s="230"/>
      <c r="C41" s="269"/>
      <c r="D41" s="269"/>
      <c r="E41" s="273"/>
      <c r="F41" s="269"/>
      <c r="G41" s="269"/>
      <c r="H41" s="270"/>
      <c r="I41" s="270"/>
      <c r="J41" s="222"/>
      <c r="K41" s="204"/>
    </row>
    <row r="42" spans="1:11" ht="12" customHeight="1">
      <c r="A42" s="212" t="s">
        <v>425</v>
      </c>
      <c r="B42" s="229" t="s">
        <v>426</v>
      </c>
      <c r="C42" s="267"/>
      <c r="D42" s="267"/>
      <c r="E42" s="268">
        <f>IF(D42=0,0,C42/D42)</f>
        <v>0</v>
      </c>
      <c r="F42" s="267">
        <f>审定合并CF!C31</f>
        <v>0</v>
      </c>
      <c r="G42" s="267">
        <f>审定合并BS!C92</f>
        <v>0</v>
      </c>
      <c r="H42" s="268">
        <f>IF(G42=0,0,F42/G42)</f>
        <v>0</v>
      </c>
      <c r="I42" s="268">
        <f>IF(E42=0,0,(H42-E42)/E42)</f>
        <v>0</v>
      </c>
      <c r="J42" s="211" t="str">
        <f>IF(ABS(I42)&lt;20%,"",IF(ABS(I42)&lt;50%,"关注","显著"))</f>
        <v/>
      </c>
      <c r="K42" s="204"/>
    </row>
    <row r="43" spans="1:11" ht="12" customHeight="1">
      <c r="A43" s="212" t="s">
        <v>427</v>
      </c>
      <c r="B43" s="229" t="s">
        <v>428</v>
      </c>
      <c r="C43" s="267"/>
      <c r="D43" s="267"/>
      <c r="E43" s="268">
        <f>IF(D43=0,0,C43/D43)</f>
        <v>0</v>
      </c>
      <c r="F43" s="267">
        <f>审定合并CF!C31</f>
        <v>0</v>
      </c>
      <c r="G43" s="267">
        <f>审定合并BS!C106</f>
        <v>0</v>
      </c>
      <c r="H43" s="268">
        <f>IF(G43=0,0,F43/G43)</f>
        <v>0</v>
      </c>
      <c r="I43" s="268">
        <f>IF(E43=0,0,(H43-E43)/E43)</f>
        <v>0</v>
      </c>
      <c r="J43" s="211" t="str">
        <f>IF(ABS(I43)&lt;20%,"",IF(ABS(I43)&lt;50%,"关注","显著"))</f>
        <v/>
      </c>
      <c r="K43" s="204"/>
    </row>
    <row r="44" spans="1:11" ht="12" customHeight="1">
      <c r="A44" s="213" t="s">
        <v>429</v>
      </c>
      <c r="B44" s="232" t="s">
        <v>430</v>
      </c>
      <c r="C44" s="274"/>
      <c r="D44" s="274"/>
      <c r="E44" s="275">
        <f>IF(D44=0,0,C44/D44)</f>
        <v>0</v>
      </c>
      <c r="F44" s="276">
        <f>审定合并CF!C31</f>
        <v>0</v>
      </c>
      <c r="G44" s="276">
        <f>审定合并PL!C44</f>
        <v>0</v>
      </c>
      <c r="H44" s="275">
        <f>IF(G44=0,0,F44/G44)</f>
        <v>0</v>
      </c>
      <c r="I44" s="275">
        <f>IF(E44=0,0,(H44-E44)/E44)</f>
        <v>0</v>
      </c>
      <c r="J44" s="214" t="str">
        <f>IF(ABS(I44)&lt;20%,"",IF(ABS(I44)&lt;50%,"关注","显著"))</f>
        <v/>
      </c>
      <c r="K44" s="204"/>
    </row>
    <row r="45" spans="1:11" ht="14.25" thickBot="1">
      <c r="A45" s="215" t="s">
        <v>431</v>
      </c>
      <c r="B45" s="233" t="s">
        <v>170</v>
      </c>
      <c r="C45" s="277"/>
      <c r="D45" s="277"/>
      <c r="E45" s="278">
        <f>IF(D45=0,0,C45/D45)</f>
        <v>0</v>
      </c>
      <c r="F45" s="279">
        <f>审定合并CF!C31</f>
        <v>0</v>
      </c>
      <c r="G45" s="279">
        <f>审定合并PL!C6</f>
        <v>0</v>
      </c>
      <c r="H45" s="278">
        <f>IF(G45=0,0,F45/G45)</f>
        <v>0</v>
      </c>
      <c r="I45" s="278">
        <f>IF(E45=0,0,(H45-E45)/E45)</f>
        <v>0</v>
      </c>
      <c r="J45" s="216" t="str">
        <f>IF(ABS(I45)&lt;20%,"",IF(ABS(I45)&lt;50%,"关注","显著"))</f>
        <v/>
      </c>
      <c r="K45" s="204"/>
    </row>
    <row r="46" spans="1:11">
      <c r="A46" s="204"/>
      <c r="B46" s="234"/>
      <c r="C46" s="207"/>
      <c r="D46" s="207"/>
      <c r="E46" s="206"/>
      <c r="F46" s="207"/>
      <c r="G46" s="207"/>
      <c r="H46" s="204"/>
      <c r="I46" s="204"/>
      <c r="J46" s="204"/>
      <c r="K46" s="204"/>
    </row>
    <row r="47" spans="1:11">
      <c r="A47" s="204" t="s">
        <v>432</v>
      </c>
      <c r="B47" s="234"/>
      <c r="C47" s="207"/>
      <c r="D47" s="207"/>
      <c r="E47" s="206"/>
      <c r="F47" s="207"/>
      <c r="G47" s="207"/>
      <c r="H47" s="204"/>
      <c r="I47" s="204"/>
      <c r="J47" s="204"/>
      <c r="K47" s="204"/>
    </row>
    <row r="48" spans="1:11" ht="12">
      <c r="A48" s="208" t="s">
        <v>469</v>
      </c>
      <c r="B48" s="234"/>
      <c r="C48" s="207"/>
      <c r="D48" s="207"/>
      <c r="E48" s="206"/>
      <c r="F48" s="207"/>
      <c r="G48" s="207"/>
      <c r="H48" s="204"/>
      <c r="I48" s="204"/>
      <c r="J48" s="204"/>
      <c r="K48" s="204"/>
    </row>
    <row r="49" spans="1:11" ht="12">
      <c r="A49" s="208" t="s">
        <v>470</v>
      </c>
      <c r="B49" s="234"/>
      <c r="C49" s="207"/>
      <c r="D49" s="207"/>
      <c r="E49" s="206"/>
      <c r="F49" s="207"/>
      <c r="G49" s="207"/>
      <c r="H49" s="204"/>
      <c r="I49" s="204"/>
      <c r="J49" s="204"/>
      <c r="K49" s="204"/>
    </row>
    <row r="50" spans="1:11" ht="12">
      <c r="A50" s="208" t="s">
        <v>468</v>
      </c>
      <c r="B50" s="234"/>
      <c r="C50" s="207"/>
      <c r="D50" s="207"/>
      <c r="E50" s="206"/>
      <c r="F50" s="207"/>
      <c r="G50" s="207"/>
      <c r="H50" s="204"/>
      <c r="I50" s="204"/>
      <c r="J50" s="204"/>
      <c r="K50" s="204"/>
    </row>
    <row r="51" spans="1:11">
      <c r="A51" s="204"/>
      <c r="B51" s="234"/>
      <c r="C51" s="207"/>
      <c r="D51" s="207"/>
      <c r="E51" s="206"/>
      <c r="F51" s="207"/>
      <c r="G51" s="207"/>
      <c r="H51" s="204"/>
      <c r="I51" s="204"/>
      <c r="J51" s="204"/>
      <c r="K51" s="204"/>
    </row>
    <row r="52" spans="1:11">
      <c r="A52" s="204"/>
      <c r="B52" s="234"/>
      <c r="C52" s="207"/>
      <c r="D52" s="207"/>
      <c r="E52" s="206"/>
      <c r="F52" s="207"/>
      <c r="G52" s="207"/>
      <c r="H52" s="204"/>
      <c r="I52" s="204"/>
      <c r="J52" s="204"/>
      <c r="K52" s="204"/>
    </row>
    <row r="53" spans="1:11">
      <c r="A53" s="204"/>
      <c r="B53" s="234"/>
      <c r="C53" s="207"/>
      <c r="D53" s="207"/>
      <c r="E53" s="206"/>
      <c r="F53" s="207"/>
      <c r="G53" s="207"/>
      <c r="H53" s="204"/>
      <c r="I53" s="204"/>
      <c r="J53" s="204"/>
      <c r="K53" s="204"/>
    </row>
    <row r="54" spans="1:11">
      <c r="A54" s="204"/>
      <c r="B54" s="234"/>
      <c r="C54" s="207"/>
      <c r="D54" s="207"/>
      <c r="E54" s="206"/>
      <c r="F54" s="207"/>
      <c r="G54" s="207"/>
      <c r="H54" s="204"/>
      <c r="I54" s="204"/>
      <c r="J54" s="204"/>
      <c r="K54" s="204"/>
    </row>
    <row r="55" spans="1:11">
      <c r="A55" s="204"/>
      <c r="B55" s="234"/>
      <c r="C55" s="207"/>
      <c r="D55" s="207"/>
      <c r="E55" s="206"/>
      <c r="F55" s="207"/>
      <c r="G55" s="207"/>
      <c r="H55" s="204"/>
      <c r="I55" s="204"/>
      <c r="J55" s="204"/>
      <c r="K55" s="204"/>
    </row>
    <row r="56" spans="1:11">
      <c r="A56" s="204"/>
      <c r="B56" s="234"/>
      <c r="C56" s="207"/>
      <c r="D56" s="207"/>
      <c r="E56" s="206"/>
      <c r="F56" s="207"/>
      <c r="G56" s="207"/>
      <c r="H56" s="204"/>
      <c r="I56" s="204"/>
      <c r="J56" s="204"/>
      <c r="K56" s="204"/>
    </row>
    <row r="57" spans="1:11">
      <c r="A57" s="204"/>
      <c r="B57" s="234"/>
      <c r="C57" s="207"/>
      <c r="D57" s="207"/>
      <c r="E57" s="206"/>
      <c r="F57" s="207"/>
      <c r="G57" s="207"/>
      <c r="H57" s="204"/>
      <c r="I57" s="204"/>
      <c r="J57" s="204"/>
      <c r="K57" s="204"/>
    </row>
    <row r="58" spans="1:11">
      <c r="A58" s="204"/>
      <c r="B58" s="234"/>
      <c r="C58" s="207"/>
      <c r="D58" s="207"/>
      <c r="E58" s="206"/>
      <c r="F58" s="207"/>
      <c r="G58" s="207"/>
      <c r="H58" s="204"/>
      <c r="I58" s="204"/>
      <c r="J58" s="204"/>
      <c r="K58" s="204"/>
    </row>
    <row r="59" spans="1:11">
      <c r="A59" s="204"/>
      <c r="B59" s="234"/>
      <c r="C59" s="207"/>
      <c r="D59" s="207"/>
      <c r="E59" s="206"/>
      <c r="F59" s="207"/>
      <c r="G59" s="207"/>
      <c r="H59" s="204"/>
      <c r="I59" s="204"/>
      <c r="J59" s="204"/>
      <c r="K59" s="204"/>
    </row>
    <row r="60" spans="1:11">
      <c r="A60" s="204"/>
      <c r="B60" s="234"/>
      <c r="C60" s="207"/>
      <c r="D60" s="207"/>
      <c r="E60" s="206"/>
      <c r="F60" s="207"/>
      <c r="G60" s="207"/>
      <c r="H60" s="204"/>
      <c r="I60" s="204"/>
      <c r="J60" s="204"/>
      <c r="K60" s="204"/>
    </row>
    <row r="61" spans="1:11">
      <c r="A61" s="204"/>
      <c r="B61" s="234"/>
      <c r="C61" s="207"/>
      <c r="D61" s="207"/>
      <c r="E61" s="206"/>
      <c r="F61" s="207"/>
      <c r="G61" s="207"/>
      <c r="H61" s="204"/>
      <c r="I61" s="204"/>
      <c r="J61" s="204"/>
      <c r="K61" s="204"/>
    </row>
    <row r="62" spans="1:11">
      <c r="A62" s="204"/>
      <c r="B62" s="234"/>
      <c r="C62" s="207"/>
      <c r="D62" s="207"/>
      <c r="E62" s="206"/>
      <c r="F62" s="207"/>
      <c r="G62" s="207"/>
      <c r="H62" s="204"/>
      <c r="I62" s="204"/>
      <c r="J62" s="204"/>
      <c r="K62" s="204"/>
    </row>
    <row r="63" spans="1:11">
      <c r="A63" s="204"/>
      <c r="B63" s="234"/>
      <c r="C63" s="207"/>
      <c r="D63" s="207"/>
      <c r="E63" s="206"/>
      <c r="F63" s="207"/>
      <c r="G63" s="207"/>
      <c r="H63" s="204"/>
      <c r="I63" s="204"/>
      <c r="J63" s="204"/>
      <c r="K63" s="204"/>
    </row>
    <row r="64" spans="1:11">
      <c r="A64" s="204"/>
      <c r="B64" s="234"/>
      <c r="C64" s="207"/>
      <c r="D64" s="207"/>
      <c r="E64" s="206"/>
      <c r="F64" s="207"/>
      <c r="G64" s="207"/>
      <c r="H64" s="204"/>
      <c r="I64" s="204"/>
      <c r="J64" s="204"/>
      <c r="K64" s="204"/>
    </row>
    <row r="65" spans="1:11">
      <c r="A65" s="204"/>
      <c r="B65" s="234"/>
      <c r="C65" s="207"/>
      <c r="D65" s="207"/>
      <c r="E65" s="206"/>
      <c r="F65" s="207"/>
      <c r="G65" s="207"/>
      <c r="H65" s="204"/>
      <c r="I65" s="204"/>
      <c r="J65" s="204"/>
      <c r="K65" s="204"/>
    </row>
    <row r="66" spans="1:11">
      <c r="A66" s="204"/>
      <c r="B66" s="234"/>
      <c r="C66" s="207"/>
      <c r="D66" s="207"/>
      <c r="E66" s="206"/>
      <c r="F66" s="207"/>
      <c r="G66" s="207"/>
      <c r="H66" s="204"/>
      <c r="I66" s="204"/>
      <c r="J66" s="204"/>
      <c r="K66" s="204"/>
    </row>
    <row r="67" spans="1:11">
      <c r="A67" s="204"/>
      <c r="B67" s="234"/>
      <c r="C67" s="207"/>
      <c r="D67" s="207"/>
      <c r="E67" s="206"/>
      <c r="F67" s="207"/>
      <c r="G67" s="207"/>
      <c r="H67" s="204"/>
      <c r="I67" s="204"/>
      <c r="J67" s="204"/>
      <c r="K67" s="204"/>
    </row>
    <row r="68" spans="1:11">
      <c r="A68" s="204"/>
      <c r="B68" s="234"/>
      <c r="C68" s="207"/>
      <c r="D68" s="207"/>
      <c r="E68" s="206"/>
      <c r="F68" s="207"/>
      <c r="G68" s="207"/>
      <c r="H68" s="204"/>
      <c r="I68" s="204"/>
      <c r="J68" s="204"/>
      <c r="K68" s="204"/>
    </row>
    <row r="69" spans="1:11">
      <c r="A69" s="204"/>
      <c r="B69" s="234"/>
      <c r="C69" s="207"/>
      <c r="D69" s="207"/>
      <c r="E69" s="206"/>
      <c r="F69" s="207"/>
      <c r="G69" s="207"/>
      <c r="H69" s="204"/>
      <c r="I69" s="204"/>
      <c r="J69" s="204"/>
      <c r="K69" s="204"/>
    </row>
    <row r="70" spans="1:11">
      <c r="A70" s="204"/>
      <c r="B70" s="234"/>
      <c r="C70" s="207"/>
      <c r="D70" s="207"/>
      <c r="E70" s="206"/>
      <c r="F70" s="207"/>
      <c r="G70" s="207"/>
      <c r="H70" s="204"/>
      <c r="I70" s="204"/>
      <c r="J70" s="204"/>
      <c r="K70" s="204"/>
    </row>
    <row r="71" spans="1:11">
      <c r="A71" s="204"/>
      <c r="B71" s="234"/>
      <c r="C71" s="207"/>
      <c r="D71" s="207"/>
      <c r="E71" s="206"/>
      <c r="F71" s="207"/>
      <c r="G71" s="207"/>
      <c r="H71" s="204"/>
      <c r="I71" s="204"/>
      <c r="J71" s="204"/>
      <c r="K71" s="204"/>
    </row>
    <row r="72" spans="1:11">
      <c r="A72" s="204"/>
      <c r="B72" s="234"/>
      <c r="C72" s="207"/>
      <c r="D72" s="207"/>
      <c r="E72" s="206"/>
      <c r="F72" s="207"/>
      <c r="G72" s="207"/>
      <c r="H72" s="204"/>
      <c r="I72" s="204"/>
      <c r="J72" s="204"/>
      <c r="K72" s="204"/>
    </row>
    <row r="73" spans="1:11">
      <c r="A73" s="204"/>
      <c r="B73" s="234"/>
      <c r="C73" s="207"/>
      <c r="D73" s="207"/>
      <c r="E73" s="206"/>
      <c r="F73" s="207"/>
      <c r="G73" s="207"/>
      <c r="H73" s="204"/>
      <c r="I73" s="204"/>
      <c r="J73" s="204"/>
      <c r="K73" s="204"/>
    </row>
    <row r="74" spans="1:11">
      <c r="A74" s="204"/>
      <c r="B74" s="234"/>
      <c r="C74" s="207"/>
      <c r="D74" s="207"/>
      <c r="E74" s="206"/>
      <c r="F74" s="207"/>
      <c r="G74" s="207"/>
      <c r="H74" s="204"/>
      <c r="I74" s="204"/>
      <c r="J74" s="204"/>
      <c r="K74" s="204"/>
    </row>
    <row r="75" spans="1:11">
      <c r="A75" s="204"/>
      <c r="B75" s="234"/>
      <c r="C75" s="207"/>
      <c r="D75" s="207"/>
      <c r="E75" s="206"/>
      <c r="F75" s="207"/>
      <c r="G75" s="207"/>
      <c r="H75" s="204"/>
      <c r="I75" s="204"/>
      <c r="J75" s="204"/>
      <c r="K75" s="204"/>
    </row>
    <row r="76" spans="1:11">
      <c r="A76" s="204"/>
      <c r="B76" s="234"/>
      <c r="C76" s="207"/>
      <c r="D76" s="207"/>
      <c r="E76" s="206"/>
      <c r="F76" s="207"/>
      <c r="G76" s="207"/>
      <c r="H76" s="204"/>
      <c r="I76" s="204"/>
      <c r="J76" s="204"/>
      <c r="K76" s="204"/>
    </row>
    <row r="77" spans="1:11">
      <c r="A77" s="204"/>
      <c r="B77" s="234"/>
      <c r="C77" s="207"/>
      <c r="D77" s="207"/>
      <c r="E77" s="206"/>
      <c r="F77" s="207"/>
      <c r="G77" s="207"/>
      <c r="H77" s="204"/>
      <c r="I77" s="204"/>
      <c r="J77" s="204"/>
      <c r="K77" s="204"/>
    </row>
    <row r="78" spans="1:11">
      <c r="A78" s="204"/>
      <c r="B78" s="234"/>
      <c r="C78" s="207"/>
      <c r="D78" s="207"/>
      <c r="E78" s="206"/>
      <c r="F78" s="207"/>
      <c r="G78" s="207"/>
      <c r="H78" s="204"/>
      <c r="I78" s="204"/>
      <c r="J78" s="204"/>
      <c r="K78" s="204"/>
    </row>
    <row r="79" spans="1:11">
      <c r="A79" s="204"/>
      <c r="B79" s="234"/>
      <c r="C79" s="207"/>
      <c r="D79" s="207"/>
      <c r="E79" s="206"/>
      <c r="F79" s="207"/>
      <c r="G79" s="207"/>
      <c r="H79" s="204"/>
      <c r="I79" s="204"/>
      <c r="J79" s="204"/>
      <c r="K79" s="204"/>
    </row>
    <row r="80" spans="1:11">
      <c r="A80" s="204"/>
      <c r="B80" s="234"/>
      <c r="C80" s="207"/>
      <c r="D80" s="207"/>
      <c r="E80" s="206"/>
      <c r="F80" s="207"/>
      <c r="G80" s="207"/>
      <c r="H80" s="204"/>
      <c r="I80" s="204"/>
      <c r="J80" s="204"/>
      <c r="K80" s="204"/>
    </row>
    <row r="81" spans="1:11">
      <c r="A81" s="204"/>
      <c r="B81" s="234"/>
      <c r="C81" s="207"/>
      <c r="D81" s="207"/>
      <c r="E81" s="206"/>
      <c r="F81" s="207"/>
      <c r="G81" s="207"/>
      <c r="H81" s="204"/>
      <c r="I81" s="204"/>
      <c r="J81" s="204"/>
      <c r="K81" s="204"/>
    </row>
    <row r="82" spans="1:11">
      <c r="A82" s="204"/>
      <c r="B82" s="234"/>
      <c r="C82" s="207"/>
      <c r="D82" s="207"/>
      <c r="E82" s="206"/>
      <c r="F82" s="207"/>
      <c r="G82" s="207"/>
      <c r="H82" s="204"/>
      <c r="I82" s="204"/>
      <c r="J82" s="204"/>
      <c r="K82" s="204"/>
    </row>
    <row r="83" spans="1:11">
      <c r="A83" s="204"/>
      <c r="B83" s="234"/>
      <c r="C83" s="207"/>
      <c r="D83" s="207"/>
      <c r="E83" s="206"/>
      <c r="F83" s="207"/>
      <c r="G83" s="207"/>
      <c r="H83" s="204"/>
      <c r="I83" s="204"/>
      <c r="J83" s="204"/>
      <c r="K83" s="204"/>
    </row>
    <row r="84" spans="1:11">
      <c r="A84" s="204"/>
      <c r="B84" s="234"/>
      <c r="C84" s="207"/>
      <c r="D84" s="207"/>
      <c r="E84" s="206"/>
      <c r="F84" s="207"/>
      <c r="G84" s="207"/>
      <c r="H84" s="204"/>
      <c r="I84" s="204"/>
      <c r="J84" s="204"/>
      <c r="K84" s="204"/>
    </row>
    <row r="85" spans="1:11">
      <c r="A85" s="204"/>
      <c r="B85" s="234"/>
      <c r="C85" s="207"/>
      <c r="D85" s="207"/>
      <c r="E85" s="206"/>
      <c r="F85" s="207"/>
      <c r="G85" s="207"/>
      <c r="H85" s="204"/>
      <c r="I85" s="204"/>
      <c r="J85" s="204"/>
      <c r="K85" s="204"/>
    </row>
    <row r="86" spans="1:11">
      <c r="A86" s="204"/>
      <c r="B86" s="234"/>
      <c r="C86" s="207"/>
      <c r="D86" s="207"/>
      <c r="E86" s="206"/>
      <c r="F86" s="207"/>
      <c r="G86" s="207"/>
      <c r="H86" s="204"/>
      <c r="I86" s="204"/>
      <c r="J86" s="204"/>
      <c r="K86" s="204"/>
    </row>
    <row r="87" spans="1:11">
      <c r="A87" s="204"/>
      <c r="B87" s="234"/>
      <c r="C87" s="207"/>
      <c r="D87" s="207"/>
      <c r="E87" s="206"/>
      <c r="F87" s="207"/>
      <c r="G87" s="207"/>
      <c r="H87" s="204"/>
      <c r="I87" s="204"/>
      <c r="J87" s="204"/>
      <c r="K87" s="204"/>
    </row>
    <row r="88" spans="1:11">
      <c r="A88" s="204"/>
      <c r="B88" s="234"/>
      <c r="C88" s="207"/>
      <c r="D88" s="207"/>
      <c r="E88" s="206"/>
      <c r="F88" s="207"/>
      <c r="G88" s="207"/>
      <c r="H88" s="204"/>
      <c r="I88" s="204"/>
      <c r="J88" s="204"/>
      <c r="K88" s="204"/>
    </row>
    <row r="89" spans="1:11">
      <c r="A89" s="204"/>
      <c r="B89" s="234"/>
      <c r="C89" s="207"/>
      <c r="D89" s="207"/>
      <c r="E89" s="206"/>
      <c r="F89" s="207"/>
      <c r="G89" s="207"/>
      <c r="H89" s="204"/>
      <c r="I89" s="204"/>
      <c r="J89" s="204"/>
      <c r="K89" s="204"/>
    </row>
    <row r="90" spans="1:11">
      <c r="A90" s="204"/>
      <c r="B90" s="234"/>
      <c r="C90" s="207"/>
      <c r="D90" s="207"/>
      <c r="E90" s="206"/>
      <c r="F90" s="207"/>
      <c r="G90" s="207"/>
      <c r="H90" s="204"/>
      <c r="I90" s="204"/>
      <c r="J90" s="204"/>
      <c r="K90" s="204"/>
    </row>
    <row r="91" spans="1:11">
      <c r="A91" s="204"/>
      <c r="B91" s="234"/>
      <c r="C91" s="207"/>
      <c r="D91" s="207"/>
      <c r="E91" s="206"/>
      <c r="F91" s="207"/>
      <c r="G91" s="207"/>
      <c r="H91" s="204"/>
      <c r="I91" s="204"/>
      <c r="J91" s="204"/>
      <c r="K91" s="204"/>
    </row>
    <row r="92" spans="1:11">
      <c r="A92" s="204"/>
      <c r="B92" s="234"/>
      <c r="C92" s="207"/>
      <c r="D92" s="207"/>
      <c r="E92" s="206"/>
      <c r="F92" s="207"/>
      <c r="G92" s="207"/>
      <c r="H92" s="204"/>
      <c r="I92" s="204"/>
      <c r="J92" s="204"/>
      <c r="K92" s="204"/>
    </row>
    <row r="93" spans="1:11">
      <c r="A93" s="204"/>
      <c r="B93" s="234"/>
      <c r="C93" s="207"/>
      <c r="D93" s="207"/>
      <c r="E93" s="206"/>
      <c r="F93" s="207"/>
      <c r="G93" s="207"/>
      <c r="H93" s="204"/>
      <c r="I93" s="204"/>
      <c r="J93" s="204"/>
      <c r="K93" s="204"/>
    </row>
    <row r="94" spans="1:11">
      <c r="A94" s="204"/>
      <c r="B94" s="234"/>
      <c r="C94" s="207"/>
      <c r="D94" s="207"/>
      <c r="E94" s="206"/>
      <c r="F94" s="207"/>
      <c r="G94" s="207"/>
      <c r="H94" s="204"/>
      <c r="I94" s="204"/>
      <c r="J94" s="204"/>
      <c r="K94" s="204"/>
    </row>
    <row r="95" spans="1:11">
      <c r="A95" s="204"/>
      <c r="B95" s="234"/>
      <c r="C95" s="207"/>
      <c r="D95" s="207"/>
      <c r="E95" s="206"/>
      <c r="F95" s="207"/>
      <c r="G95" s="207"/>
      <c r="H95" s="204"/>
      <c r="I95" s="204"/>
      <c r="J95" s="204"/>
      <c r="K95" s="204"/>
    </row>
    <row r="96" spans="1:11">
      <c r="A96" s="204"/>
      <c r="B96" s="234"/>
      <c r="C96" s="207"/>
      <c r="D96" s="207"/>
      <c r="E96" s="206"/>
      <c r="F96" s="207"/>
      <c r="G96" s="207"/>
      <c r="H96" s="204"/>
      <c r="I96" s="204"/>
      <c r="J96" s="204"/>
      <c r="K96" s="204"/>
    </row>
    <row r="97" spans="1:11">
      <c r="A97" s="204"/>
      <c r="B97" s="234"/>
      <c r="C97" s="207"/>
      <c r="D97" s="207"/>
      <c r="E97" s="206"/>
      <c r="F97" s="207"/>
      <c r="G97" s="207"/>
      <c r="H97" s="204"/>
      <c r="I97" s="204"/>
      <c r="J97" s="204"/>
      <c r="K97" s="204"/>
    </row>
    <row r="98" spans="1:11">
      <c r="A98" s="204"/>
      <c r="B98" s="234"/>
      <c r="C98" s="207"/>
      <c r="D98" s="207"/>
      <c r="E98" s="206"/>
      <c r="F98" s="207"/>
      <c r="G98" s="207"/>
      <c r="H98" s="204"/>
      <c r="I98" s="204"/>
      <c r="J98" s="204"/>
      <c r="K98" s="204"/>
    </row>
    <row r="99" spans="1:11">
      <c r="A99" s="204"/>
      <c r="B99" s="234"/>
      <c r="C99" s="207"/>
      <c r="D99" s="207"/>
      <c r="E99" s="206"/>
      <c r="F99" s="207"/>
      <c r="G99" s="207"/>
      <c r="H99" s="204"/>
      <c r="I99" s="204"/>
      <c r="J99" s="204"/>
      <c r="K99" s="204"/>
    </row>
    <row r="100" spans="1:11">
      <c r="A100" s="204"/>
      <c r="B100" s="234"/>
      <c r="C100" s="207"/>
      <c r="D100" s="207"/>
      <c r="E100" s="206"/>
      <c r="F100" s="207"/>
      <c r="G100" s="207"/>
      <c r="H100" s="204"/>
      <c r="I100" s="204"/>
      <c r="J100" s="204"/>
      <c r="K100" s="204"/>
    </row>
    <row r="101" spans="1:11">
      <c r="A101" s="204"/>
      <c r="B101" s="234"/>
      <c r="C101" s="207"/>
      <c r="D101" s="207"/>
      <c r="E101" s="206"/>
      <c r="F101" s="207"/>
      <c r="G101" s="207"/>
      <c r="H101" s="204"/>
      <c r="I101" s="204"/>
      <c r="J101" s="204"/>
      <c r="K101" s="204"/>
    </row>
    <row r="102" spans="1:11">
      <c r="A102" s="204"/>
      <c r="B102" s="234"/>
      <c r="C102" s="207"/>
      <c r="D102" s="207"/>
      <c r="E102" s="206"/>
      <c r="F102" s="207"/>
      <c r="G102" s="207"/>
      <c r="H102" s="204"/>
      <c r="I102" s="204"/>
      <c r="J102" s="204"/>
      <c r="K102" s="204"/>
    </row>
    <row r="103" spans="1:11">
      <c r="A103" s="204"/>
      <c r="B103" s="234"/>
      <c r="C103" s="207"/>
      <c r="D103" s="207"/>
      <c r="E103" s="206"/>
      <c r="F103" s="207"/>
      <c r="G103" s="207"/>
      <c r="H103" s="204"/>
      <c r="I103" s="204"/>
      <c r="J103" s="204"/>
      <c r="K103" s="204"/>
    </row>
    <row r="104" spans="1:11">
      <c r="A104" s="204"/>
      <c r="B104" s="234"/>
      <c r="C104" s="207"/>
      <c r="D104" s="207"/>
      <c r="E104" s="206"/>
      <c r="F104" s="207"/>
      <c r="G104" s="207"/>
      <c r="H104" s="204"/>
      <c r="I104" s="204"/>
      <c r="J104" s="204"/>
      <c r="K104" s="204"/>
    </row>
    <row r="105" spans="1:11">
      <c r="A105" s="204"/>
      <c r="B105" s="234"/>
      <c r="C105" s="207"/>
      <c r="D105" s="207"/>
      <c r="E105" s="206"/>
      <c r="F105" s="207"/>
      <c r="G105" s="207"/>
      <c r="H105" s="204"/>
      <c r="I105" s="204"/>
      <c r="J105" s="204"/>
      <c r="K105" s="204"/>
    </row>
    <row r="106" spans="1:11">
      <c r="A106" s="204"/>
      <c r="B106" s="234"/>
      <c r="C106" s="207"/>
      <c r="D106" s="207"/>
      <c r="E106" s="206"/>
      <c r="F106" s="207"/>
      <c r="G106" s="207"/>
      <c r="H106" s="204"/>
      <c r="I106" s="204"/>
      <c r="J106" s="204"/>
      <c r="K106" s="204"/>
    </row>
    <row r="107" spans="1:11">
      <c r="A107" s="204"/>
      <c r="B107" s="234"/>
      <c r="C107" s="207"/>
      <c r="D107" s="207"/>
      <c r="E107" s="206"/>
      <c r="F107" s="207"/>
      <c r="G107" s="207"/>
      <c r="H107" s="204"/>
      <c r="I107" s="204"/>
      <c r="J107" s="204"/>
      <c r="K107" s="204"/>
    </row>
    <row r="108" spans="1:11">
      <c r="A108" s="204"/>
      <c r="B108" s="234"/>
      <c r="C108" s="207"/>
      <c r="D108" s="207"/>
      <c r="E108" s="206"/>
      <c r="F108" s="207"/>
      <c r="G108" s="207"/>
      <c r="H108" s="204"/>
      <c r="I108" s="204"/>
      <c r="J108" s="204"/>
      <c r="K108" s="204"/>
    </row>
    <row r="109" spans="1:11">
      <c r="A109" s="204"/>
      <c r="B109" s="234"/>
      <c r="C109" s="207"/>
      <c r="D109" s="207"/>
      <c r="E109" s="206"/>
      <c r="F109" s="207"/>
      <c r="G109" s="207"/>
      <c r="H109" s="204"/>
      <c r="I109" s="204"/>
      <c r="J109" s="204"/>
      <c r="K109" s="204"/>
    </row>
    <row r="110" spans="1:11">
      <c r="A110" s="204"/>
      <c r="B110" s="234"/>
      <c r="C110" s="207"/>
      <c r="D110" s="207"/>
      <c r="E110" s="206"/>
      <c r="F110" s="207"/>
      <c r="G110" s="207"/>
      <c r="H110" s="204"/>
      <c r="I110" s="204"/>
      <c r="J110" s="204"/>
      <c r="K110" s="204"/>
    </row>
    <row r="111" spans="1:11">
      <c r="A111" s="204"/>
      <c r="B111" s="234"/>
      <c r="C111" s="207"/>
      <c r="D111" s="207"/>
      <c r="E111" s="206"/>
      <c r="F111" s="207"/>
      <c r="G111" s="207"/>
      <c r="H111" s="204"/>
      <c r="I111" s="204"/>
      <c r="J111" s="204"/>
      <c r="K111" s="204"/>
    </row>
    <row r="112" spans="1:11">
      <c r="A112" s="204"/>
      <c r="B112" s="234"/>
      <c r="C112" s="207"/>
      <c r="D112" s="207"/>
      <c r="E112" s="206"/>
      <c r="F112" s="207"/>
      <c r="G112" s="207"/>
      <c r="H112" s="204"/>
      <c r="I112" s="204"/>
      <c r="J112" s="204"/>
      <c r="K112" s="204"/>
    </row>
    <row r="113" spans="1:11">
      <c r="A113" s="204"/>
      <c r="B113" s="234"/>
      <c r="C113" s="207"/>
      <c r="D113" s="207"/>
      <c r="E113" s="206"/>
      <c r="F113" s="207"/>
      <c r="G113" s="207"/>
      <c r="H113" s="204"/>
      <c r="I113" s="204"/>
      <c r="J113" s="204"/>
      <c r="K113" s="204"/>
    </row>
    <row r="114" spans="1:11">
      <c r="A114" s="204"/>
      <c r="B114" s="234"/>
      <c r="C114" s="207"/>
      <c r="D114" s="207"/>
      <c r="E114" s="206"/>
      <c r="F114" s="207"/>
      <c r="G114" s="207"/>
      <c r="H114" s="204"/>
      <c r="I114" s="204"/>
      <c r="J114" s="204"/>
      <c r="K114" s="204"/>
    </row>
    <row r="115" spans="1:11">
      <c r="A115" s="204"/>
      <c r="B115" s="234"/>
      <c r="C115" s="207"/>
      <c r="D115" s="207"/>
      <c r="E115" s="206"/>
      <c r="F115" s="207"/>
      <c r="G115" s="207"/>
      <c r="H115" s="204"/>
      <c r="I115" s="204"/>
      <c r="J115" s="204"/>
      <c r="K115" s="204"/>
    </row>
    <row r="116" spans="1:11">
      <c r="A116" s="204"/>
      <c r="B116" s="234"/>
      <c r="C116" s="207"/>
      <c r="D116" s="207"/>
      <c r="E116" s="206"/>
      <c r="F116" s="207"/>
      <c r="G116" s="207"/>
      <c r="H116" s="204"/>
      <c r="I116" s="204"/>
      <c r="J116" s="204"/>
      <c r="K116" s="204"/>
    </row>
    <row r="117" spans="1:11">
      <c r="A117" s="204"/>
      <c r="B117" s="234"/>
      <c r="C117" s="207"/>
      <c r="D117" s="207"/>
      <c r="E117" s="206"/>
      <c r="F117" s="207"/>
      <c r="G117" s="207"/>
      <c r="H117" s="204"/>
      <c r="I117" s="204"/>
      <c r="J117" s="204"/>
      <c r="K117" s="204"/>
    </row>
    <row r="118" spans="1:11">
      <c r="E118" s="206"/>
      <c r="F118" s="207"/>
      <c r="G118" s="207"/>
      <c r="H118" s="204"/>
      <c r="I118" s="204"/>
      <c r="J118" s="204"/>
    </row>
    <row r="119" spans="1:11">
      <c r="E119" s="206"/>
      <c r="F119" s="207"/>
      <c r="G119" s="207"/>
      <c r="H119" s="204"/>
      <c r="I119" s="204"/>
      <c r="J119" s="204"/>
    </row>
    <row r="120" spans="1:11">
      <c r="E120" s="206"/>
      <c r="F120" s="207"/>
      <c r="G120" s="207"/>
      <c r="H120" s="204"/>
      <c r="I120" s="204"/>
      <c r="J120" s="204"/>
    </row>
    <row r="121" spans="1:11">
      <c r="E121" s="206"/>
      <c r="F121" s="207"/>
      <c r="G121" s="207"/>
      <c r="H121" s="204"/>
      <c r="I121" s="204"/>
      <c r="J121" s="204"/>
    </row>
    <row r="122" spans="1:11">
      <c r="E122" s="206"/>
      <c r="F122" s="207"/>
      <c r="G122" s="207"/>
      <c r="H122" s="204"/>
      <c r="I122" s="204"/>
      <c r="J122" s="204"/>
    </row>
    <row r="123" spans="1:11">
      <c r="E123" s="206"/>
      <c r="F123" s="207"/>
      <c r="G123" s="207"/>
      <c r="H123" s="204"/>
      <c r="I123" s="204"/>
      <c r="J123" s="204"/>
    </row>
    <row r="124" spans="1:11">
      <c r="E124" s="206"/>
      <c r="F124" s="207"/>
      <c r="G124" s="207"/>
      <c r="H124" s="204"/>
      <c r="I124" s="204"/>
      <c r="J124" s="204"/>
    </row>
    <row r="125" spans="1:11">
      <c r="E125" s="206"/>
      <c r="F125" s="207"/>
      <c r="G125" s="207"/>
      <c r="H125" s="204"/>
      <c r="I125" s="204"/>
      <c r="J125" s="204"/>
    </row>
    <row r="126" spans="1:11">
      <c r="E126" s="206"/>
      <c r="F126" s="207"/>
      <c r="G126" s="207"/>
      <c r="H126" s="204"/>
      <c r="I126" s="204"/>
      <c r="J126" s="204"/>
    </row>
    <row r="127" spans="1:11">
      <c r="E127" s="206"/>
      <c r="F127" s="207"/>
      <c r="G127" s="207"/>
      <c r="H127" s="204"/>
      <c r="I127" s="204"/>
      <c r="J127" s="204"/>
    </row>
    <row r="128" spans="1:11">
      <c r="E128" s="206"/>
      <c r="F128" s="207"/>
      <c r="G128" s="207"/>
      <c r="H128" s="204"/>
      <c r="I128" s="204"/>
      <c r="J128" s="204"/>
    </row>
    <row r="129" spans="5:10">
      <c r="E129" s="206"/>
      <c r="F129" s="207"/>
      <c r="G129" s="207"/>
      <c r="H129" s="204"/>
      <c r="I129" s="204"/>
      <c r="J129" s="204"/>
    </row>
    <row r="130" spans="5:10">
      <c r="E130" s="206"/>
      <c r="F130" s="207"/>
      <c r="G130" s="207"/>
      <c r="H130" s="204"/>
      <c r="I130" s="204"/>
      <c r="J130" s="204"/>
    </row>
    <row r="131" spans="5:10">
      <c r="E131" s="206"/>
      <c r="F131" s="207"/>
      <c r="G131" s="207"/>
      <c r="H131" s="204"/>
      <c r="I131" s="204"/>
      <c r="J131" s="204"/>
    </row>
    <row r="132" spans="5:10">
      <c r="E132" s="206"/>
      <c r="F132" s="207"/>
      <c r="G132" s="207"/>
      <c r="H132" s="204"/>
      <c r="I132" s="204"/>
      <c r="J132" s="204"/>
    </row>
    <row r="133" spans="5:10">
      <c r="E133" s="206"/>
      <c r="F133" s="207"/>
      <c r="G133" s="207"/>
      <c r="H133" s="204"/>
      <c r="I133" s="204"/>
      <c r="J133" s="204"/>
    </row>
    <row r="134" spans="5:10">
      <c r="E134" s="206"/>
      <c r="F134" s="207"/>
      <c r="G134" s="207"/>
      <c r="H134" s="204"/>
      <c r="I134" s="204"/>
      <c r="J134" s="204"/>
    </row>
    <row r="135" spans="5:10">
      <c r="E135" s="206"/>
      <c r="F135" s="207"/>
      <c r="G135" s="207"/>
      <c r="H135" s="204"/>
      <c r="I135" s="204"/>
      <c r="J135" s="204"/>
    </row>
    <row r="136" spans="5:10">
      <c r="E136" s="206"/>
      <c r="F136" s="207"/>
      <c r="G136" s="207"/>
      <c r="H136" s="204"/>
      <c r="I136" s="204"/>
      <c r="J136" s="204"/>
    </row>
    <row r="137" spans="5:10">
      <c r="E137" s="206"/>
      <c r="F137" s="207"/>
      <c r="G137" s="207"/>
      <c r="H137" s="204"/>
      <c r="I137" s="204"/>
      <c r="J137" s="204"/>
    </row>
    <row r="138" spans="5:10">
      <c r="E138" s="206"/>
      <c r="F138" s="207"/>
      <c r="G138" s="207"/>
      <c r="H138" s="204"/>
      <c r="I138" s="204"/>
      <c r="J138" s="204"/>
    </row>
    <row r="139" spans="5:10">
      <c r="E139" s="206"/>
      <c r="F139" s="207"/>
      <c r="G139" s="207"/>
      <c r="H139" s="204"/>
      <c r="I139" s="204"/>
      <c r="J139" s="204"/>
    </row>
    <row r="140" spans="5:10">
      <c r="E140" s="206"/>
      <c r="F140" s="207"/>
      <c r="G140" s="207"/>
      <c r="H140" s="204"/>
      <c r="I140" s="204"/>
      <c r="J140" s="204"/>
    </row>
    <row r="141" spans="5:10">
      <c r="E141" s="206"/>
      <c r="F141" s="207"/>
      <c r="G141" s="207"/>
      <c r="H141" s="204"/>
      <c r="I141" s="204"/>
      <c r="J141" s="204"/>
    </row>
    <row r="142" spans="5:10">
      <c r="E142" s="206"/>
      <c r="F142" s="207"/>
      <c r="G142" s="207"/>
      <c r="H142" s="204"/>
      <c r="I142" s="204"/>
      <c r="J142" s="204"/>
    </row>
    <row r="143" spans="5:10">
      <c r="E143" s="206"/>
      <c r="F143" s="207"/>
      <c r="G143" s="207"/>
      <c r="H143" s="204"/>
      <c r="I143" s="204"/>
      <c r="J143" s="204"/>
    </row>
    <row r="144" spans="5:10">
      <c r="E144" s="206"/>
      <c r="F144" s="207"/>
      <c r="G144" s="207"/>
      <c r="H144" s="204"/>
      <c r="I144" s="204"/>
      <c r="J144" s="204"/>
    </row>
    <row r="145" spans="5:10">
      <c r="E145" s="206"/>
      <c r="F145" s="207"/>
      <c r="G145" s="207"/>
      <c r="H145" s="204"/>
      <c r="I145" s="204"/>
      <c r="J145" s="204"/>
    </row>
    <row r="146" spans="5:10">
      <c r="E146" s="206"/>
      <c r="F146" s="207"/>
      <c r="G146" s="207"/>
      <c r="H146" s="204"/>
      <c r="I146" s="204"/>
      <c r="J146" s="204"/>
    </row>
    <row r="147" spans="5:10">
      <c r="E147" s="206"/>
      <c r="F147" s="207"/>
      <c r="G147" s="207"/>
      <c r="H147" s="204"/>
      <c r="I147" s="204"/>
      <c r="J147" s="204"/>
    </row>
    <row r="148" spans="5:10">
      <c r="E148" s="206"/>
      <c r="F148" s="207"/>
      <c r="G148" s="207"/>
      <c r="H148" s="204"/>
      <c r="I148" s="204"/>
      <c r="J148" s="204"/>
    </row>
    <row r="149" spans="5:10">
      <c r="E149" s="206"/>
      <c r="F149" s="207"/>
      <c r="G149" s="207"/>
      <c r="H149" s="204"/>
      <c r="I149" s="204"/>
      <c r="J149" s="204"/>
    </row>
    <row r="150" spans="5:10">
      <c r="E150" s="206"/>
      <c r="F150" s="207"/>
      <c r="G150" s="207"/>
      <c r="H150" s="204"/>
      <c r="I150" s="204"/>
      <c r="J150" s="204"/>
    </row>
    <row r="151" spans="5:10">
      <c r="E151" s="206"/>
      <c r="F151" s="207"/>
      <c r="G151" s="207"/>
      <c r="H151" s="204"/>
      <c r="I151" s="204"/>
      <c r="J151" s="204"/>
    </row>
    <row r="152" spans="5:10">
      <c r="E152" s="206"/>
      <c r="F152" s="207"/>
      <c r="G152" s="207"/>
      <c r="H152" s="204"/>
      <c r="I152" s="204"/>
      <c r="J152" s="204"/>
    </row>
    <row r="153" spans="5:10">
      <c r="E153" s="206"/>
      <c r="F153" s="207"/>
      <c r="G153" s="207"/>
      <c r="H153" s="204"/>
      <c r="I153" s="204"/>
      <c r="J153" s="204"/>
    </row>
    <row r="154" spans="5:10">
      <c r="E154" s="206"/>
      <c r="F154" s="207"/>
      <c r="G154" s="207"/>
      <c r="H154" s="204"/>
      <c r="I154" s="204"/>
      <c r="J154" s="204"/>
    </row>
    <row r="155" spans="5:10">
      <c r="E155" s="206"/>
      <c r="F155" s="207"/>
      <c r="G155" s="207"/>
      <c r="H155" s="204"/>
      <c r="I155" s="204"/>
      <c r="J155" s="204"/>
    </row>
    <row r="156" spans="5:10">
      <c r="E156" s="206"/>
      <c r="F156" s="207"/>
      <c r="G156" s="207"/>
      <c r="H156" s="204"/>
      <c r="I156" s="204"/>
      <c r="J156" s="204"/>
    </row>
    <row r="157" spans="5:10">
      <c r="E157" s="206"/>
      <c r="F157" s="207"/>
      <c r="G157" s="207"/>
      <c r="H157" s="204"/>
      <c r="I157" s="204"/>
      <c r="J157" s="204"/>
    </row>
    <row r="158" spans="5:10">
      <c r="E158" s="206"/>
      <c r="F158" s="207"/>
      <c r="G158" s="207"/>
      <c r="H158" s="204"/>
      <c r="I158" s="204"/>
      <c r="J158" s="204"/>
    </row>
    <row r="159" spans="5:10">
      <c r="E159" s="206"/>
      <c r="F159" s="207"/>
      <c r="G159" s="207"/>
      <c r="H159" s="204"/>
      <c r="I159" s="204"/>
      <c r="J159" s="204"/>
    </row>
    <row r="160" spans="5:10">
      <c r="E160" s="206"/>
      <c r="F160" s="207"/>
      <c r="G160" s="207"/>
      <c r="H160" s="204"/>
      <c r="I160" s="204"/>
      <c r="J160" s="204"/>
    </row>
    <row r="161" spans="5:10">
      <c r="E161" s="206"/>
      <c r="F161" s="207"/>
      <c r="G161" s="207"/>
      <c r="H161" s="204"/>
      <c r="I161" s="204"/>
      <c r="J161" s="204"/>
    </row>
    <row r="162" spans="5:10">
      <c r="E162" s="206"/>
      <c r="F162" s="207"/>
      <c r="G162" s="207"/>
      <c r="H162" s="204"/>
      <c r="I162" s="204"/>
      <c r="J162" s="204"/>
    </row>
    <row r="163" spans="5:10">
      <c r="E163" s="206"/>
      <c r="F163" s="207"/>
      <c r="G163" s="207"/>
      <c r="H163" s="204"/>
      <c r="I163" s="204"/>
      <c r="J163" s="204"/>
    </row>
    <row r="164" spans="5:10">
      <c r="E164" s="206"/>
      <c r="F164" s="207"/>
      <c r="G164" s="207"/>
      <c r="H164" s="204"/>
      <c r="I164" s="204"/>
      <c r="J164" s="204"/>
    </row>
    <row r="165" spans="5:10">
      <c r="E165" s="206"/>
      <c r="F165" s="207"/>
      <c r="G165" s="207"/>
      <c r="H165" s="204"/>
      <c r="I165" s="204"/>
      <c r="J165" s="204"/>
    </row>
    <row r="166" spans="5:10">
      <c r="E166" s="206"/>
      <c r="F166" s="207"/>
      <c r="G166" s="207"/>
      <c r="H166" s="204"/>
      <c r="I166" s="204"/>
      <c r="J166" s="204"/>
    </row>
    <row r="167" spans="5:10">
      <c r="E167" s="206"/>
      <c r="F167" s="207"/>
      <c r="G167" s="207"/>
      <c r="H167" s="204"/>
      <c r="I167" s="204"/>
      <c r="J167" s="204"/>
    </row>
    <row r="168" spans="5:10">
      <c r="E168" s="206"/>
      <c r="F168" s="207"/>
      <c r="G168" s="207"/>
      <c r="H168" s="204"/>
      <c r="I168" s="204"/>
      <c r="J168" s="204"/>
    </row>
    <row r="169" spans="5:10">
      <c r="E169" s="206"/>
      <c r="F169" s="207"/>
      <c r="G169" s="207"/>
      <c r="H169" s="204"/>
      <c r="I169" s="204"/>
      <c r="J169" s="204"/>
    </row>
    <row r="170" spans="5:10">
      <c r="E170" s="206"/>
      <c r="F170" s="207"/>
      <c r="G170" s="207"/>
      <c r="H170" s="204"/>
      <c r="I170" s="204"/>
      <c r="J170" s="204"/>
    </row>
    <row r="171" spans="5:10">
      <c r="E171" s="206"/>
      <c r="F171" s="207"/>
      <c r="G171" s="207"/>
      <c r="H171" s="204"/>
      <c r="I171" s="204"/>
      <c r="J171" s="204"/>
    </row>
    <row r="172" spans="5:10">
      <c r="E172" s="206"/>
      <c r="F172" s="207"/>
      <c r="G172" s="207"/>
      <c r="H172" s="204"/>
      <c r="I172" s="204"/>
      <c r="J172" s="204"/>
    </row>
    <row r="173" spans="5:10">
      <c r="E173" s="206"/>
      <c r="F173" s="207"/>
      <c r="G173" s="207"/>
      <c r="H173" s="204"/>
      <c r="I173" s="204"/>
      <c r="J173" s="204"/>
    </row>
    <row r="174" spans="5:10">
      <c r="E174" s="206"/>
      <c r="F174" s="207"/>
      <c r="G174" s="207"/>
      <c r="H174" s="204"/>
      <c r="I174" s="204"/>
      <c r="J174" s="204"/>
    </row>
    <row r="175" spans="5:10">
      <c r="E175" s="206"/>
      <c r="F175" s="207"/>
      <c r="G175" s="207"/>
      <c r="H175" s="204"/>
      <c r="I175" s="204"/>
      <c r="J175" s="204"/>
    </row>
    <row r="176" spans="5:10">
      <c r="E176" s="206"/>
      <c r="F176" s="207"/>
      <c r="G176" s="207"/>
      <c r="H176" s="204"/>
      <c r="I176" s="204"/>
      <c r="J176" s="204"/>
    </row>
    <row r="177" spans="5:10">
      <c r="E177" s="206"/>
      <c r="F177" s="207"/>
      <c r="G177" s="207"/>
      <c r="H177" s="204"/>
      <c r="I177" s="204"/>
      <c r="J177" s="204"/>
    </row>
    <row r="178" spans="5:10">
      <c r="E178" s="206"/>
      <c r="F178" s="207"/>
      <c r="G178" s="207"/>
      <c r="H178" s="204"/>
      <c r="I178" s="204"/>
      <c r="J178" s="204"/>
    </row>
    <row r="179" spans="5:10">
      <c r="E179" s="206"/>
      <c r="F179" s="207"/>
      <c r="G179" s="207"/>
      <c r="H179" s="204"/>
      <c r="I179" s="204"/>
      <c r="J179" s="204"/>
    </row>
    <row r="180" spans="5:10">
      <c r="E180" s="206"/>
      <c r="F180" s="207"/>
      <c r="G180" s="207"/>
      <c r="H180" s="204"/>
      <c r="I180" s="204"/>
      <c r="J180" s="204"/>
    </row>
    <row r="181" spans="5:10">
      <c r="E181" s="206"/>
      <c r="F181" s="207"/>
      <c r="G181" s="207"/>
      <c r="H181" s="204"/>
      <c r="I181" s="204"/>
      <c r="J181" s="204"/>
    </row>
    <row r="182" spans="5:10">
      <c r="E182" s="206"/>
      <c r="F182" s="207"/>
      <c r="G182" s="207"/>
      <c r="H182" s="204"/>
      <c r="I182" s="204"/>
      <c r="J182" s="204"/>
    </row>
    <row r="183" spans="5:10">
      <c r="E183" s="206"/>
      <c r="F183" s="207"/>
      <c r="G183" s="207"/>
      <c r="H183" s="204"/>
      <c r="I183" s="204"/>
      <c r="J183" s="204"/>
    </row>
    <row r="184" spans="5:10">
      <c r="E184" s="206"/>
      <c r="F184" s="207"/>
      <c r="G184" s="207"/>
      <c r="H184" s="204"/>
      <c r="I184" s="204"/>
      <c r="J184" s="204"/>
    </row>
    <row r="185" spans="5:10">
      <c r="E185" s="206"/>
      <c r="F185" s="207"/>
      <c r="G185" s="207"/>
      <c r="H185" s="204"/>
      <c r="I185" s="204"/>
      <c r="J185" s="204"/>
    </row>
    <row r="186" spans="5:10">
      <c r="E186" s="206"/>
      <c r="F186" s="207"/>
      <c r="G186" s="207"/>
      <c r="H186" s="204"/>
      <c r="I186" s="204"/>
      <c r="J186" s="204"/>
    </row>
    <row r="187" spans="5:10">
      <c r="E187" s="206"/>
      <c r="F187" s="207"/>
      <c r="G187" s="207"/>
      <c r="H187" s="204"/>
      <c r="I187" s="204"/>
      <c r="J187" s="204"/>
    </row>
    <row r="188" spans="5:10">
      <c r="E188" s="206"/>
      <c r="F188" s="207"/>
      <c r="G188" s="207"/>
      <c r="H188" s="204"/>
      <c r="I188" s="204"/>
      <c r="J188" s="204"/>
    </row>
    <row r="189" spans="5:10">
      <c r="E189" s="206"/>
      <c r="F189" s="207"/>
      <c r="G189" s="207"/>
      <c r="H189" s="204"/>
      <c r="I189" s="204"/>
      <c r="J189" s="204"/>
    </row>
    <row r="190" spans="5:10">
      <c r="E190" s="206"/>
      <c r="F190" s="207"/>
      <c r="G190" s="207"/>
      <c r="H190" s="204"/>
      <c r="I190" s="204"/>
      <c r="J190" s="204"/>
    </row>
    <row r="191" spans="5:10">
      <c r="E191" s="206"/>
      <c r="F191" s="207"/>
      <c r="G191" s="207"/>
      <c r="H191" s="204"/>
      <c r="I191" s="204"/>
      <c r="J191" s="204"/>
    </row>
    <row r="192" spans="5:10">
      <c r="E192" s="206"/>
      <c r="F192" s="207"/>
      <c r="G192" s="207"/>
      <c r="H192" s="204"/>
      <c r="I192" s="204"/>
      <c r="J192" s="204"/>
    </row>
    <row r="193" spans="5:10">
      <c r="E193" s="206"/>
      <c r="F193" s="207"/>
      <c r="G193" s="207"/>
      <c r="H193" s="204"/>
      <c r="I193" s="204"/>
      <c r="J193" s="204"/>
    </row>
    <row r="194" spans="5:10">
      <c r="E194" s="206"/>
      <c r="F194" s="207"/>
      <c r="G194" s="207"/>
      <c r="H194" s="204"/>
      <c r="I194" s="204"/>
      <c r="J194" s="204"/>
    </row>
    <row r="195" spans="5:10">
      <c r="E195" s="206"/>
      <c r="F195" s="207"/>
      <c r="G195" s="207"/>
      <c r="H195" s="204"/>
      <c r="I195" s="204"/>
      <c r="J195" s="204"/>
    </row>
    <row r="196" spans="5:10">
      <c r="E196" s="206"/>
      <c r="F196" s="207"/>
      <c r="G196" s="207"/>
      <c r="H196" s="204"/>
      <c r="I196" s="204"/>
      <c r="J196" s="204"/>
    </row>
    <row r="197" spans="5:10">
      <c r="E197" s="206"/>
      <c r="F197" s="207"/>
      <c r="G197" s="207"/>
      <c r="H197" s="204"/>
      <c r="I197" s="204"/>
      <c r="J197" s="204"/>
    </row>
    <row r="198" spans="5:10">
      <c r="E198" s="206"/>
      <c r="F198" s="207"/>
      <c r="G198" s="207"/>
      <c r="H198" s="204"/>
      <c r="I198" s="204"/>
      <c r="J198" s="204"/>
    </row>
    <row r="199" spans="5:10">
      <c r="E199" s="206"/>
      <c r="F199" s="207"/>
      <c r="G199" s="207"/>
      <c r="H199" s="204"/>
      <c r="I199" s="204"/>
      <c r="J199" s="204"/>
    </row>
    <row r="200" spans="5:10">
      <c r="E200" s="206"/>
      <c r="F200" s="207"/>
      <c r="G200" s="207"/>
      <c r="H200" s="204"/>
      <c r="I200" s="204"/>
      <c r="J200" s="204"/>
    </row>
    <row r="201" spans="5:10">
      <c r="E201" s="206"/>
      <c r="F201" s="207"/>
      <c r="G201" s="207"/>
      <c r="H201" s="204"/>
      <c r="I201" s="204"/>
      <c r="J201" s="204"/>
    </row>
    <row r="202" spans="5:10">
      <c r="E202" s="206"/>
      <c r="F202" s="207"/>
      <c r="G202" s="207"/>
      <c r="H202" s="204"/>
      <c r="I202" s="204"/>
      <c r="J202" s="204"/>
    </row>
    <row r="203" spans="5:10">
      <c r="E203" s="206"/>
      <c r="F203" s="207"/>
      <c r="G203" s="207"/>
      <c r="H203" s="204"/>
      <c r="I203" s="204"/>
      <c r="J203" s="204"/>
    </row>
    <row r="204" spans="5:10">
      <c r="E204" s="206"/>
      <c r="F204" s="207"/>
      <c r="G204" s="207"/>
      <c r="H204" s="204"/>
      <c r="I204" s="204"/>
      <c r="J204" s="204"/>
    </row>
    <row r="205" spans="5:10">
      <c r="E205" s="206"/>
      <c r="F205" s="207"/>
      <c r="G205" s="207"/>
      <c r="H205" s="204"/>
      <c r="I205" s="204"/>
      <c r="J205" s="204"/>
    </row>
    <row r="206" spans="5:10">
      <c r="E206" s="206"/>
      <c r="F206" s="207"/>
      <c r="G206" s="207"/>
      <c r="H206" s="204"/>
      <c r="I206" s="204"/>
      <c r="J206" s="204"/>
    </row>
    <row r="207" spans="5:10">
      <c r="E207" s="206"/>
      <c r="F207" s="207"/>
      <c r="G207" s="207"/>
      <c r="H207" s="204"/>
      <c r="I207" s="204"/>
      <c r="J207" s="204"/>
    </row>
    <row r="208" spans="5:10">
      <c r="E208" s="206"/>
      <c r="F208" s="207"/>
      <c r="G208" s="207"/>
      <c r="H208" s="204"/>
      <c r="I208" s="204"/>
      <c r="J208" s="204"/>
    </row>
    <row r="209" spans="5:10">
      <c r="E209" s="206"/>
      <c r="F209" s="207"/>
      <c r="G209" s="207"/>
      <c r="H209" s="204"/>
      <c r="I209" s="204"/>
      <c r="J209" s="204"/>
    </row>
    <row r="210" spans="5:10">
      <c r="E210" s="206"/>
      <c r="F210" s="207"/>
      <c r="G210" s="207"/>
      <c r="H210" s="204"/>
      <c r="I210" s="204"/>
      <c r="J210" s="204"/>
    </row>
    <row r="211" spans="5:10">
      <c r="E211" s="206"/>
      <c r="F211" s="207"/>
      <c r="G211" s="207"/>
      <c r="H211" s="204"/>
      <c r="I211" s="204"/>
      <c r="J211" s="204"/>
    </row>
    <row r="212" spans="5:10">
      <c r="E212" s="206"/>
      <c r="F212" s="207"/>
      <c r="G212" s="207"/>
      <c r="H212" s="204"/>
      <c r="I212" s="204"/>
      <c r="J212" s="204"/>
    </row>
    <row r="213" spans="5:10">
      <c r="E213" s="206"/>
      <c r="F213" s="207"/>
      <c r="G213" s="207"/>
      <c r="H213" s="204"/>
      <c r="I213" s="204"/>
      <c r="J213" s="204"/>
    </row>
    <row r="214" spans="5:10">
      <c r="E214" s="206"/>
      <c r="F214" s="207"/>
      <c r="G214" s="207"/>
      <c r="H214" s="204"/>
      <c r="I214" s="204"/>
      <c r="J214" s="204"/>
    </row>
    <row r="215" spans="5:10">
      <c r="E215" s="206"/>
      <c r="F215" s="207"/>
      <c r="G215" s="207"/>
      <c r="H215" s="204"/>
      <c r="I215" s="204"/>
      <c r="J215" s="204"/>
    </row>
    <row r="216" spans="5:10">
      <c r="E216" s="206"/>
      <c r="F216" s="207"/>
      <c r="G216" s="207"/>
      <c r="H216" s="204"/>
      <c r="I216" s="204"/>
      <c r="J216" s="204"/>
    </row>
    <row r="217" spans="5:10">
      <c r="E217" s="206"/>
      <c r="F217" s="207"/>
      <c r="G217" s="207"/>
      <c r="H217" s="204"/>
      <c r="I217" s="204"/>
      <c r="J217" s="204"/>
    </row>
    <row r="218" spans="5:10">
      <c r="E218" s="206"/>
      <c r="F218" s="207"/>
      <c r="G218" s="207"/>
      <c r="H218" s="204"/>
      <c r="I218" s="204"/>
      <c r="J218" s="204"/>
    </row>
    <row r="219" spans="5:10">
      <c r="E219" s="206"/>
      <c r="F219" s="207"/>
      <c r="G219" s="207"/>
      <c r="H219" s="204"/>
      <c r="I219" s="204"/>
      <c r="J219" s="204"/>
    </row>
    <row r="220" spans="5:10">
      <c r="E220" s="206"/>
      <c r="F220" s="207"/>
      <c r="G220" s="207"/>
      <c r="H220" s="204"/>
      <c r="I220" s="204"/>
      <c r="J220" s="204"/>
    </row>
    <row r="221" spans="5:10">
      <c r="E221" s="206"/>
      <c r="F221" s="207"/>
      <c r="G221" s="207"/>
      <c r="H221" s="204"/>
      <c r="I221" s="204"/>
      <c r="J221" s="204"/>
    </row>
    <row r="222" spans="5:10">
      <c r="E222" s="206"/>
      <c r="F222" s="207"/>
      <c r="G222" s="207"/>
      <c r="H222" s="204"/>
      <c r="I222" s="204"/>
      <c r="J222" s="204"/>
    </row>
    <row r="223" spans="5:10">
      <c r="E223" s="206"/>
      <c r="F223" s="207"/>
      <c r="G223" s="207"/>
      <c r="H223" s="204"/>
      <c r="I223" s="204"/>
      <c r="J223" s="204"/>
    </row>
    <row r="224" spans="5:10">
      <c r="E224" s="206"/>
      <c r="F224" s="207"/>
      <c r="G224" s="207"/>
      <c r="H224" s="204"/>
      <c r="I224" s="204"/>
      <c r="J224" s="204"/>
    </row>
    <row r="225" spans="5:10">
      <c r="E225" s="206"/>
      <c r="F225" s="207"/>
      <c r="G225" s="207"/>
      <c r="H225" s="204"/>
      <c r="I225" s="204"/>
      <c r="J225" s="204"/>
    </row>
    <row r="226" spans="5:10">
      <c r="E226" s="206"/>
      <c r="F226" s="207"/>
      <c r="G226" s="207"/>
      <c r="H226" s="204"/>
      <c r="I226" s="204"/>
      <c r="J226" s="204"/>
    </row>
    <row r="227" spans="5:10">
      <c r="E227" s="206"/>
      <c r="F227" s="207"/>
      <c r="G227" s="207"/>
      <c r="H227" s="204"/>
      <c r="I227" s="204"/>
      <c r="J227" s="204"/>
    </row>
    <row r="228" spans="5:10">
      <c r="E228" s="206"/>
      <c r="F228" s="207"/>
      <c r="G228" s="207"/>
      <c r="H228" s="204"/>
      <c r="I228" s="204"/>
      <c r="J228" s="204"/>
    </row>
    <row r="229" spans="5:10">
      <c r="E229" s="206"/>
      <c r="F229" s="207"/>
      <c r="G229" s="207"/>
      <c r="H229" s="204"/>
      <c r="I229" s="204"/>
      <c r="J229" s="204"/>
    </row>
    <row r="230" spans="5:10">
      <c r="E230" s="206"/>
      <c r="F230" s="207"/>
      <c r="G230" s="207"/>
      <c r="H230" s="204"/>
      <c r="I230" s="204"/>
      <c r="J230" s="204"/>
    </row>
    <row r="231" spans="5:10">
      <c r="E231" s="206"/>
      <c r="F231" s="207"/>
      <c r="G231" s="207"/>
      <c r="H231" s="204"/>
      <c r="I231" s="204"/>
      <c r="J231" s="204"/>
    </row>
    <row r="232" spans="5:10">
      <c r="E232" s="206"/>
      <c r="F232" s="207"/>
      <c r="G232" s="207"/>
      <c r="H232" s="204"/>
      <c r="I232" s="204"/>
      <c r="J232" s="204"/>
    </row>
    <row r="233" spans="5:10">
      <c r="E233" s="206"/>
      <c r="F233" s="207"/>
      <c r="G233" s="207"/>
      <c r="H233" s="204"/>
      <c r="I233" s="204"/>
      <c r="J233" s="204"/>
    </row>
    <row r="234" spans="5:10">
      <c r="E234" s="206"/>
      <c r="F234" s="207"/>
      <c r="G234" s="207"/>
      <c r="H234" s="204"/>
      <c r="I234" s="204"/>
      <c r="J234" s="204"/>
    </row>
    <row r="235" spans="5:10">
      <c r="E235" s="206"/>
      <c r="F235" s="207"/>
      <c r="G235" s="207"/>
      <c r="H235" s="204"/>
      <c r="I235" s="204"/>
      <c r="J235" s="204"/>
    </row>
    <row r="236" spans="5:10">
      <c r="E236" s="206"/>
      <c r="F236" s="207"/>
      <c r="G236" s="207"/>
      <c r="H236" s="204"/>
      <c r="I236" s="204"/>
      <c r="J236" s="204"/>
    </row>
    <row r="237" spans="5:10">
      <c r="E237" s="206"/>
      <c r="F237" s="207"/>
      <c r="G237" s="207"/>
      <c r="H237" s="204"/>
      <c r="I237" s="204"/>
      <c r="J237" s="204"/>
    </row>
    <row r="238" spans="5:10">
      <c r="E238" s="206"/>
      <c r="F238" s="207"/>
      <c r="G238" s="207"/>
      <c r="H238" s="204"/>
      <c r="I238" s="204"/>
      <c r="J238" s="204"/>
    </row>
    <row r="239" spans="5:10">
      <c r="E239" s="206"/>
      <c r="F239" s="207"/>
      <c r="G239" s="207"/>
      <c r="H239" s="204"/>
      <c r="I239" s="204"/>
      <c r="J239" s="204"/>
    </row>
    <row r="240" spans="5:10">
      <c r="E240" s="206"/>
      <c r="F240" s="207"/>
      <c r="G240" s="207"/>
      <c r="H240" s="204"/>
      <c r="I240" s="204"/>
      <c r="J240" s="204"/>
    </row>
    <row r="241" spans="5:10">
      <c r="E241" s="206"/>
      <c r="F241" s="207"/>
      <c r="G241" s="207"/>
      <c r="H241" s="204"/>
      <c r="I241" s="204"/>
      <c r="J241" s="204"/>
    </row>
    <row r="242" spans="5:10">
      <c r="E242" s="206"/>
      <c r="F242" s="207"/>
      <c r="G242" s="207"/>
      <c r="H242" s="204"/>
      <c r="I242" s="204"/>
      <c r="J242" s="204"/>
    </row>
    <row r="243" spans="5:10">
      <c r="E243" s="206"/>
      <c r="F243" s="207"/>
      <c r="G243" s="207"/>
      <c r="H243" s="204"/>
      <c r="I243" s="204"/>
      <c r="J243" s="204"/>
    </row>
    <row r="244" spans="5:10">
      <c r="E244" s="206"/>
      <c r="F244" s="207"/>
      <c r="G244" s="207"/>
      <c r="H244" s="204"/>
      <c r="I244" s="204"/>
      <c r="J244" s="204"/>
    </row>
    <row r="245" spans="5:10">
      <c r="E245" s="206"/>
      <c r="F245" s="207"/>
      <c r="G245" s="207"/>
      <c r="H245" s="204"/>
      <c r="I245" s="204"/>
      <c r="J245" s="204"/>
    </row>
    <row r="246" spans="5:10">
      <c r="E246" s="206"/>
      <c r="F246" s="207"/>
      <c r="G246" s="207"/>
      <c r="H246" s="204"/>
      <c r="I246" s="204"/>
      <c r="J246" s="204"/>
    </row>
    <row r="247" spans="5:10">
      <c r="E247" s="206"/>
      <c r="F247" s="207"/>
      <c r="G247" s="207"/>
      <c r="H247" s="204"/>
      <c r="I247" s="204"/>
      <c r="J247" s="204"/>
    </row>
    <row r="248" spans="5:10">
      <c r="E248" s="206"/>
      <c r="F248" s="207"/>
      <c r="G248" s="207"/>
      <c r="H248" s="204"/>
      <c r="I248" s="204"/>
      <c r="J248" s="204"/>
    </row>
    <row r="249" spans="5:10">
      <c r="E249" s="206"/>
      <c r="F249" s="207"/>
      <c r="G249" s="207"/>
      <c r="H249" s="204"/>
      <c r="I249" s="204"/>
      <c r="J249" s="204"/>
    </row>
    <row r="250" spans="5:10">
      <c r="E250" s="206"/>
      <c r="F250" s="207"/>
      <c r="G250" s="207"/>
      <c r="H250" s="204"/>
      <c r="I250" s="204"/>
      <c r="J250" s="204"/>
    </row>
    <row r="251" spans="5:10">
      <c r="E251" s="206"/>
      <c r="F251" s="207"/>
      <c r="G251" s="207"/>
      <c r="H251" s="204"/>
      <c r="I251" s="204"/>
      <c r="J251" s="204"/>
    </row>
    <row r="252" spans="5:10">
      <c r="E252" s="206"/>
      <c r="F252" s="207"/>
      <c r="G252" s="207"/>
      <c r="H252" s="204"/>
      <c r="I252" s="204"/>
      <c r="J252" s="204"/>
    </row>
    <row r="253" spans="5:10">
      <c r="E253" s="206"/>
      <c r="F253" s="207"/>
      <c r="G253" s="207"/>
      <c r="H253" s="204"/>
      <c r="I253" s="204"/>
      <c r="J253" s="204"/>
    </row>
    <row r="254" spans="5:10">
      <c r="E254" s="206"/>
      <c r="F254" s="207"/>
      <c r="G254" s="207"/>
      <c r="H254" s="204"/>
      <c r="I254" s="204"/>
      <c r="J254" s="204"/>
    </row>
    <row r="255" spans="5:10">
      <c r="E255" s="206"/>
      <c r="F255" s="207"/>
      <c r="G255" s="207"/>
      <c r="H255" s="204"/>
      <c r="I255" s="204"/>
      <c r="J255" s="204"/>
    </row>
    <row r="256" spans="5:10">
      <c r="E256" s="206"/>
      <c r="F256" s="207"/>
      <c r="G256" s="207"/>
      <c r="H256" s="204"/>
      <c r="I256" s="204"/>
      <c r="J256" s="204"/>
    </row>
    <row r="257" spans="5:10">
      <c r="E257" s="206"/>
      <c r="F257" s="207"/>
      <c r="G257" s="207"/>
      <c r="H257" s="204"/>
      <c r="I257" s="204"/>
      <c r="J257" s="204"/>
    </row>
    <row r="258" spans="5:10">
      <c r="E258" s="206"/>
      <c r="F258" s="207"/>
      <c r="G258" s="207"/>
      <c r="H258" s="204"/>
      <c r="I258" s="204"/>
      <c r="J258" s="204"/>
    </row>
    <row r="259" spans="5:10">
      <c r="E259" s="206"/>
      <c r="F259" s="207"/>
      <c r="G259" s="207"/>
      <c r="H259" s="204"/>
      <c r="I259" s="204"/>
      <c r="J259" s="204"/>
    </row>
    <row r="260" spans="5:10">
      <c r="E260" s="206"/>
      <c r="F260" s="207"/>
      <c r="G260" s="207"/>
      <c r="H260" s="204"/>
      <c r="I260" s="204"/>
      <c r="J260" s="204"/>
    </row>
    <row r="261" spans="5:10">
      <c r="E261" s="206"/>
      <c r="F261" s="207"/>
      <c r="G261" s="207"/>
      <c r="H261" s="204"/>
      <c r="I261" s="204"/>
      <c r="J261" s="204"/>
    </row>
    <row r="262" spans="5:10">
      <c r="E262" s="206"/>
      <c r="F262" s="207"/>
      <c r="G262" s="207"/>
      <c r="H262" s="204"/>
      <c r="I262" s="204"/>
      <c r="J262" s="204"/>
    </row>
    <row r="263" spans="5:10">
      <c r="E263" s="206"/>
      <c r="F263" s="207"/>
      <c r="G263" s="207"/>
      <c r="H263" s="204"/>
      <c r="I263" s="204"/>
      <c r="J263" s="204"/>
    </row>
    <row r="264" spans="5:10">
      <c r="E264" s="206"/>
      <c r="F264" s="207"/>
      <c r="G264" s="207"/>
      <c r="H264" s="204"/>
      <c r="I264" s="204"/>
      <c r="J264" s="204"/>
    </row>
    <row r="265" spans="5:10">
      <c r="E265" s="206"/>
      <c r="F265" s="207"/>
      <c r="G265" s="207"/>
      <c r="H265" s="204"/>
      <c r="I265" s="204"/>
      <c r="J265" s="204"/>
    </row>
    <row r="266" spans="5:10">
      <c r="E266" s="206"/>
      <c r="F266" s="207"/>
      <c r="G266" s="207"/>
      <c r="H266" s="204"/>
      <c r="I266" s="204"/>
      <c r="J266" s="204"/>
    </row>
    <row r="267" spans="5:10">
      <c r="E267" s="206"/>
      <c r="F267" s="207"/>
      <c r="G267" s="207"/>
      <c r="H267" s="204"/>
      <c r="I267" s="204"/>
      <c r="J267" s="204"/>
    </row>
    <row r="268" spans="5:10">
      <c r="E268" s="206"/>
      <c r="F268" s="207"/>
      <c r="G268" s="207"/>
      <c r="H268" s="204"/>
      <c r="I268" s="204"/>
      <c r="J268" s="204"/>
    </row>
    <row r="269" spans="5:10">
      <c r="E269" s="206"/>
      <c r="F269" s="207"/>
      <c r="G269" s="207"/>
      <c r="H269" s="204"/>
      <c r="I269" s="204"/>
      <c r="J269" s="204"/>
    </row>
    <row r="270" spans="5:10">
      <c r="E270" s="206"/>
      <c r="F270" s="207"/>
      <c r="G270" s="207"/>
      <c r="H270" s="204"/>
      <c r="I270" s="204"/>
      <c r="J270" s="204"/>
    </row>
    <row r="271" spans="5:10">
      <c r="E271" s="206"/>
      <c r="F271" s="207"/>
      <c r="G271" s="207"/>
      <c r="H271" s="204"/>
      <c r="I271" s="204"/>
      <c r="J271" s="204"/>
    </row>
    <row r="272" spans="5:10">
      <c r="E272" s="206"/>
      <c r="F272" s="207"/>
      <c r="G272" s="207"/>
      <c r="H272" s="204"/>
      <c r="I272" s="204"/>
      <c r="J272" s="204"/>
    </row>
    <row r="273" spans="5:10">
      <c r="E273" s="206"/>
      <c r="F273" s="207"/>
      <c r="G273" s="207"/>
      <c r="H273" s="204"/>
      <c r="I273" s="204"/>
      <c r="J273" s="204"/>
    </row>
    <row r="274" spans="5:10">
      <c r="E274" s="206"/>
      <c r="F274" s="207"/>
      <c r="G274" s="207"/>
      <c r="H274" s="204"/>
      <c r="I274" s="204"/>
      <c r="J274" s="204"/>
    </row>
    <row r="275" spans="5:10">
      <c r="E275" s="206"/>
      <c r="F275" s="207"/>
      <c r="G275" s="207"/>
      <c r="H275" s="204"/>
      <c r="I275" s="204"/>
      <c r="J275" s="204"/>
    </row>
    <row r="276" spans="5:10">
      <c r="E276" s="206"/>
      <c r="F276" s="207"/>
      <c r="G276" s="207"/>
      <c r="H276" s="204"/>
      <c r="I276" s="204"/>
      <c r="J276" s="204"/>
    </row>
    <row r="277" spans="5:10">
      <c r="E277" s="206"/>
      <c r="F277" s="207"/>
      <c r="G277" s="207"/>
      <c r="H277" s="204"/>
      <c r="I277" s="204"/>
      <c r="J277" s="204"/>
    </row>
    <row r="278" spans="5:10">
      <c r="E278" s="206"/>
      <c r="F278" s="207"/>
      <c r="G278" s="207"/>
      <c r="H278" s="204"/>
      <c r="I278" s="204"/>
      <c r="J278" s="204"/>
    </row>
    <row r="279" spans="5:10">
      <c r="E279" s="206"/>
      <c r="F279" s="207"/>
      <c r="G279" s="207"/>
      <c r="H279" s="204"/>
      <c r="I279" s="204"/>
      <c r="J279" s="204"/>
    </row>
    <row r="280" spans="5:10">
      <c r="E280" s="206"/>
      <c r="F280" s="207"/>
      <c r="G280" s="207"/>
      <c r="H280" s="204"/>
      <c r="I280" s="204"/>
      <c r="J280" s="204"/>
    </row>
    <row r="281" spans="5:10">
      <c r="E281" s="206"/>
      <c r="F281" s="207"/>
      <c r="G281" s="207"/>
      <c r="H281" s="204"/>
      <c r="I281" s="204"/>
      <c r="J281" s="204"/>
    </row>
    <row r="282" spans="5:10">
      <c r="E282" s="206"/>
      <c r="F282" s="207"/>
      <c r="G282" s="207"/>
      <c r="H282" s="204"/>
      <c r="I282" s="204"/>
      <c r="J282" s="204"/>
    </row>
    <row r="283" spans="5:10">
      <c r="E283" s="206"/>
      <c r="F283" s="207"/>
      <c r="G283" s="207"/>
      <c r="H283" s="204"/>
      <c r="I283" s="204"/>
      <c r="J283" s="204"/>
    </row>
    <row r="284" spans="5:10">
      <c r="E284" s="206"/>
      <c r="F284" s="207"/>
      <c r="G284" s="207"/>
      <c r="H284" s="204"/>
      <c r="I284" s="204"/>
      <c r="J284" s="204"/>
    </row>
    <row r="285" spans="5:10">
      <c r="E285" s="206"/>
      <c r="F285" s="207"/>
      <c r="G285" s="207"/>
      <c r="H285" s="204"/>
      <c r="I285" s="204"/>
      <c r="J285" s="204"/>
    </row>
    <row r="286" spans="5:10">
      <c r="E286" s="206"/>
      <c r="F286" s="207"/>
      <c r="G286" s="207"/>
      <c r="H286" s="204"/>
      <c r="I286" s="204"/>
      <c r="J286" s="204"/>
    </row>
    <row r="287" spans="5:10">
      <c r="E287" s="206"/>
      <c r="F287" s="207"/>
      <c r="G287" s="207"/>
      <c r="H287" s="204"/>
      <c r="I287" s="204"/>
      <c r="J287" s="204"/>
    </row>
    <row r="288" spans="5:10">
      <c r="E288" s="206"/>
      <c r="F288" s="207"/>
      <c r="G288" s="207"/>
      <c r="H288" s="204"/>
      <c r="I288" s="204"/>
      <c r="J288" s="204"/>
    </row>
    <row r="289" spans="5:10">
      <c r="E289" s="206"/>
      <c r="F289" s="207"/>
      <c r="G289" s="207"/>
      <c r="H289" s="204"/>
      <c r="I289" s="204"/>
      <c r="J289" s="204"/>
    </row>
    <row r="290" spans="5:10">
      <c r="E290" s="206"/>
      <c r="F290" s="207"/>
      <c r="G290" s="207"/>
      <c r="H290" s="204"/>
      <c r="I290" s="204"/>
      <c r="J290" s="204"/>
    </row>
    <row r="291" spans="5:10">
      <c r="E291" s="206"/>
      <c r="F291" s="207"/>
      <c r="G291" s="207"/>
      <c r="H291" s="204"/>
      <c r="I291" s="204"/>
      <c r="J291" s="204"/>
    </row>
    <row r="292" spans="5:10">
      <c r="E292" s="206"/>
      <c r="F292" s="207"/>
      <c r="G292" s="207"/>
      <c r="H292" s="204"/>
      <c r="I292" s="204"/>
      <c r="J292" s="204"/>
    </row>
    <row r="293" spans="5:10">
      <c r="E293" s="206"/>
      <c r="F293" s="207"/>
      <c r="G293" s="207"/>
      <c r="H293" s="204"/>
      <c r="I293" s="204"/>
      <c r="J293" s="204"/>
    </row>
    <row r="294" spans="5:10">
      <c r="E294" s="206"/>
      <c r="F294" s="207"/>
      <c r="G294" s="207"/>
      <c r="H294" s="204"/>
      <c r="I294" s="204"/>
      <c r="J294" s="204"/>
    </row>
    <row r="295" spans="5:10">
      <c r="E295" s="206"/>
      <c r="F295" s="207"/>
      <c r="G295" s="207"/>
      <c r="H295" s="204"/>
      <c r="I295" s="204"/>
      <c r="J295" s="204"/>
    </row>
    <row r="296" spans="5:10">
      <c r="E296" s="206"/>
      <c r="F296" s="207"/>
      <c r="G296" s="207"/>
      <c r="H296" s="204"/>
      <c r="I296" s="204"/>
      <c r="J296" s="204"/>
    </row>
    <row r="297" spans="5:10">
      <c r="E297" s="206"/>
      <c r="F297" s="207"/>
      <c r="G297" s="207"/>
      <c r="H297" s="204"/>
      <c r="I297" s="204"/>
      <c r="J297" s="204"/>
    </row>
    <row r="298" spans="5:10">
      <c r="E298" s="206"/>
      <c r="F298" s="207"/>
      <c r="G298" s="207"/>
      <c r="H298" s="204"/>
      <c r="I298" s="204"/>
      <c r="J298" s="204"/>
    </row>
    <row r="299" spans="5:10">
      <c r="E299" s="206"/>
      <c r="F299" s="207"/>
      <c r="G299" s="207"/>
      <c r="H299" s="204"/>
      <c r="I299" s="204"/>
      <c r="J299" s="204"/>
    </row>
    <row r="300" spans="5:10">
      <c r="E300" s="206"/>
      <c r="F300" s="207"/>
      <c r="G300" s="207"/>
      <c r="H300" s="204"/>
      <c r="I300" s="204"/>
      <c r="J300" s="204"/>
    </row>
    <row r="301" spans="5:10">
      <c r="E301" s="206"/>
      <c r="F301" s="207"/>
      <c r="G301" s="207"/>
      <c r="H301" s="204"/>
      <c r="I301" s="204"/>
      <c r="J301" s="204"/>
    </row>
    <row r="302" spans="5:10">
      <c r="E302" s="206"/>
      <c r="F302" s="207"/>
      <c r="G302" s="207"/>
      <c r="H302" s="204"/>
      <c r="I302" s="204"/>
      <c r="J302" s="204"/>
    </row>
    <row r="303" spans="5:10">
      <c r="E303" s="206"/>
      <c r="F303" s="207"/>
      <c r="G303" s="207"/>
      <c r="H303" s="204"/>
      <c r="I303" s="204"/>
      <c r="J303" s="204"/>
    </row>
    <row r="304" spans="5:10">
      <c r="E304" s="206"/>
      <c r="F304" s="207"/>
      <c r="G304" s="207"/>
      <c r="H304" s="204"/>
      <c r="I304" s="204"/>
      <c r="J304" s="204"/>
    </row>
    <row r="305" spans="5:10">
      <c r="E305" s="206"/>
      <c r="F305" s="207"/>
      <c r="G305" s="207"/>
      <c r="H305" s="204"/>
      <c r="I305" s="204"/>
      <c r="J305" s="204"/>
    </row>
    <row r="306" spans="5:10">
      <c r="E306" s="206"/>
      <c r="F306" s="207"/>
      <c r="G306" s="207"/>
      <c r="H306" s="204"/>
      <c r="I306" s="204"/>
      <c r="J306" s="204"/>
    </row>
    <row r="307" spans="5:10">
      <c r="E307" s="206"/>
      <c r="F307" s="207"/>
      <c r="G307" s="207"/>
      <c r="H307" s="204"/>
      <c r="I307" s="204"/>
      <c r="J307" s="204"/>
    </row>
    <row r="308" spans="5:10">
      <c r="E308" s="206"/>
      <c r="F308" s="207"/>
      <c r="G308" s="207"/>
      <c r="H308" s="204"/>
      <c r="I308" s="204"/>
      <c r="J308" s="204"/>
    </row>
    <row r="309" spans="5:10">
      <c r="E309" s="206"/>
      <c r="F309" s="207"/>
      <c r="G309" s="207"/>
      <c r="H309" s="204"/>
      <c r="I309" s="204"/>
      <c r="J309" s="204"/>
    </row>
    <row r="310" spans="5:10">
      <c r="E310" s="206"/>
      <c r="F310" s="207"/>
      <c r="G310" s="207"/>
      <c r="H310" s="204"/>
      <c r="I310" s="204"/>
      <c r="J310" s="204"/>
    </row>
    <row r="311" spans="5:10">
      <c r="E311" s="206"/>
      <c r="F311" s="207"/>
      <c r="G311" s="207"/>
      <c r="H311" s="204"/>
      <c r="I311" s="204"/>
      <c r="J311" s="204"/>
    </row>
    <row r="312" spans="5:10">
      <c r="E312" s="206"/>
      <c r="F312" s="207"/>
      <c r="G312" s="207"/>
      <c r="H312" s="204"/>
      <c r="I312" s="204"/>
      <c r="J312" s="204"/>
    </row>
    <row r="313" spans="5:10">
      <c r="E313" s="206"/>
      <c r="F313" s="207"/>
      <c r="G313" s="207"/>
      <c r="H313" s="204"/>
      <c r="I313" s="204"/>
      <c r="J313" s="204"/>
    </row>
    <row r="314" spans="5:10">
      <c r="E314" s="206"/>
      <c r="F314" s="207"/>
      <c r="G314" s="207"/>
      <c r="H314" s="204"/>
      <c r="I314" s="204"/>
      <c r="J314" s="204"/>
    </row>
    <row r="315" spans="5:10">
      <c r="E315" s="206"/>
      <c r="F315" s="207"/>
      <c r="G315" s="207"/>
      <c r="H315" s="204"/>
      <c r="I315" s="204"/>
      <c r="J315" s="204"/>
    </row>
    <row r="316" spans="5:10">
      <c r="E316" s="206"/>
      <c r="F316" s="207"/>
      <c r="G316" s="207"/>
      <c r="H316" s="204"/>
      <c r="I316" s="204"/>
      <c r="J316" s="204"/>
    </row>
    <row r="317" spans="5:10">
      <c r="E317" s="206"/>
      <c r="F317" s="207"/>
      <c r="G317" s="207"/>
      <c r="H317" s="204"/>
      <c r="I317" s="204"/>
      <c r="J317" s="204"/>
    </row>
    <row r="318" spans="5:10">
      <c r="E318" s="206"/>
      <c r="F318" s="207"/>
      <c r="G318" s="207"/>
      <c r="H318" s="204"/>
      <c r="I318" s="204"/>
      <c r="J318" s="204"/>
    </row>
    <row r="319" spans="5:10">
      <c r="E319" s="206"/>
      <c r="F319" s="207"/>
      <c r="G319" s="207"/>
      <c r="H319" s="204"/>
      <c r="I319" s="204"/>
      <c r="J319" s="204"/>
    </row>
    <row r="320" spans="5:10">
      <c r="E320" s="206"/>
      <c r="F320" s="207"/>
      <c r="G320" s="207"/>
      <c r="H320" s="204"/>
      <c r="I320" s="204"/>
      <c r="J320" s="204"/>
    </row>
    <row r="321" spans="5:10">
      <c r="E321" s="206"/>
      <c r="F321" s="207"/>
      <c r="G321" s="207"/>
      <c r="H321" s="204"/>
      <c r="I321" s="204"/>
      <c r="J321" s="204"/>
    </row>
    <row r="322" spans="5:10">
      <c r="E322" s="206"/>
      <c r="F322" s="207"/>
      <c r="G322" s="207"/>
      <c r="H322" s="204"/>
      <c r="I322" s="204"/>
      <c r="J322" s="204"/>
    </row>
    <row r="323" spans="5:10">
      <c r="E323" s="206"/>
      <c r="F323" s="207"/>
      <c r="G323" s="207"/>
      <c r="H323" s="204"/>
      <c r="I323" s="204"/>
      <c r="J323" s="204"/>
    </row>
    <row r="324" spans="5:10">
      <c r="E324" s="206"/>
      <c r="F324" s="207"/>
      <c r="G324" s="207"/>
      <c r="H324" s="204"/>
      <c r="I324" s="204"/>
      <c r="J324" s="204"/>
    </row>
    <row r="325" spans="5:10">
      <c r="E325" s="206"/>
      <c r="F325" s="207"/>
      <c r="G325" s="207"/>
      <c r="H325" s="204"/>
      <c r="I325" s="204"/>
      <c r="J325" s="204"/>
    </row>
    <row r="326" spans="5:10">
      <c r="E326" s="206"/>
      <c r="F326" s="207"/>
      <c r="G326" s="207"/>
      <c r="H326" s="204"/>
      <c r="I326" s="204"/>
      <c r="J326" s="204"/>
    </row>
    <row r="327" spans="5:10">
      <c r="E327" s="206"/>
      <c r="F327" s="207"/>
      <c r="G327" s="207"/>
      <c r="H327" s="204"/>
      <c r="I327" s="204"/>
      <c r="J327" s="204"/>
    </row>
    <row r="328" spans="5:10">
      <c r="E328" s="206"/>
      <c r="F328" s="207"/>
      <c r="G328" s="207"/>
      <c r="H328" s="204"/>
      <c r="I328" s="204"/>
      <c r="J328" s="204"/>
    </row>
    <row r="329" spans="5:10">
      <c r="E329" s="206"/>
      <c r="F329" s="207"/>
      <c r="G329" s="207"/>
      <c r="H329" s="204"/>
      <c r="I329" s="204"/>
      <c r="J329" s="204"/>
    </row>
    <row r="330" spans="5:10">
      <c r="E330" s="206"/>
      <c r="F330" s="207"/>
      <c r="G330" s="207"/>
      <c r="H330" s="204"/>
      <c r="I330" s="204"/>
      <c r="J330" s="204"/>
    </row>
    <row r="331" spans="5:10">
      <c r="E331" s="206"/>
      <c r="F331" s="207"/>
      <c r="G331" s="207"/>
      <c r="H331" s="204"/>
      <c r="I331" s="204"/>
      <c r="J331" s="204"/>
    </row>
    <row r="332" spans="5:10">
      <c r="E332" s="206"/>
      <c r="F332" s="207"/>
      <c r="G332" s="207"/>
      <c r="H332" s="204"/>
      <c r="I332" s="204"/>
      <c r="J332" s="204"/>
    </row>
    <row r="333" spans="5:10">
      <c r="E333" s="206"/>
      <c r="F333" s="207"/>
      <c r="G333" s="207"/>
      <c r="H333" s="204"/>
      <c r="I333" s="204"/>
      <c r="J333" s="204"/>
    </row>
    <row r="334" spans="5:10">
      <c r="E334" s="206"/>
      <c r="F334" s="207"/>
      <c r="G334" s="207"/>
      <c r="H334" s="204"/>
      <c r="I334" s="204"/>
      <c r="J334" s="204"/>
    </row>
    <row r="335" spans="5:10">
      <c r="E335" s="206"/>
      <c r="F335" s="207"/>
      <c r="G335" s="207"/>
      <c r="H335" s="204"/>
      <c r="I335" s="204"/>
      <c r="J335" s="204"/>
    </row>
    <row r="336" spans="5:10">
      <c r="E336" s="206"/>
      <c r="F336" s="207"/>
      <c r="G336" s="207"/>
      <c r="H336" s="204"/>
      <c r="I336" s="204"/>
      <c r="J336" s="204"/>
    </row>
    <row r="337" spans="5:10">
      <c r="E337" s="206"/>
      <c r="F337" s="207"/>
      <c r="G337" s="207"/>
      <c r="H337" s="204"/>
      <c r="I337" s="204"/>
      <c r="J337" s="204"/>
    </row>
    <row r="338" spans="5:10">
      <c r="E338" s="206"/>
      <c r="F338" s="207"/>
      <c r="G338" s="207"/>
      <c r="H338" s="204"/>
      <c r="I338" s="204"/>
      <c r="J338" s="204"/>
    </row>
    <row r="339" spans="5:10">
      <c r="E339" s="206"/>
      <c r="F339" s="207"/>
      <c r="G339" s="207"/>
      <c r="H339" s="204"/>
      <c r="I339" s="204"/>
      <c r="J339" s="204"/>
    </row>
    <row r="340" spans="5:10">
      <c r="E340" s="206"/>
      <c r="F340" s="207"/>
      <c r="G340" s="207"/>
      <c r="H340" s="204"/>
      <c r="I340" s="204"/>
      <c r="J340" s="204"/>
    </row>
    <row r="341" spans="5:10">
      <c r="E341" s="206"/>
      <c r="F341" s="207"/>
      <c r="G341" s="207"/>
      <c r="H341" s="204"/>
      <c r="I341" s="204"/>
      <c r="J341" s="204"/>
    </row>
    <row r="342" spans="5:10">
      <c r="E342" s="206"/>
      <c r="F342" s="207"/>
      <c r="G342" s="207"/>
      <c r="H342" s="204"/>
      <c r="I342" s="204"/>
      <c r="J342" s="204"/>
    </row>
    <row r="343" spans="5:10">
      <c r="E343" s="206"/>
      <c r="F343" s="207"/>
      <c r="G343" s="207"/>
      <c r="H343" s="204"/>
      <c r="I343" s="204"/>
      <c r="J343" s="204"/>
    </row>
    <row r="344" spans="5:10">
      <c r="E344" s="206"/>
      <c r="F344" s="207"/>
      <c r="G344" s="207"/>
      <c r="H344" s="204"/>
      <c r="I344" s="204"/>
      <c r="J344" s="204"/>
    </row>
    <row r="345" spans="5:10">
      <c r="E345" s="206"/>
      <c r="F345" s="207"/>
      <c r="G345" s="207"/>
      <c r="H345" s="204"/>
      <c r="I345" s="204"/>
      <c r="J345" s="204"/>
    </row>
    <row r="346" spans="5:10">
      <c r="E346" s="206"/>
      <c r="F346" s="207"/>
      <c r="G346" s="207"/>
      <c r="H346" s="204"/>
      <c r="I346" s="204"/>
      <c r="J346" s="204"/>
    </row>
    <row r="347" spans="5:10">
      <c r="E347" s="206"/>
      <c r="F347" s="207"/>
      <c r="G347" s="207"/>
      <c r="H347" s="204"/>
      <c r="I347" s="204"/>
      <c r="J347" s="204"/>
    </row>
    <row r="348" spans="5:10">
      <c r="E348" s="206"/>
      <c r="F348" s="207"/>
      <c r="G348" s="207"/>
      <c r="H348" s="204"/>
      <c r="I348" s="204"/>
      <c r="J348" s="204"/>
    </row>
    <row r="349" spans="5:10">
      <c r="E349" s="206"/>
      <c r="F349" s="207"/>
      <c r="G349" s="207"/>
      <c r="H349" s="204"/>
      <c r="I349" s="204"/>
      <c r="J349" s="204"/>
    </row>
    <row r="350" spans="5:10">
      <c r="E350" s="206"/>
      <c r="F350" s="207"/>
      <c r="G350" s="207"/>
      <c r="H350" s="204"/>
      <c r="I350" s="204"/>
      <c r="J350" s="204"/>
    </row>
    <row r="351" spans="5:10">
      <c r="E351" s="206"/>
      <c r="F351" s="207"/>
      <c r="G351" s="207"/>
      <c r="H351" s="204"/>
      <c r="I351" s="204"/>
      <c r="J351" s="204"/>
    </row>
    <row r="352" spans="5:10">
      <c r="E352" s="206"/>
      <c r="F352" s="207"/>
      <c r="G352" s="207"/>
      <c r="H352" s="204"/>
      <c r="I352" s="204"/>
      <c r="J352" s="204"/>
    </row>
    <row r="353" spans="5:10">
      <c r="E353" s="206"/>
      <c r="F353" s="207"/>
      <c r="G353" s="207"/>
      <c r="H353" s="204"/>
      <c r="I353" s="204"/>
      <c r="J353" s="204"/>
    </row>
    <row r="354" spans="5:10">
      <c r="E354" s="206"/>
      <c r="F354" s="207"/>
      <c r="G354" s="207"/>
      <c r="H354" s="204"/>
      <c r="I354" s="204"/>
      <c r="J354" s="204"/>
    </row>
    <row r="355" spans="5:10">
      <c r="E355" s="206"/>
      <c r="F355" s="207"/>
      <c r="G355" s="207"/>
      <c r="H355" s="204"/>
      <c r="I355" s="204"/>
      <c r="J355" s="204"/>
    </row>
    <row r="356" spans="5:10">
      <c r="E356" s="206"/>
      <c r="F356" s="207"/>
      <c r="G356" s="207"/>
      <c r="H356" s="204"/>
      <c r="I356" s="204"/>
      <c r="J356" s="204"/>
    </row>
    <row r="357" spans="5:10">
      <c r="E357" s="206"/>
      <c r="F357" s="207"/>
      <c r="G357" s="207"/>
      <c r="H357" s="204"/>
      <c r="I357" s="204"/>
      <c r="J357" s="204"/>
    </row>
    <row r="358" spans="5:10">
      <c r="E358" s="206"/>
      <c r="F358" s="207"/>
      <c r="G358" s="207"/>
      <c r="H358" s="204"/>
      <c r="I358" s="204"/>
      <c r="J358" s="204"/>
    </row>
    <row r="359" spans="5:10">
      <c r="E359" s="206"/>
      <c r="F359" s="207"/>
      <c r="G359" s="207"/>
      <c r="H359" s="204"/>
      <c r="I359" s="204"/>
      <c r="J359" s="204"/>
    </row>
    <row r="360" spans="5:10">
      <c r="E360" s="206"/>
      <c r="F360" s="207"/>
      <c r="G360" s="207"/>
      <c r="H360" s="204"/>
      <c r="I360" s="204"/>
      <c r="J360" s="204"/>
    </row>
    <row r="361" spans="5:10">
      <c r="E361" s="206"/>
      <c r="F361" s="207"/>
      <c r="G361" s="207"/>
      <c r="H361" s="204"/>
      <c r="I361" s="204"/>
      <c r="J361" s="204"/>
    </row>
    <row r="362" spans="5:10">
      <c r="E362" s="206"/>
      <c r="F362" s="207"/>
      <c r="G362" s="207"/>
      <c r="H362" s="204"/>
      <c r="I362" s="204"/>
      <c r="J362" s="204"/>
    </row>
    <row r="363" spans="5:10">
      <c r="E363" s="206"/>
      <c r="F363" s="207"/>
      <c r="G363" s="207"/>
      <c r="H363" s="204"/>
      <c r="I363" s="204"/>
      <c r="J363" s="204"/>
    </row>
    <row r="364" spans="5:10">
      <c r="E364" s="206"/>
      <c r="F364" s="207"/>
      <c r="G364" s="207"/>
      <c r="H364" s="204"/>
      <c r="I364" s="204"/>
      <c r="J364" s="204"/>
    </row>
    <row r="365" spans="5:10">
      <c r="E365" s="206"/>
      <c r="F365" s="207"/>
      <c r="G365" s="207"/>
      <c r="H365" s="204"/>
      <c r="I365" s="204"/>
      <c r="J365" s="204"/>
    </row>
    <row r="366" spans="5:10">
      <c r="E366" s="206"/>
      <c r="F366" s="207"/>
      <c r="G366" s="207"/>
      <c r="H366" s="204"/>
      <c r="I366" s="204"/>
      <c r="J366" s="204"/>
    </row>
    <row r="367" spans="5:10">
      <c r="E367" s="206"/>
      <c r="F367" s="207"/>
      <c r="G367" s="207"/>
      <c r="H367" s="204"/>
      <c r="I367" s="204"/>
      <c r="J367" s="204"/>
    </row>
    <row r="368" spans="5:10">
      <c r="E368" s="206"/>
      <c r="F368" s="207"/>
      <c r="G368" s="207"/>
      <c r="H368" s="204"/>
      <c r="I368" s="204"/>
      <c r="J368" s="204"/>
    </row>
    <row r="369" spans="5:10">
      <c r="E369" s="206"/>
      <c r="F369" s="207"/>
      <c r="G369" s="207"/>
      <c r="H369" s="204"/>
      <c r="I369" s="204"/>
      <c r="J369" s="204"/>
    </row>
    <row r="370" spans="5:10">
      <c r="E370" s="206"/>
      <c r="F370" s="207"/>
      <c r="G370" s="207"/>
      <c r="H370" s="204"/>
      <c r="I370" s="204"/>
      <c r="J370" s="204"/>
    </row>
    <row r="371" spans="5:10">
      <c r="E371" s="206"/>
      <c r="F371" s="207"/>
      <c r="G371" s="207"/>
      <c r="H371" s="204"/>
      <c r="I371" s="204"/>
      <c r="J371" s="204"/>
    </row>
    <row r="372" spans="5:10">
      <c r="E372" s="206"/>
      <c r="F372" s="207"/>
      <c r="G372" s="207"/>
      <c r="H372" s="204"/>
      <c r="I372" s="204"/>
      <c r="J372" s="204"/>
    </row>
    <row r="373" spans="5:10">
      <c r="E373" s="206"/>
      <c r="F373" s="207"/>
      <c r="G373" s="207"/>
      <c r="H373" s="204"/>
      <c r="I373" s="204"/>
      <c r="J373" s="204"/>
    </row>
    <row r="374" spans="5:10">
      <c r="E374" s="206"/>
      <c r="F374" s="207"/>
      <c r="G374" s="207"/>
      <c r="H374" s="204"/>
      <c r="I374" s="204"/>
      <c r="J374" s="204"/>
    </row>
    <row r="375" spans="5:10">
      <c r="E375" s="206"/>
      <c r="F375" s="207"/>
      <c r="G375" s="207"/>
      <c r="H375" s="204"/>
      <c r="I375" s="204"/>
      <c r="J375" s="204"/>
    </row>
    <row r="376" spans="5:10">
      <c r="E376" s="206"/>
      <c r="F376" s="207"/>
      <c r="G376" s="207"/>
      <c r="H376" s="204"/>
      <c r="I376" s="204"/>
      <c r="J376" s="204"/>
    </row>
    <row r="377" spans="5:10">
      <c r="E377" s="206"/>
      <c r="F377" s="207"/>
      <c r="G377" s="207"/>
      <c r="H377" s="204"/>
      <c r="I377" s="204"/>
      <c r="J377" s="204"/>
    </row>
    <row r="378" spans="5:10">
      <c r="E378" s="206"/>
      <c r="F378" s="207"/>
      <c r="G378" s="207"/>
      <c r="H378" s="204"/>
      <c r="I378" s="204"/>
      <c r="J378" s="204"/>
    </row>
    <row r="379" spans="5:10">
      <c r="E379" s="206"/>
      <c r="F379" s="207"/>
      <c r="G379" s="207"/>
      <c r="H379" s="204"/>
      <c r="I379" s="204"/>
      <c r="J379" s="204"/>
    </row>
    <row r="380" spans="5:10">
      <c r="E380" s="206"/>
      <c r="F380" s="207"/>
      <c r="G380" s="207"/>
      <c r="H380" s="204"/>
      <c r="I380" s="204"/>
      <c r="J380" s="204"/>
    </row>
    <row r="381" spans="5:10">
      <c r="E381" s="206"/>
      <c r="F381" s="207"/>
      <c r="G381" s="207"/>
      <c r="H381" s="204"/>
      <c r="I381" s="204"/>
      <c r="J381" s="204"/>
    </row>
    <row r="382" spans="5:10">
      <c r="E382" s="206"/>
      <c r="F382" s="207"/>
      <c r="G382" s="207"/>
      <c r="H382" s="204"/>
      <c r="I382" s="204"/>
      <c r="J382" s="204"/>
    </row>
    <row r="383" spans="5:10">
      <c r="E383" s="206"/>
      <c r="F383" s="207"/>
      <c r="G383" s="207"/>
      <c r="H383" s="204"/>
      <c r="I383" s="204"/>
      <c r="J383" s="204"/>
    </row>
    <row r="384" spans="5:10">
      <c r="E384" s="206"/>
      <c r="F384" s="207"/>
      <c r="G384" s="207"/>
      <c r="H384" s="204"/>
      <c r="I384" s="204"/>
      <c r="J384" s="204"/>
    </row>
    <row r="385" spans="5:10">
      <c r="E385" s="206"/>
      <c r="F385" s="207"/>
      <c r="G385" s="207"/>
      <c r="H385" s="204"/>
      <c r="I385" s="204"/>
      <c r="J385" s="204"/>
    </row>
    <row r="386" spans="5:10">
      <c r="E386" s="206"/>
      <c r="F386" s="207"/>
      <c r="G386" s="207"/>
      <c r="H386" s="204"/>
      <c r="I386" s="204"/>
      <c r="J386" s="204"/>
    </row>
    <row r="387" spans="5:10">
      <c r="E387" s="206"/>
      <c r="F387" s="207"/>
      <c r="G387" s="207"/>
      <c r="H387" s="204"/>
      <c r="I387" s="204"/>
      <c r="J387" s="204"/>
    </row>
    <row r="388" spans="5:10">
      <c r="E388" s="206"/>
      <c r="F388" s="207"/>
      <c r="G388" s="207"/>
      <c r="H388" s="204"/>
      <c r="I388" s="204"/>
      <c r="J388" s="204"/>
    </row>
    <row r="389" spans="5:10">
      <c r="E389" s="206"/>
      <c r="F389" s="207"/>
      <c r="G389" s="207"/>
      <c r="H389" s="204"/>
      <c r="I389" s="204"/>
      <c r="J389" s="204"/>
    </row>
    <row r="390" spans="5:10">
      <c r="E390" s="206"/>
      <c r="F390" s="207"/>
      <c r="G390" s="207"/>
      <c r="H390" s="204"/>
      <c r="I390" s="204"/>
      <c r="J390" s="204"/>
    </row>
    <row r="391" spans="5:10">
      <c r="E391" s="206"/>
      <c r="F391" s="207"/>
      <c r="G391" s="207"/>
      <c r="H391" s="204"/>
      <c r="I391" s="204"/>
      <c r="J391" s="204"/>
    </row>
    <row r="392" spans="5:10">
      <c r="E392" s="206"/>
      <c r="F392" s="207"/>
      <c r="G392" s="207"/>
      <c r="H392" s="204"/>
      <c r="I392" s="204"/>
      <c r="J392" s="204"/>
    </row>
    <row r="393" spans="5:10">
      <c r="E393" s="203"/>
    </row>
    <row r="394" spans="5:10">
      <c r="E394" s="203"/>
    </row>
    <row r="395" spans="5:10">
      <c r="E395" s="203"/>
    </row>
    <row r="396" spans="5:10">
      <c r="E396" s="203"/>
    </row>
    <row r="397" spans="5:10">
      <c r="E397" s="203"/>
    </row>
    <row r="398" spans="5:10">
      <c r="E398" s="203"/>
    </row>
    <row r="399" spans="5:10">
      <c r="E399" s="203"/>
    </row>
  </sheetData>
  <mergeCells count="7">
    <mergeCell ref="A1:J1"/>
    <mergeCell ref="C4:E4"/>
    <mergeCell ref="F4:H4"/>
    <mergeCell ref="I4:I5"/>
    <mergeCell ref="J4:J5"/>
    <mergeCell ref="A4:A5"/>
    <mergeCell ref="B4:B5"/>
  </mergeCells>
  <phoneticPr fontId="3" type="noConversion"/>
  <conditionalFormatting sqref="J1:J1048576">
    <cfRule type="cellIs" dxfId="15" priority="1" stopIfTrue="1" operator="equal">
      <formula>"显著"</formula>
    </cfRule>
    <cfRule type="cellIs" dxfId="14" priority="2" stopIfTrue="1" operator="equal">
      <formula>"关注"</formula>
    </cfRule>
  </conditionalFormatting>
  <printOptions horizontalCentered="1" verticalCentered="1"/>
  <pageMargins left="0.27559055118110237" right="0.35433070866141736" top="0.42" bottom="0.25" header="0.39370078740157483" footer="0.21"/>
  <pageSetup paperSize="9" scale="90" orientation="landscape" blackAndWhite="1" horizontalDpi="180" verticalDpi="180"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22"/>
    <pageSetUpPr fitToPage="1"/>
  </sheetPr>
  <dimension ref="A1:K60"/>
  <sheetViews>
    <sheetView workbookViewId="0">
      <pane xSplit="2" ySplit="8" topLeftCell="C9" activePane="bottomRight" state="frozen"/>
      <selection activeCell="H6" sqref="H6"/>
      <selection pane="topRight" activeCell="H6" sqref="H6"/>
      <selection pane="bottomLeft" activeCell="H6" sqref="H6"/>
      <selection pane="bottomRight" activeCell="J24" sqref="J24"/>
    </sheetView>
  </sheetViews>
  <sheetFormatPr defaultColWidth="7" defaultRowHeight="12.75"/>
  <cols>
    <col min="1" max="1" width="0.875" style="525" customWidth="1"/>
    <col min="2" max="2" width="47.375" style="525" customWidth="1"/>
    <col min="3" max="4" width="17.625" style="525" customWidth="1"/>
    <col min="5" max="5" width="0.875" style="525" customWidth="1"/>
    <col min="6" max="7" width="17.625" style="525" customWidth="1"/>
    <col min="8" max="8" width="1" style="525" customWidth="1"/>
    <col min="9" max="9" width="2.5" style="525" customWidth="1"/>
    <col min="10" max="10" width="7" style="525" customWidth="1"/>
    <col min="11" max="11" width="10.25" style="525" bestFit="1" customWidth="1"/>
    <col min="12" max="16384" width="7" style="525"/>
  </cols>
  <sheetData>
    <row r="1" spans="1:11" ht="5.25" customHeight="1" thickBot="1">
      <c r="A1" s="550"/>
      <c r="B1" s="550"/>
      <c r="C1" s="550"/>
      <c r="D1" s="550"/>
      <c r="E1" s="550"/>
      <c r="F1" s="550"/>
      <c r="G1" s="550"/>
      <c r="H1" s="550"/>
    </row>
    <row r="2" spans="1:11" ht="13.5" thickTop="1">
      <c r="A2" s="550"/>
      <c r="B2" s="1259" t="s">
        <v>218</v>
      </c>
      <c r="C2" s="1261" t="s">
        <v>667</v>
      </c>
      <c r="D2" s="1262"/>
      <c r="E2" s="699"/>
      <c r="F2" s="1261" t="s">
        <v>668</v>
      </c>
      <c r="G2" s="1263"/>
      <c r="H2" s="550"/>
    </row>
    <row r="3" spans="1:11">
      <c r="A3" s="550"/>
      <c r="B3" s="1260"/>
      <c r="C3" s="766" t="s">
        <v>669</v>
      </c>
      <c r="D3" s="700" t="s">
        <v>670</v>
      </c>
      <c r="E3" s="701"/>
      <c r="F3" s="700" t="s">
        <v>171</v>
      </c>
      <c r="G3" s="702" t="s">
        <v>172</v>
      </c>
      <c r="H3" s="550"/>
    </row>
    <row r="4" spans="1:11" ht="15.75" customHeight="1">
      <c r="A4" s="550"/>
      <c r="B4" s="703" t="s">
        <v>173</v>
      </c>
      <c r="C4" s="767" t="e">
        <f>C11/$C$18</f>
        <v>#DIV/0!</v>
      </c>
      <c r="D4" s="527" t="e">
        <f>C11/$C$26</f>
        <v>#DIV/0!</v>
      </c>
      <c r="E4" s="527"/>
      <c r="F4" s="528" t="e">
        <f>C11/$C$36</f>
        <v>#DIV/0!</v>
      </c>
      <c r="G4" s="526" t="e">
        <f>(C11+(F11-F13)*(1-F15))/($C$36+F31*F32/C19)</f>
        <v>#DIV/0!</v>
      </c>
      <c r="H4" s="550"/>
    </row>
    <row r="5" spans="1:11" ht="15.75" customHeight="1" thickBot="1">
      <c r="A5" s="550"/>
      <c r="B5" s="704" t="s">
        <v>174</v>
      </c>
      <c r="C5" s="768" t="e">
        <f>C12/$C$18</f>
        <v>#DIV/0!</v>
      </c>
      <c r="D5" s="529" t="e">
        <f>C12/$C$26</f>
        <v>#DIV/0!</v>
      </c>
      <c r="E5" s="529"/>
      <c r="F5" s="530" t="e">
        <f>C12/$C$36</f>
        <v>#DIV/0!</v>
      </c>
      <c r="G5" s="531" t="e">
        <f>(C12+(F11-F13)*(1-F15))/($C$36+F31*F32/C19)</f>
        <v>#DIV/0!</v>
      </c>
      <c r="H5" s="550"/>
    </row>
    <row r="6" spans="1:11" ht="5.25" customHeight="1" thickTop="1">
      <c r="A6" s="550"/>
      <c r="B6" s="550"/>
      <c r="C6" s="550"/>
      <c r="D6" s="550"/>
      <c r="E6" s="550"/>
      <c r="F6" s="550"/>
      <c r="G6" s="550"/>
      <c r="H6" s="550"/>
    </row>
    <row r="8" spans="1:11" ht="13.5" thickBot="1">
      <c r="B8" s="532" t="s">
        <v>175</v>
      </c>
      <c r="C8" s="532" t="s">
        <v>176</v>
      </c>
      <c r="D8" s="532" t="s">
        <v>177</v>
      </c>
      <c r="E8" s="705"/>
      <c r="F8" s="532" t="s">
        <v>176</v>
      </c>
      <c r="G8" s="532" t="s">
        <v>177</v>
      </c>
      <c r="H8" s="533"/>
    </row>
    <row r="9" spans="1:11" ht="13.5" thickTop="1">
      <c r="B9" s="706" t="s">
        <v>178</v>
      </c>
      <c r="C9" s="707">
        <f>审定合并PL!C45</f>
        <v>0</v>
      </c>
      <c r="D9" s="707">
        <f>审定合并PL!E45</f>
        <v>0</v>
      </c>
      <c r="E9" s="708"/>
      <c r="F9" s="709"/>
      <c r="G9" s="710"/>
      <c r="H9" s="711"/>
    </row>
    <row r="10" spans="1:11">
      <c r="B10" s="706" t="s">
        <v>179</v>
      </c>
      <c r="C10" s="707"/>
      <c r="D10" s="707"/>
      <c r="E10" s="708"/>
      <c r="F10" s="712" t="s">
        <v>180</v>
      </c>
      <c r="G10" s="713"/>
      <c r="H10" s="711"/>
    </row>
    <row r="11" spans="1:11">
      <c r="B11" s="534" t="s">
        <v>181</v>
      </c>
      <c r="C11" s="435">
        <f>C9-C10</f>
        <v>0</v>
      </c>
      <c r="D11" s="435">
        <f>D9-D10</f>
        <v>0</v>
      </c>
      <c r="E11" s="435"/>
      <c r="F11" s="543"/>
      <c r="G11" s="543"/>
    </row>
    <row r="12" spans="1:11">
      <c r="B12" s="535" t="s">
        <v>182</v>
      </c>
      <c r="C12" s="520">
        <f>C11-C13</f>
        <v>0</v>
      </c>
      <c r="D12" s="520">
        <f>D11-D13</f>
        <v>0</v>
      </c>
      <c r="E12" s="435"/>
      <c r="F12" s="712" t="s">
        <v>183</v>
      </c>
      <c r="G12" s="713"/>
    </row>
    <row r="13" spans="1:11">
      <c r="B13" s="714" t="s">
        <v>184</v>
      </c>
      <c r="C13" s="543"/>
      <c r="D13" s="543"/>
      <c r="E13" s="435"/>
      <c r="F13" s="543"/>
      <c r="G13" s="543"/>
      <c r="K13" s="538"/>
    </row>
    <row r="14" spans="1:11">
      <c r="C14" s="383"/>
      <c r="D14" s="383"/>
      <c r="E14" s="383"/>
      <c r="F14" s="712" t="s">
        <v>185</v>
      </c>
      <c r="G14" s="713"/>
      <c r="K14" s="537"/>
    </row>
    <row r="15" spans="1:11">
      <c r="B15" s="545" t="s">
        <v>186</v>
      </c>
      <c r="C15" s="544">
        <f>D18</f>
        <v>0</v>
      </c>
      <c r="D15" s="544"/>
      <c r="E15" s="435"/>
      <c r="F15" s="715">
        <v>0.15</v>
      </c>
      <c r="G15" s="715">
        <v>0.15</v>
      </c>
    </row>
    <row r="16" spans="1:11">
      <c r="B16" s="716" t="s">
        <v>671</v>
      </c>
      <c r="C16" s="588">
        <f>审定合并BS!C121</f>
        <v>0</v>
      </c>
      <c r="D16" s="588">
        <f>审定合并BS!E121</f>
        <v>0</v>
      </c>
      <c r="E16" s="435"/>
      <c r="G16" s="383"/>
    </row>
    <row r="17" spans="2:7">
      <c r="B17" s="716" t="s">
        <v>187</v>
      </c>
      <c r="C17" s="588">
        <f>审定合并BS!C120</f>
        <v>0</v>
      </c>
      <c r="D17" s="588">
        <f>审定合并BS!E120</f>
        <v>0</v>
      </c>
      <c r="E17" s="435"/>
      <c r="G17" s="383"/>
    </row>
    <row r="18" spans="2:7">
      <c r="B18" s="535" t="s">
        <v>188</v>
      </c>
      <c r="C18" s="520">
        <f>C16-C17</f>
        <v>0</v>
      </c>
      <c r="D18" s="520">
        <f>D16-D17</f>
        <v>0</v>
      </c>
      <c r="E18" s="435"/>
      <c r="F18" s="383"/>
      <c r="G18" s="383"/>
    </row>
    <row r="19" spans="2:7">
      <c r="B19" s="534" t="s">
        <v>189</v>
      </c>
      <c r="C19" s="965">
        <f>说明!J32</f>
        <v>12</v>
      </c>
      <c r="D19" s="965">
        <f>说明!J31</f>
        <v>12</v>
      </c>
      <c r="F19" s="383"/>
      <c r="G19" s="383"/>
    </row>
    <row r="20" spans="2:7">
      <c r="B20" s="545" t="s">
        <v>190</v>
      </c>
      <c r="C20" s="546"/>
      <c r="D20" s="546"/>
      <c r="E20" s="537"/>
      <c r="F20" s="769" t="s">
        <v>191</v>
      </c>
      <c r="G20" s="770"/>
    </row>
    <row r="21" spans="2:7">
      <c r="B21" s="545" t="s">
        <v>192</v>
      </c>
      <c r="C21" s="547"/>
      <c r="D21" s="547"/>
    </row>
    <row r="22" spans="2:7">
      <c r="B22" s="545" t="s">
        <v>193</v>
      </c>
      <c r="C22" s="548"/>
      <c r="D22" s="548"/>
      <c r="E22" s="538"/>
      <c r="F22" s="534" t="s">
        <v>194</v>
      </c>
      <c r="G22" s="383"/>
    </row>
    <row r="23" spans="2:7">
      <c r="B23" s="545" t="s">
        <v>195</v>
      </c>
      <c r="C23" s="547"/>
      <c r="D23" s="547"/>
      <c r="F23" s="717" t="s">
        <v>196</v>
      </c>
    </row>
    <row r="24" spans="2:7">
      <c r="B24" s="545" t="s">
        <v>197</v>
      </c>
      <c r="C24" s="547"/>
      <c r="D24" s="547"/>
      <c r="F24" s="525" t="s">
        <v>198</v>
      </c>
    </row>
    <row r="25" spans="2:7">
      <c r="B25" s="545" t="s">
        <v>199</v>
      </c>
      <c r="C25" s="547"/>
      <c r="D25" s="547"/>
      <c r="F25" s="718" t="s">
        <v>200</v>
      </c>
      <c r="G25" s="718"/>
    </row>
    <row r="26" spans="2:7">
      <c r="B26" s="536" t="s">
        <v>672</v>
      </c>
      <c r="C26" s="520">
        <f>C15+C11/2+C20*C21/C19-C22*C23/C19+C24*C25/C19</f>
        <v>0</v>
      </c>
      <c r="D26" s="520">
        <f>D15+D11/2+D20*D21/D19-D22*D23/D19+D24*D25/D19</f>
        <v>0</v>
      </c>
      <c r="E26" s="435"/>
    </row>
    <row r="27" spans="2:7">
      <c r="C27" s="383"/>
      <c r="D27" s="383"/>
      <c r="E27" s="383"/>
    </row>
    <row r="28" spans="2:7">
      <c r="B28" s="545" t="s">
        <v>201</v>
      </c>
      <c r="C28" s="544">
        <f>D29</f>
        <v>0</v>
      </c>
      <c r="D28" s="544"/>
      <c r="E28" s="435"/>
    </row>
    <row r="29" spans="2:7">
      <c r="B29" s="535" t="s">
        <v>202</v>
      </c>
      <c r="C29" s="520"/>
      <c r="D29" s="520"/>
      <c r="E29" s="435"/>
      <c r="F29" s="383"/>
      <c r="G29" s="383"/>
    </row>
    <row r="30" spans="2:7">
      <c r="B30" s="545" t="s">
        <v>203</v>
      </c>
      <c r="C30" s="549"/>
      <c r="D30" s="760" t="e">
        <f>C30/C28*D28</f>
        <v>#DIV/0!</v>
      </c>
      <c r="E30" s="383"/>
      <c r="F30" s="712" t="s">
        <v>204</v>
      </c>
      <c r="G30" s="713"/>
    </row>
    <row r="31" spans="2:7">
      <c r="B31" s="719" t="s">
        <v>205</v>
      </c>
      <c r="C31" s="543"/>
      <c r="D31" s="543"/>
      <c r="E31" s="720"/>
      <c r="F31" s="721"/>
      <c r="G31" s="722"/>
    </row>
    <row r="32" spans="2:7">
      <c r="B32" s="719" t="s">
        <v>206</v>
      </c>
      <c r="C32" s="723"/>
      <c r="D32" s="723"/>
      <c r="E32" s="720"/>
      <c r="F32" s="724"/>
      <c r="G32" s="724"/>
    </row>
    <row r="33" spans="1:8">
      <c r="B33" s="545" t="s">
        <v>207</v>
      </c>
      <c r="C33" s="549"/>
      <c r="D33" s="549"/>
      <c r="E33" s="383"/>
      <c r="F33" s="534"/>
      <c r="G33" s="383"/>
    </row>
    <row r="34" spans="1:8">
      <c r="B34" s="545" t="s">
        <v>208</v>
      </c>
      <c r="C34" s="725"/>
      <c r="D34" s="725"/>
      <c r="E34" s="383"/>
      <c r="F34" s="534"/>
      <c r="G34" s="383"/>
    </row>
    <row r="35" spans="1:8">
      <c r="B35" s="545" t="s">
        <v>209</v>
      </c>
      <c r="C35" s="549"/>
      <c r="D35" s="549"/>
      <c r="E35" s="383"/>
    </row>
    <row r="36" spans="1:8">
      <c r="B36" s="535" t="s">
        <v>210</v>
      </c>
      <c r="C36" s="520">
        <f>C28+C30+C31*C32/C19-C33*C34/C19-C35</f>
        <v>0</v>
      </c>
      <c r="D36" s="520" t="e">
        <f>D28+D30+D31*D32/D19-D33*D34/D19-D35</f>
        <v>#DIV/0!</v>
      </c>
      <c r="E36" s="435"/>
    </row>
    <row r="37" spans="1:8">
      <c r="B37" s="534" t="s">
        <v>211</v>
      </c>
      <c r="C37" s="435"/>
      <c r="D37" s="435"/>
      <c r="E37" s="435"/>
    </row>
    <row r="38" spans="1:8">
      <c r="B38" s="726" t="s">
        <v>213</v>
      </c>
      <c r="C38" s="435"/>
      <c r="D38" s="435"/>
      <c r="E38" s="435"/>
      <c r="F38" s="534" t="s">
        <v>212</v>
      </c>
    </row>
    <row r="39" spans="1:8">
      <c r="B39" s="727" t="s">
        <v>215</v>
      </c>
      <c r="C39" s="435"/>
      <c r="D39" s="435"/>
      <c r="E39" s="435"/>
      <c r="F39" s="383" t="s">
        <v>214</v>
      </c>
    </row>
    <row r="40" spans="1:8">
      <c r="B40" s="726" t="s">
        <v>216</v>
      </c>
    </row>
    <row r="42" spans="1:8" ht="5.25" customHeight="1" thickBot="1">
      <c r="A42" s="550"/>
      <c r="B42" s="550"/>
      <c r="C42" s="550"/>
      <c r="D42" s="550"/>
      <c r="E42" s="550"/>
      <c r="F42" s="550"/>
      <c r="G42" s="550"/>
      <c r="H42" s="550"/>
    </row>
    <row r="43" spans="1:8" ht="13.5" thickTop="1">
      <c r="A43" s="550"/>
      <c r="B43" s="1259" t="s">
        <v>217</v>
      </c>
      <c r="C43" s="1261" t="s">
        <v>667</v>
      </c>
      <c r="D43" s="1262"/>
      <c r="E43" s="699"/>
      <c r="F43" s="1261" t="s">
        <v>668</v>
      </c>
      <c r="G43" s="1263"/>
      <c r="H43" s="550"/>
    </row>
    <row r="44" spans="1:8">
      <c r="A44" s="550"/>
      <c r="B44" s="1260"/>
      <c r="C44" s="766" t="s">
        <v>669</v>
      </c>
      <c r="D44" s="700" t="s">
        <v>670</v>
      </c>
      <c r="E44" s="701"/>
      <c r="F44" s="700" t="s">
        <v>171</v>
      </c>
      <c r="G44" s="702" t="s">
        <v>172</v>
      </c>
      <c r="H44" s="550"/>
    </row>
    <row r="45" spans="1:8">
      <c r="A45" s="550"/>
      <c r="B45" s="703" t="s">
        <v>173</v>
      </c>
      <c r="C45" s="767" t="e">
        <f>D11/$D$18</f>
        <v>#DIV/0!</v>
      </c>
      <c r="D45" s="527" t="e">
        <f>D11/$D$26</f>
        <v>#DIV/0!</v>
      </c>
      <c r="E45" s="527"/>
      <c r="F45" s="528" t="e">
        <f>D11/$D$36</f>
        <v>#DIV/0!</v>
      </c>
      <c r="G45" s="526" t="e">
        <f>(D11+(G11-G13)*(1-G15))/($D$36+G31*G32/D19)</f>
        <v>#DIV/0!</v>
      </c>
      <c r="H45" s="550"/>
    </row>
    <row r="46" spans="1:8" ht="13.5" thickBot="1">
      <c r="A46" s="550"/>
      <c r="B46" s="704" t="s">
        <v>174</v>
      </c>
      <c r="C46" s="768" t="e">
        <f>D12/$D$18</f>
        <v>#DIV/0!</v>
      </c>
      <c r="D46" s="529" t="e">
        <f>D12/$D$26</f>
        <v>#DIV/0!</v>
      </c>
      <c r="E46" s="529"/>
      <c r="F46" s="530" t="e">
        <f>D12/$D$36</f>
        <v>#DIV/0!</v>
      </c>
      <c r="G46" s="531" t="e">
        <f>(D12+(G11-G13)*(1-G15))/($D$36+G31*G32/D19)</f>
        <v>#DIV/0!</v>
      </c>
      <c r="H46" s="550"/>
    </row>
    <row r="47" spans="1:8" ht="5.25" customHeight="1" thickTop="1">
      <c r="A47" s="550"/>
      <c r="B47" s="550"/>
      <c r="C47" s="550"/>
      <c r="D47" s="550"/>
      <c r="E47" s="550"/>
      <c r="F47" s="550"/>
      <c r="G47" s="550"/>
      <c r="H47" s="550"/>
    </row>
    <row r="50" spans="2:7">
      <c r="B50" s="758" t="s">
        <v>888</v>
      </c>
      <c r="C50" s="539"/>
      <c r="D50" s="539"/>
      <c r="E50" s="539"/>
      <c r="F50" s="540"/>
      <c r="G50" s="540"/>
    </row>
    <row r="51" spans="2:7">
      <c r="B51" s="757" t="s">
        <v>894</v>
      </c>
      <c r="C51" s="539"/>
      <c r="D51" s="539"/>
      <c r="E51" s="539"/>
      <c r="F51" s="540"/>
      <c r="G51" s="540"/>
    </row>
    <row r="52" spans="2:7">
      <c r="B52" s="757" t="s">
        <v>887</v>
      </c>
      <c r="C52" s="539"/>
      <c r="D52" s="539"/>
      <c r="E52" s="539"/>
      <c r="F52" s="540"/>
      <c r="G52" s="540"/>
    </row>
    <row r="53" spans="2:7">
      <c r="C53" s="539"/>
      <c r="D53" s="539"/>
      <c r="E53" s="539"/>
      <c r="F53" s="540"/>
      <c r="G53" s="540"/>
    </row>
    <row r="54" spans="2:7">
      <c r="B54" s="757" t="s">
        <v>890</v>
      </c>
      <c r="C54" s="539"/>
      <c r="D54" s="539"/>
      <c r="E54" s="539"/>
      <c r="F54" s="540"/>
      <c r="G54" s="540"/>
    </row>
    <row r="55" spans="2:7">
      <c r="B55" s="757" t="s">
        <v>891</v>
      </c>
      <c r="C55" s="539"/>
      <c r="D55" s="539"/>
      <c r="E55" s="539"/>
      <c r="F55" s="540"/>
      <c r="G55" s="540"/>
    </row>
    <row r="56" spans="2:7">
      <c r="B56" s="757" t="s">
        <v>889</v>
      </c>
      <c r="C56" s="539"/>
      <c r="D56" s="539"/>
      <c r="E56" s="539"/>
      <c r="F56" s="540"/>
      <c r="G56" s="540"/>
    </row>
    <row r="57" spans="2:7">
      <c r="B57" s="759"/>
    </row>
    <row r="58" spans="2:7">
      <c r="B58" s="757" t="s">
        <v>892</v>
      </c>
    </row>
    <row r="60" spans="2:7">
      <c r="B60" s="757" t="s">
        <v>893</v>
      </c>
    </row>
  </sheetData>
  <mergeCells count="6">
    <mergeCell ref="B2:B3"/>
    <mergeCell ref="C2:D2"/>
    <mergeCell ref="F2:G2"/>
    <mergeCell ref="B43:B44"/>
    <mergeCell ref="C43:D43"/>
    <mergeCell ref="F43:G43"/>
  </mergeCells>
  <phoneticPr fontId="13" type="noConversion"/>
  <printOptions horizontalCentered="1" verticalCentered="1"/>
  <pageMargins left="0.51181102362204722" right="0.43307086614173229" top="0.85" bottom="0.27" header="0.48" footer="0.17"/>
  <pageSetup paperSize="9" orientation="landscape" cellComments="asDisplayed" r:id="rId1"/>
  <headerFooter alignWithMargins="0">
    <oddHeader xml:space="preserve">&amp;C&amp;"宋体,加粗"&amp;14&amp;A&amp;R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39"/>
    <pageSetUpPr fitToPage="1"/>
  </sheetPr>
  <dimension ref="A1:P67"/>
  <sheetViews>
    <sheetView showZeros="0" workbookViewId="0">
      <pane xSplit="2" ySplit="6" topLeftCell="E7" activePane="bottomRight" state="frozen"/>
      <selection activeCell="H6" sqref="H6"/>
      <selection pane="topRight" activeCell="H6" sqref="H6"/>
      <selection pane="bottomLeft" activeCell="H6" sqref="H6"/>
      <selection pane="bottomRight" activeCell="Q56" sqref="Q56"/>
    </sheetView>
  </sheetViews>
  <sheetFormatPr defaultColWidth="9" defaultRowHeight="14.25"/>
  <cols>
    <col min="1" max="1" width="23.125" style="77" customWidth="1"/>
    <col min="2" max="2" width="2.625" style="77" customWidth="1"/>
    <col min="3" max="3" width="12.25" style="78" customWidth="1"/>
    <col min="4" max="4" width="14" style="78" customWidth="1"/>
    <col min="5" max="5" width="10.75" style="78" customWidth="1"/>
    <col min="6" max="6" width="7.5" style="78" bestFit="1" customWidth="1"/>
    <col min="7" max="7" width="8.625" style="78" customWidth="1"/>
    <col min="8" max="8" width="15" style="78" customWidth="1"/>
    <col min="9" max="9" width="18.375" style="77" customWidth="1"/>
    <col min="10" max="10" width="3.125" style="77" customWidth="1"/>
    <col min="11" max="11" width="12.375" style="78" customWidth="1"/>
    <col min="12" max="12" width="12" style="78" customWidth="1"/>
    <col min="13" max="13" width="10.875" style="78" customWidth="1"/>
    <col min="14" max="14" width="7.5" style="78" bestFit="1" customWidth="1"/>
    <col min="15" max="15" width="8.5" style="78" customWidth="1"/>
    <col min="16" max="16" width="12.125" style="78" customWidth="1"/>
    <col min="17" max="16384" width="9" style="78"/>
  </cols>
  <sheetData>
    <row r="1" spans="1:16" ht="18.75">
      <c r="A1" s="1219" t="s">
        <v>745</v>
      </c>
      <c r="B1" s="1219"/>
      <c r="C1" s="1219"/>
      <c r="D1" s="1219"/>
      <c r="E1" s="1219"/>
      <c r="F1" s="1219"/>
      <c r="G1" s="1219"/>
      <c r="H1" s="1219"/>
      <c r="I1" s="1219" t="s">
        <v>746</v>
      </c>
      <c r="J1" s="1219"/>
      <c r="K1" s="1219"/>
      <c r="L1" s="1219"/>
      <c r="M1" s="1219"/>
      <c r="N1" s="1219"/>
      <c r="O1" s="1219"/>
      <c r="P1" s="1219"/>
    </row>
    <row r="2" spans="1:16" s="32" customFormat="1" ht="15" customHeight="1">
      <c r="A2" s="88" t="str">
        <f>CONCATENATE("客户名称：",说明!E23)</f>
        <v>客户名称：</v>
      </c>
      <c r="D2" s="89" t="str">
        <f>CONCATENATE("编制：",说明!E36)</f>
        <v>编制：</v>
      </c>
      <c r="E2" s="90"/>
      <c r="F2" s="88" t="str">
        <f>CONCATENATE("复核：",说明!E37)</f>
        <v>复核：</v>
      </c>
      <c r="G2" s="91"/>
      <c r="H2" s="806" t="s">
        <v>957</v>
      </c>
      <c r="I2" s="88" t="str">
        <f>CONCATENATE("客户名称：",说明!E23)</f>
        <v>客户名称：</v>
      </c>
      <c r="L2" s="89" t="str">
        <f>CONCATENATE("编制：",说明!E36)</f>
        <v>编制：</v>
      </c>
      <c r="M2" s="90"/>
      <c r="N2" s="88" t="str">
        <f>CONCATENATE("复核：",说明!E37)</f>
        <v>复核：</v>
      </c>
      <c r="O2" s="91"/>
      <c r="P2" s="806" t="s">
        <v>957</v>
      </c>
    </row>
    <row r="3" spans="1:16" s="32" customFormat="1" ht="17.25" customHeight="1" thickBot="1">
      <c r="A3" s="91" t="str">
        <f>CONCATENATE("会计时点：",TEXT(说明!E32,"yyyy.mm.dd"))</f>
        <v>会计时点：2019.12.31</v>
      </c>
      <c r="D3" s="93" t="str">
        <f ca="1">CONCATENATE("日期：",TEXT(NOW(),"yyyy.mm.dd"))</f>
        <v>日期：2019.12.31</v>
      </c>
      <c r="E3" s="91"/>
      <c r="F3" s="89" t="s">
        <v>295</v>
      </c>
      <c r="G3" s="91"/>
      <c r="H3" s="89" t="s">
        <v>296</v>
      </c>
      <c r="I3" s="91" t="str">
        <f>CONCATENATE("会计时点：",TEXT(说明!E32,"yyyy.mm.dd"))</f>
        <v>会计时点：2019.12.31</v>
      </c>
      <c r="L3" s="93" t="str">
        <f ca="1">CONCATENATE("日期：",TEXT(NOW(),"yyyy.mm.dd"))</f>
        <v>日期：2019.12.31</v>
      </c>
      <c r="M3" s="91"/>
      <c r="N3" s="89" t="s">
        <v>295</v>
      </c>
      <c r="O3" s="91"/>
      <c r="P3" s="89" t="s">
        <v>296</v>
      </c>
    </row>
    <row r="4" spans="1:16">
      <c r="A4" s="1220" t="s">
        <v>371</v>
      </c>
      <c r="B4" s="1231" t="s">
        <v>310</v>
      </c>
      <c r="C4" s="1223" t="s">
        <v>365</v>
      </c>
      <c r="D4" s="1223" t="s">
        <v>384</v>
      </c>
      <c r="E4" s="173" t="s">
        <v>366</v>
      </c>
      <c r="F4" s="173"/>
      <c r="G4" s="1228" t="s">
        <v>448</v>
      </c>
      <c r="H4" s="1213" t="s">
        <v>449</v>
      </c>
      <c r="I4" s="1225" t="str">
        <f>IF(说明!E28="一般企业（执行统一会计制度）","负债及所有者权益","负债及股东权益")</f>
        <v>负债及股东权益</v>
      </c>
      <c r="J4" s="1216" t="s">
        <v>310</v>
      </c>
      <c r="K4" s="1223" t="s">
        <v>365</v>
      </c>
      <c r="L4" s="1223" t="s">
        <v>384</v>
      </c>
      <c r="M4" s="173" t="s">
        <v>366</v>
      </c>
      <c r="N4" s="173"/>
      <c r="O4" s="1228" t="s">
        <v>448</v>
      </c>
      <c r="P4" s="1213" t="s">
        <v>449</v>
      </c>
    </row>
    <row r="5" spans="1:16">
      <c r="A5" s="1221"/>
      <c r="B5" s="1232"/>
      <c r="C5" s="1224"/>
      <c r="D5" s="1224"/>
      <c r="E5" s="175" t="s">
        <v>374</v>
      </c>
      <c r="F5" s="175" t="s">
        <v>375</v>
      </c>
      <c r="G5" s="1229"/>
      <c r="H5" s="1214"/>
      <c r="I5" s="1226"/>
      <c r="J5" s="1217"/>
      <c r="K5" s="1224"/>
      <c r="L5" s="1224"/>
      <c r="M5" s="175" t="s">
        <v>374</v>
      </c>
      <c r="N5" s="175" t="s">
        <v>375</v>
      </c>
      <c r="O5" s="1229"/>
      <c r="P5" s="1214"/>
    </row>
    <row r="6" spans="1:16">
      <c r="A6" s="1222"/>
      <c r="B6" s="1233"/>
      <c r="C6" s="176" t="s">
        <v>367</v>
      </c>
      <c r="D6" s="176" t="s">
        <v>368</v>
      </c>
      <c r="E6" s="176" t="s">
        <v>369</v>
      </c>
      <c r="F6" s="176" t="s">
        <v>370</v>
      </c>
      <c r="G6" s="1230"/>
      <c r="H6" s="1215"/>
      <c r="I6" s="1227"/>
      <c r="J6" s="1218"/>
      <c r="K6" s="176" t="s">
        <v>367</v>
      </c>
      <c r="L6" s="176" t="s">
        <v>368</v>
      </c>
      <c r="M6" s="176" t="s">
        <v>369</v>
      </c>
      <c r="N6" s="176" t="s">
        <v>370</v>
      </c>
      <c r="O6" s="1230"/>
      <c r="P6" s="1215"/>
    </row>
    <row r="7" spans="1:16" ht="13.9" customHeight="1">
      <c r="A7" s="180" t="str">
        <f>报表格式!B5</f>
        <v>流动资产：</v>
      </c>
      <c r="B7" s="181">
        <v>1</v>
      </c>
      <c r="C7" s="252"/>
      <c r="D7" s="252"/>
      <c r="E7" s="253"/>
      <c r="F7" s="253"/>
      <c r="G7" s="182"/>
      <c r="H7" s="190"/>
      <c r="I7" s="186" t="str">
        <f>报表格式!G5</f>
        <v>流动负债：</v>
      </c>
      <c r="J7" s="258">
        <f>B64+1</f>
        <v>1</v>
      </c>
      <c r="K7" s="250"/>
      <c r="L7" s="250"/>
      <c r="M7" s="182"/>
      <c r="N7" s="264"/>
      <c r="O7" s="264"/>
      <c r="P7" s="603"/>
    </row>
    <row r="8" spans="1:16" ht="13.9" customHeight="1">
      <c r="A8" s="129" t="str">
        <f>报表格式!B6</f>
        <v>货币资金</v>
      </c>
      <c r="B8" s="130">
        <f>B7+1</f>
        <v>2</v>
      </c>
      <c r="C8" s="254">
        <f>年初BS审定!F7</f>
        <v>0</v>
      </c>
      <c r="D8" s="254">
        <f>审定合并BS!H7</f>
        <v>0</v>
      </c>
      <c r="E8" s="254">
        <f>D8-C8</f>
        <v>0</v>
      </c>
      <c r="F8" s="255" t="str">
        <f>IF(AND(C8=0,D8=0),"",IF(C8=0,100%,IF(D8=0,-100%,E8/C8)))</f>
        <v/>
      </c>
      <c r="G8" s="251" t="str">
        <f>IF(F8="","",IF(OR(ABS(F8)&gt;=30%,ABS(E8)&gt;=$D$60*5%,ABS(E8)&gt;=母已审横向PL!$D$39*10%),"显著",IF(ABS(F8)&gt;=10%,"关注","")))</f>
        <v/>
      </c>
      <c r="H8" s="132"/>
      <c r="I8" s="187" t="str">
        <f>报表格式!G6</f>
        <v>短期借款</v>
      </c>
      <c r="J8" s="131">
        <f t="shared" ref="J8:J50" si="0">J7+1</f>
        <v>2</v>
      </c>
      <c r="K8" s="254">
        <f>年初BS审定!F62</f>
        <v>0</v>
      </c>
      <c r="L8" s="254">
        <f>审定合并BS!H67</f>
        <v>0</v>
      </c>
      <c r="M8" s="254">
        <f>L8-K8</f>
        <v>0</v>
      </c>
      <c r="N8" s="255" t="str">
        <f>IF(AND(K8=0,L8=0),"",IF(K8=0,100%,IF(L8=0,-100%,M8/K8)))</f>
        <v/>
      </c>
      <c r="O8" s="251" t="str">
        <f>IF(N8="","",IF(OR(ABS(N8)&gt;=30%,ABS(M8)&gt;=$D$60*5%,ABS(M8)&gt;=母已审横向PL!$D$39*10%),"显著",IF(ABS(N8)&gt;=10%,"关注","")))</f>
        <v/>
      </c>
      <c r="P8" s="604"/>
    </row>
    <row r="9" spans="1:16" ht="13.9" customHeight="1">
      <c r="A9" s="129" t="str">
        <f>报表格式!B7</f>
        <v>结算备付金</v>
      </c>
      <c r="B9" s="130">
        <f t="shared" ref="B9:B11" si="1">B8+1</f>
        <v>3</v>
      </c>
      <c r="C9" s="254">
        <f>年初BS审定!F8</f>
        <v>0</v>
      </c>
      <c r="D9" s="254">
        <f>审定合并BS!H8</f>
        <v>0</v>
      </c>
      <c r="E9" s="254">
        <f t="shared" ref="E9:E11" si="2">D9-C9</f>
        <v>0</v>
      </c>
      <c r="F9" s="255" t="str">
        <f t="shared" ref="F9:F11" si="3">IF(AND(C9=0,D9=0),"",IF(C9=0,100%,IF(D9=0,-100%,E9/C9)))</f>
        <v/>
      </c>
      <c r="G9" s="251" t="str">
        <f>IF(F9="","",IF(OR(ABS(F9)&gt;=30%,ABS(E9)&gt;=$D$60*5%,ABS(E9)&gt;=母已审横向PL!$D$39*10%),"显著",IF(ABS(F9)&gt;=10%,"关注","")))</f>
        <v/>
      </c>
      <c r="H9" s="132"/>
      <c r="I9" s="187" t="str">
        <f>报表格式!G7</f>
        <v>向中央银行借款</v>
      </c>
      <c r="J9" s="131">
        <f t="shared" si="0"/>
        <v>3</v>
      </c>
      <c r="K9" s="254">
        <f>年初BS审定!F63</f>
        <v>0</v>
      </c>
      <c r="L9" s="254">
        <f>审定合并BS!H68</f>
        <v>0</v>
      </c>
      <c r="M9" s="254">
        <f t="shared" ref="M9:M12" si="4">L9-K9</f>
        <v>0</v>
      </c>
      <c r="N9" s="255" t="str">
        <f t="shared" ref="N9:N12" si="5">IF(AND(K9=0,L9=0),"",IF(K9=0,100%,IF(L9=0,-100%,M9/K9)))</f>
        <v/>
      </c>
      <c r="O9" s="251" t="str">
        <f>IF(N9="","",IF(OR(ABS(N9)&gt;=30%,ABS(M9)&gt;=$D$60*5%,ABS(M9)&gt;=母已审横向PL!$D$39*10%),"显著",IF(ABS(N9)&gt;=10%,"关注","")))</f>
        <v/>
      </c>
      <c r="P9" s="604"/>
    </row>
    <row r="10" spans="1:16" ht="13.9" customHeight="1">
      <c r="A10" s="129" t="str">
        <f>报表格式!B8</f>
        <v>拆出资金</v>
      </c>
      <c r="B10" s="130">
        <f t="shared" si="1"/>
        <v>4</v>
      </c>
      <c r="C10" s="254">
        <f>年初BS审定!F9</f>
        <v>0</v>
      </c>
      <c r="D10" s="254">
        <f>审定合并BS!H9</f>
        <v>0</v>
      </c>
      <c r="E10" s="254">
        <f t="shared" si="2"/>
        <v>0</v>
      </c>
      <c r="F10" s="255" t="str">
        <f t="shared" si="3"/>
        <v/>
      </c>
      <c r="G10" s="251" t="str">
        <f>IF(F10="","",IF(OR(ABS(F10)&gt;=30%,ABS(E10)&gt;=$D$60*5%,ABS(E10)&gt;=母已审横向PL!$D$39*10%),"显著",IF(ABS(F10)&gt;=10%,"关注","")))</f>
        <v/>
      </c>
      <c r="H10" s="132"/>
      <c r="I10" s="187" t="str">
        <f>报表格式!G8</f>
        <v>吸收存款及同业存放</v>
      </c>
      <c r="J10" s="131">
        <f t="shared" si="0"/>
        <v>4</v>
      </c>
      <c r="K10" s="254">
        <f>年初BS审定!F64</f>
        <v>0</v>
      </c>
      <c r="L10" s="254">
        <f>审定合并BS!H69</f>
        <v>0</v>
      </c>
      <c r="M10" s="254">
        <f t="shared" si="4"/>
        <v>0</v>
      </c>
      <c r="N10" s="255" t="str">
        <f t="shared" si="5"/>
        <v/>
      </c>
      <c r="O10" s="251" t="str">
        <f>IF(N10="","",IF(OR(ABS(N10)&gt;=30%,ABS(M10)&gt;=$D$60*5%,ABS(M10)&gt;=母已审横向PL!$D$39*10%),"显著",IF(ABS(N10)&gt;=10%,"关注","")))</f>
        <v/>
      </c>
      <c r="P10" s="604"/>
    </row>
    <row r="11" spans="1:16" ht="13.9" customHeight="1">
      <c r="A11" s="129" t="str">
        <f>报表格式!B9</f>
        <v>交易性金融资产</v>
      </c>
      <c r="B11" s="130">
        <f t="shared" si="1"/>
        <v>5</v>
      </c>
      <c r="C11" s="254">
        <f>年初BS审定!F10</f>
        <v>0</v>
      </c>
      <c r="D11" s="254">
        <f>审定合并BS!H10</f>
        <v>0</v>
      </c>
      <c r="E11" s="254">
        <f t="shared" si="2"/>
        <v>0</v>
      </c>
      <c r="F11" s="255" t="str">
        <f t="shared" si="3"/>
        <v/>
      </c>
      <c r="G11" s="251" t="str">
        <f>IF(F11="","",IF(OR(ABS(F11)&gt;=30%,ABS(E11)&gt;=$D$60*5%,ABS(E11)&gt;=母已审横向PL!$D$39*10%),"显著",IF(ABS(F11)&gt;=10%,"关注","")))</f>
        <v/>
      </c>
      <c r="H11" s="132"/>
      <c r="I11" s="187" t="str">
        <f>报表格式!G9</f>
        <v>拆入资金</v>
      </c>
      <c r="J11" s="131">
        <f t="shared" si="0"/>
        <v>5</v>
      </c>
      <c r="K11" s="254">
        <f>年初BS审定!F65</f>
        <v>0</v>
      </c>
      <c r="L11" s="254">
        <f>审定合并BS!H70</f>
        <v>0</v>
      </c>
      <c r="M11" s="254">
        <f t="shared" si="4"/>
        <v>0</v>
      </c>
      <c r="N11" s="255" t="str">
        <f t="shared" si="5"/>
        <v/>
      </c>
      <c r="O11" s="251" t="str">
        <f>IF(N11="","",IF(OR(ABS(N11)&gt;=30%,ABS(M11)&gt;=$D$60*5%,ABS(M11)&gt;=母已审横向PL!$D$39*10%),"显著",IF(ABS(N11)&gt;=10%,"关注","")))</f>
        <v/>
      </c>
      <c r="P11" s="604"/>
    </row>
    <row r="12" spans="1:16" ht="13.9" customHeight="1">
      <c r="A12" s="129" t="str">
        <f>报表格式!B10</f>
        <v>以公允价值计量且其变动计入当期损益的金融资产</v>
      </c>
      <c r="B12" s="130">
        <f t="shared" ref="B12:B60" si="6">B11+1</f>
        <v>6</v>
      </c>
      <c r="C12" s="254">
        <f>年初BS审定!F11</f>
        <v>0</v>
      </c>
      <c r="D12" s="254">
        <f>审定合并BS!H11</f>
        <v>0</v>
      </c>
      <c r="E12" s="254">
        <f t="shared" ref="E12:E25" si="7">D12-C12</f>
        <v>0</v>
      </c>
      <c r="F12" s="255" t="str">
        <f t="shared" ref="F12:F25" si="8">IF(AND(C12=0,D12=0),"",IF(C12=0,100%,IF(D12=0,-100%,E12/C12)))</f>
        <v/>
      </c>
      <c r="G12" s="251" t="str">
        <f>IF(F12="","",IF(OR(ABS(F12)&gt;=30%,ABS(E12)&gt;=$D$60*5%,ABS(E12)&gt;=母已审横向PL!$D$39*10%),"显著",IF(ABS(F12)&gt;=10%,"关注","")))</f>
        <v/>
      </c>
      <c r="H12" s="132"/>
      <c r="I12" s="187" t="str">
        <f>报表格式!G10</f>
        <v>交易性金融负债</v>
      </c>
      <c r="J12" s="131">
        <f t="shared" si="0"/>
        <v>6</v>
      </c>
      <c r="K12" s="254">
        <f>年初BS审定!F66</f>
        <v>0</v>
      </c>
      <c r="L12" s="254">
        <f>审定合并BS!H71</f>
        <v>0</v>
      </c>
      <c r="M12" s="254">
        <f t="shared" si="4"/>
        <v>0</v>
      </c>
      <c r="N12" s="255" t="str">
        <f t="shared" si="5"/>
        <v/>
      </c>
      <c r="O12" s="251" t="str">
        <f>IF(N12="","",IF(OR(ABS(N12)&gt;=30%,ABS(M12)&gt;=$D$60*5%,ABS(M12)&gt;=母已审横向PL!$D$39*10%),"显著",IF(ABS(N12)&gt;=10%,"关注","")))</f>
        <v/>
      </c>
      <c r="P12" s="604"/>
    </row>
    <row r="13" spans="1:16" ht="13.9" customHeight="1">
      <c r="A13" s="129" t="str">
        <f>报表格式!B11</f>
        <v>衍生金融资产</v>
      </c>
      <c r="B13" s="130">
        <f t="shared" si="6"/>
        <v>7</v>
      </c>
      <c r="C13" s="254">
        <f>年初BS审定!F12</f>
        <v>0</v>
      </c>
      <c r="D13" s="254">
        <f>审定合并BS!H12</f>
        <v>0</v>
      </c>
      <c r="E13" s="254">
        <f t="shared" si="7"/>
        <v>0</v>
      </c>
      <c r="F13" s="255" t="str">
        <f t="shared" si="8"/>
        <v/>
      </c>
      <c r="G13" s="251" t="str">
        <f>IF(F13="","",IF(OR(ABS(F13)&gt;=30%,ABS(E13)&gt;=$D$60*5%,ABS(E13)&gt;=母已审横向PL!$D$39*10%),"显著",IF(ABS(F13)&gt;=10%,"关注","")))</f>
        <v/>
      </c>
      <c r="H13" s="132"/>
      <c r="I13" s="187" t="str">
        <f>报表格式!G11</f>
        <v>以公允价值计量且其变动计入当期损益的金融负债</v>
      </c>
      <c r="J13" s="131">
        <f t="shared" si="0"/>
        <v>7</v>
      </c>
      <c r="K13" s="254">
        <f>年初BS审定!F67</f>
        <v>0</v>
      </c>
      <c r="L13" s="254">
        <f>审定合并BS!H72</f>
        <v>0</v>
      </c>
      <c r="M13" s="254">
        <f t="shared" ref="M13:M25" si="9">L13-K13</f>
        <v>0</v>
      </c>
      <c r="N13" s="255" t="str">
        <f t="shared" ref="N13:N25" si="10">IF(AND(K13=0,L13=0),"",IF(K13=0,100%,IF(L13=0,-100%,M13/K13)))</f>
        <v/>
      </c>
      <c r="O13" s="251" t="str">
        <f>IF(N13="","",IF(OR(ABS(N13)&gt;=30%,ABS(M13)&gt;=$D$60*5%,ABS(M13)&gt;=母已审横向PL!$D$39*10%),"显著",IF(ABS(N13)&gt;=10%,"关注","")))</f>
        <v/>
      </c>
      <c r="P13" s="604"/>
    </row>
    <row r="14" spans="1:16" ht="13.9" customHeight="1">
      <c r="A14" s="129" t="str">
        <f>报表格式!B12</f>
        <v>应收票据</v>
      </c>
      <c r="B14" s="130">
        <f t="shared" si="6"/>
        <v>8</v>
      </c>
      <c r="C14" s="254">
        <f>年初BS审定!F13</f>
        <v>0</v>
      </c>
      <c r="D14" s="254">
        <f>审定合并BS!H13</f>
        <v>0</v>
      </c>
      <c r="E14" s="254">
        <f t="shared" si="7"/>
        <v>0</v>
      </c>
      <c r="F14" s="255" t="str">
        <f t="shared" si="8"/>
        <v/>
      </c>
      <c r="G14" s="251" t="str">
        <f>IF(F14="","",IF(OR(ABS(F14)&gt;=30%,ABS(E14)&gt;=$D$60*5%,ABS(E14)&gt;=母已审横向PL!$D$39*10%),"显著",IF(ABS(F14)&gt;=10%,"关注","")))</f>
        <v/>
      </c>
      <c r="H14" s="132"/>
      <c r="I14" s="187" t="str">
        <f>报表格式!G12</f>
        <v>衍生金融负债</v>
      </c>
      <c r="J14" s="131">
        <f t="shared" si="0"/>
        <v>8</v>
      </c>
      <c r="K14" s="254">
        <f>年初BS审定!F68</f>
        <v>0</v>
      </c>
      <c r="L14" s="254">
        <f>审定合并BS!H73</f>
        <v>0</v>
      </c>
      <c r="M14" s="254">
        <f t="shared" si="9"/>
        <v>0</v>
      </c>
      <c r="N14" s="255" t="str">
        <f t="shared" si="10"/>
        <v/>
      </c>
      <c r="O14" s="251" t="str">
        <f>IF(N14="","",IF(OR(ABS(N14)&gt;=30%,ABS(M14)&gt;=$D$60*5%,ABS(M14)&gt;=母已审横向PL!$D$39*10%),"显著",IF(ABS(N14)&gt;=10%,"关注","")))</f>
        <v/>
      </c>
      <c r="P14" s="604"/>
    </row>
    <row r="15" spans="1:16" ht="13.9" customHeight="1">
      <c r="A15" s="129" t="str">
        <f>报表格式!B13</f>
        <v>应收账款</v>
      </c>
      <c r="B15" s="130">
        <f t="shared" si="6"/>
        <v>9</v>
      </c>
      <c r="C15" s="254">
        <f>年初BS审定!F14</f>
        <v>0</v>
      </c>
      <c r="D15" s="254">
        <f>审定合并BS!H14</f>
        <v>0</v>
      </c>
      <c r="E15" s="254">
        <f t="shared" si="7"/>
        <v>0</v>
      </c>
      <c r="F15" s="255" t="str">
        <f t="shared" si="8"/>
        <v/>
      </c>
      <c r="G15" s="251" t="str">
        <f>IF(F15="","",IF(OR(ABS(F15)&gt;=30%,ABS(E15)&gt;=$D$60*5%,ABS(E15)&gt;=母已审横向PL!$D$39*10%),"显著",IF(ABS(F15)&gt;=10%,"关注","")))</f>
        <v/>
      </c>
      <c r="H15" s="132"/>
      <c r="I15" s="187" t="str">
        <f>报表格式!G13</f>
        <v>应付票据</v>
      </c>
      <c r="J15" s="131">
        <f t="shared" si="0"/>
        <v>9</v>
      </c>
      <c r="K15" s="254">
        <f>年初BS审定!F69</f>
        <v>0</v>
      </c>
      <c r="L15" s="254">
        <f>审定合并BS!H74</f>
        <v>0</v>
      </c>
      <c r="M15" s="254">
        <f t="shared" si="9"/>
        <v>0</v>
      </c>
      <c r="N15" s="255" t="str">
        <f t="shared" si="10"/>
        <v/>
      </c>
      <c r="O15" s="251" t="str">
        <f>IF(N15="","",IF(OR(ABS(N15)&gt;=30%,ABS(M15)&gt;=$D$60*5%,ABS(M15)&gt;=母已审横向PL!$D$39*10%),"显著",IF(ABS(N15)&gt;=10%,"关注","")))</f>
        <v/>
      </c>
      <c r="P15" s="604"/>
    </row>
    <row r="16" spans="1:16" ht="13.9" customHeight="1">
      <c r="A16" s="129" t="str">
        <f>报表格式!B14</f>
        <v>应收款项融资</v>
      </c>
      <c r="B16" s="130">
        <f t="shared" si="6"/>
        <v>10</v>
      </c>
      <c r="C16" s="254">
        <f>年初BS审定!F15</f>
        <v>0</v>
      </c>
      <c r="D16" s="254">
        <f>审定合并BS!H15</f>
        <v>0</v>
      </c>
      <c r="E16" s="254">
        <f t="shared" si="7"/>
        <v>0</v>
      </c>
      <c r="F16" s="255" t="str">
        <f t="shared" si="8"/>
        <v/>
      </c>
      <c r="G16" s="251" t="str">
        <f>IF(F16="","",IF(OR(ABS(F16)&gt;=30%,ABS(E16)&gt;=$D$60*5%,ABS(E16)&gt;=母已审横向PL!$D$39*10%),"显著",IF(ABS(F16)&gt;=10%,"关注","")))</f>
        <v/>
      </c>
      <c r="H16" s="132"/>
      <c r="I16" s="187" t="str">
        <f>报表格式!G14</f>
        <v>应付账款</v>
      </c>
      <c r="J16" s="131">
        <f t="shared" si="0"/>
        <v>10</v>
      </c>
      <c r="K16" s="254">
        <f>年初BS审定!F70</f>
        <v>0</v>
      </c>
      <c r="L16" s="254">
        <f>审定合并BS!H75</f>
        <v>0</v>
      </c>
      <c r="M16" s="254">
        <f t="shared" si="9"/>
        <v>0</v>
      </c>
      <c r="N16" s="255" t="str">
        <f t="shared" si="10"/>
        <v/>
      </c>
      <c r="O16" s="251" t="str">
        <f>IF(N16="","",IF(OR(ABS(N16)&gt;=30%,ABS(M16)&gt;=$D$60*5%,ABS(M16)&gt;=母已审横向PL!$D$39*10%),"显著",IF(ABS(N16)&gt;=10%,"关注","")))</f>
        <v/>
      </c>
      <c r="P16" s="604"/>
    </row>
    <row r="17" spans="1:16" ht="13.9" customHeight="1">
      <c r="A17" s="129" t="str">
        <f>报表格式!B15</f>
        <v>预付款项</v>
      </c>
      <c r="B17" s="130">
        <f t="shared" si="6"/>
        <v>11</v>
      </c>
      <c r="C17" s="254">
        <f>年初BS审定!F16</f>
        <v>0</v>
      </c>
      <c r="D17" s="254">
        <f>审定合并BS!H16</f>
        <v>0</v>
      </c>
      <c r="E17" s="254">
        <f t="shared" si="7"/>
        <v>0</v>
      </c>
      <c r="F17" s="255" t="str">
        <f t="shared" si="8"/>
        <v/>
      </c>
      <c r="G17" s="251" t="str">
        <f>IF(F17="","",IF(OR(ABS(F17)&gt;=30%,ABS(E17)&gt;=$D$60*5%,ABS(E17)&gt;=母已审横向PL!$D$39*10%),"显著",IF(ABS(F17)&gt;=10%,"关注","")))</f>
        <v/>
      </c>
      <c r="H17" s="132"/>
      <c r="I17" s="187" t="str">
        <f>报表格式!G15</f>
        <v>预收款项</v>
      </c>
      <c r="J17" s="131">
        <f t="shared" si="0"/>
        <v>11</v>
      </c>
      <c r="K17" s="254">
        <f>年初BS审定!F71</f>
        <v>0</v>
      </c>
      <c r="L17" s="254">
        <f>审定合并BS!H76</f>
        <v>0</v>
      </c>
      <c r="M17" s="254">
        <f t="shared" si="9"/>
        <v>0</v>
      </c>
      <c r="N17" s="255" t="str">
        <f t="shared" si="10"/>
        <v/>
      </c>
      <c r="O17" s="251" t="str">
        <f>IF(N17="","",IF(OR(ABS(N17)&gt;=30%,ABS(M17)&gt;=$D$60*5%,ABS(M17)&gt;=母已审横向PL!$D$39*10%),"显著",IF(ABS(N17)&gt;=10%,"关注","")))</f>
        <v/>
      </c>
      <c r="P17" s="604"/>
    </row>
    <row r="18" spans="1:16" ht="13.9" customHeight="1">
      <c r="A18" s="129" t="str">
        <f>报表格式!B16</f>
        <v>应收保费</v>
      </c>
      <c r="B18" s="130">
        <f t="shared" si="6"/>
        <v>12</v>
      </c>
      <c r="C18" s="254">
        <f>年初BS审定!F17</f>
        <v>0</v>
      </c>
      <c r="D18" s="254">
        <f>审定合并BS!H17</f>
        <v>0</v>
      </c>
      <c r="E18" s="254">
        <f t="shared" ref="E18:E21" si="11">D18-C18</f>
        <v>0</v>
      </c>
      <c r="F18" s="255" t="str">
        <f t="shared" ref="F18:F21" si="12">IF(AND(C18=0,D18=0),"",IF(C18=0,100%,IF(D18=0,-100%,E18/C18)))</f>
        <v/>
      </c>
      <c r="G18" s="251" t="str">
        <f>IF(F18="","",IF(OR(ABS(F18)&gt;=30%,ABS(E18)&gt;=$D$60*5%,ABS(E18)&gt;=母已审横向PL!$D$39*10%),"显著",IF(ABS(F18)&gt;=10%,"关注","")))</f>
        <v/>
      </c>
      <c r="H18" s="132"/>
      <c r="I18" s="187" t="str">
        <f>报表格式!G16</f>
        <v>卖出回购金融资产款</v>
      </c>
      <c r="J18" s="131">
        <f t="shared" si="0"/>
        <v>12</v>
      </c>
      <c r="K18" s="254">
        <f>年初BS审定!F72</f>
        <v>0</v>
      </c>
      <c r="L18" s="254">
        <f>审定合并BS!H77</f>
        <v>0</v>
      </c>
      <c r="M18" s="254">
        <f t="shared" ref="M18:M20" si="13">L18-K18</f>
        <v>0</v>
      </c>
      <c r="N18" s="255" t="str">
        <f t="shared" ref="N18:N20" si="14">IF(AND(K18=0,L18=0),"",IF(K18=0,100%,IF(L18=0,-100%,M18/K18)))</f>
        <v/>
      </c>
      <c r="O18" s="251" t="str">
        <f>IF(N18="","",IF(OR(ABS(N18)&gt;=30%,ABS(M18)&gt;=$D$60*5%,ABS(M18)&gt;=母已审横向PL!$D$39*10%),"显著",IF(ABS(N18)&gt;=10%,"关注","")))</f>
        <v/>
      </c>
      <c r="P18" s="604"/>
    </row>
    <row r="19" spans="1:16" ht="13.9" customHeight="1">
      <c r="A19" s="129" t="str">
        <f>报表格式!B17</f>
        <v>应收分保账款</v>
      </c>
      <c r="B19" s="130">
        <f t="shared" si="6"/>
        <v>13</v>
      </c>
      <c r="C19" s="254">
        <f>年初BS审定!F18</f>
        <v>0</v>
      </c>
      <c r="D19" s="254">
        <f>审定合并BS!H18</f>
        <v>0</v>
      </c>
      <c r="E19" s="254">
        <f t="shared" si="11"/>
        <v>0</v>
      </c>
      <c r="F19" s="255" t="str">
        <f t="shared" si="12"/>
        <v/>
      </c>
      <c r="G19" s="251" t="str">
        <f>IF(F19="","",IF(OR(ABS(F19)&gt;=30%,ABS(E19)&gt;=$D$60*5%,ABS(E19)&gt;=母已审横向PL!$D$39*10%),"显著",IF(ABS(F19)&gt;=10%,"关注","")))</f>
        <v/>
      </c>
      <c r="H19" s="132"/>
      <c r="I19" s="187" t="str">
        <f>报表格式!G17</f>
        <v>应付手续费及佣金</v>
      </c>
      <c r="J19" s="131">
        <f t="shared" si="0"/>
        <v>13</v>
      </c>
      <c r="K19" s="254">
        <f>年初BS审定!F73</f>
        <v>0</v>
      </c>
      <c r="L19" s="254">
        <f>审定合并BS!H78</f>
        <v>0</v>
      </c>
      <c r="M19" s="254">
        <f t="shared" si="13"/>
        <v>0</v>
      </c>
      <c r="N19" s="255" t="str">
        <f t="shared" si="14"/>
        <v/>
      </c>
      <c r="O19" s="251" t="str">
        <f>IF(N19="","",IF(OR(ABS(N19)&gt;=30%,ABS(M19)&gt;=$D$60*5%,ABS(M19)&gt;=母已审横向PL!$D$39*10%),"显著",IF(ABS(N19)&gt;=10%,"关注","")))</f>
        <v/>
      </c>
      <c r="P19" s="604"/>
    </row>
    <row r="20" spans="1:16" ht="13.9" customHeight="1">
      <c r="A20" s="129" t="str">
        <f>报表格式!B18</f>
        <v>应收分保准备金</v>
      </c>
      <c r="B20" s="130">
        <f t="shared" si="6"/>
        <v>14</v>
      </c>
      <c r="C20" s="254">
        <f>年初BS审定!F19</f>
        <v>0</v>
      </c>
      <c r="D20" s="254">
        <f>审定合并BS!H19</f>
        <v>0</v>
      </c>
      <c r="E20" s="254">
        <f t="shared" si="11"/>
        <v>0</v>
      </c>
      <c r="F20" s="255" t="str">
        <f t="shared" si="12"/>
        <v/>
      </c>
      <c r="G20" s="251" t="str">
        <f>IF(F20="","",IF(OR(ABS(F20)&gt;=30%,ABS(E20)&gt;=$D$60*5%,ABS(E20)&gt;=母已审横向PL!$D$39*10%),"显著",IF(ABS(F20)&gt;=10%,"关注","")))</f>
        <v/>
      </c>
      <c r="H20" s="132"/>
      <c r="I20" s="187" t="str">
        <f>报表格式!G18</f>
        <v>合同负债</v>
      </c>
      <c r="J20" s="131">
        <f t="shared" si="0"/>
        <v>14</v>
      </c>
      <c r="K20" s="254">
        <f>年初BS审定!F74</f>
        <v>0</v>
      </c>
      <c r="L20" s="254">
        <f>审定合并BS!H79</f>
        <v>0</v>
      </c>
      <c r="M20" s="254">
        <f t="shared" si="13"/>
        <v>0</v>
      </c>
      <c r="N20" s="255" t="str">
        <f t="shared" si="14"/>
        <v/>
      </c>
      <c r="O20" s="251" t="str">
        <f>IF(N20="","",IF(OR(ABS(N20)&gt;=30%,ABS(M20)&gt;=$D$60*5%,ABS(M20)&gt;=母已审横向PL!$D$39*10%),"显著",IF(ABS(N20)&gt;=10%,"关注","")))</f>
        <v/>
      </c>
      <c r="P20" s="604"/>
    </row>
    <row r="21" spans="1:16" ht="13.9" customHeight="1">
      <c r="A21" s="129" t="str">
        <f>报表格式!B19</f>
        <v>其他应收款</v>
      </c>
      <c r="B21" s="130">
        <f t="shared" si="6"/>
        <v>15</v>
      </c>
      <c r="C21" s="254">
        <f>年初BS审定!F20</f>
        <v>0</v>
      </c>
      <c r="D21" s="254">
        <f>审定合并BS!H20</f>
        <v>0</v>
      </c>
      <c r="E21" s="254">
        <f t="shared" si="11"/>
        <v>0</v>
      </c>
      <c r="F21" s="255" t="str">
        <f t="shared" si="12"/>
        <v/>
      </c>
      <c r="G21" s="251" t="str">
        <f>IF(F21="","",IF(OR(ABS(F21)&gt;=30%,ABS(E21)&gt;=$D$60*5%,ABS(E21)&gt;=母已审横向PL!$D$39*10%),"显著",IF(ABS(F21)&gt;=10%,"关注","")))</f>
        <v/>
      </c>
      <c r="H21" s="132"/>
      <c r="I21" s="187" t="str">
        <f>报表格式!G19</f>
        <v>应付职工薪酬</v>
      </c>
      <c r="J21" s="131">
        <f t="shared" si="0"/>
        <v>15</v>
      </c>
      <c r="K21" s="254">
        <f>年初BS审定!F75</f>
        <v>0</v>
      </c>
      <c r="L21" s="254">
        <f>审定合并BS!H80</f>
        <v>0</v>
      </c>
      <c r="M21" s="254">
        <f t="shared" si="9"/>
        <v>0</v>
      </c>
      <c r="N21" s="255" t="str">
        <f t="shared" si="10"/>
        <v/>
      </c>
      <c r="O21" s="251" t="str">
        <f>IF(N21="","",IF(OR(ABS(N21)&gt;=30%,ABS(M21)&gt;=$D$60*5%,ABS(M21)&gt;=母已审横向PL!$D$39*10%),"显著",IF(ABS(N21)&gt;=10%,"关注","")))</f>
        <v/>
      </c>
      <c r="P21" s="604"/>
    </row>
    <row r="22" spans="1:16" ht="13.9" customHeight="1">
      <c r="A22" s="129" t="str">
        <f>报表格式!B20</f>
        <v xml:space="preserve">  其中：应收利息</v>
      </c>
      <c r="B22" s="130">
        <f t="shared" si="6"/>
        <v>16</v>
      </c>
      <c r="C22" s="254">
        <f>年初BS审定!F21</f>
        <v>0</v>
      </c>
      <c r="D22" s="254">
        <f>审定合并BS!H21</f>
        <v>0</v>
      </c>
      <c r="E22" s="254">
        <f t="shared" si="7"/>
        <v>0</v>
      </c>
      <c r="F22" s="255" t="str">
        <f t="shared" si="8"/>
        <v/>
      </c>
      <c r="G22" s="251" t="str">
        <f>IF(F22="","",IF(OR(ABS(F22)&gt;=30%,ABS(E22)&gt;=$D$60*5%,ABS(E22)&gt;=母已审横向PL!$D$39*10%),"显著",IF(ABS(F22)&gt;=10%,"关注","")))</f>
        <v/>
      </c>
      <c r="H22" s="132"/>
      <c r="I22" s="187" t="str">
        <f>报表格式!G20</f>
        <v>应交税费</v>
      </c>
      <c r="J22" s="131">
        <f t="shared" si="0"/>
        <v>16</v>
      </c>
      <c r="K22" s="254">
        <f>年初BS审定!F76</f>
        <v>0</v>
      </c>
      <c r="L22" s="254">
        <f>审定合并BS!H81</f>
        <v>0</v>
      </c>
      <c r="M22" s="254">
        <f t="shared" si="9"/>
        <v>0</v>
      </c>
      <c r="N22" s="255" t="str">
        <f t="shared" si="10"/>
        <v/>
      </c>
      <c r="O22" s="251" t="str">
        <f>IF(N22="","",IF(OR(ABS(N22)&gt;=30%,ABS(M22)&gt;=$D$60*5%,ABS(M22)&gt;=母已审横向PL!$D$39*10%),"显著",IF(ABS(N22)&gt;=10%,"关注","")))</f>
        <v/>
      </c>
      <c r="P22" s="604"/>
    </row>
    <row r="23" spans="1:16" ht="13.9" customHeight="1">
      <c r="A23" s="129" t="str">
        <f>报表格式!B21</f>
        <v xml:space="preserve">        应收股利</v>
      </c>
      <c r="B23" s="130">
        <f t="shared" si="6"/>
        <v>17</v>
      </c>
      <c r="C23" s="254">
        <f>年初BS审定!F22</f>
        <v>0</v>
      </c>
      <c r="D23" s="254">
        <f>审定合并BS!H22</f>
        <v>0</v>
      </c>
      <c r="E23" s="254">
        <f t="shared" si="7"/>
        <v>0</v>
      </c>
      <c r="F23" s="255" t="str">
        <f t="shared" si="8"/>
        <v/>
      </c>
      <c r="G23" s="251" t="str">
        <f>IF(F23="","",IF(OR(ABS(F23)&gt;=30%,ABS(E23)&gt;=$D$60*5%,ABS(E23)&gt;=母已审横向PL!$D$39*10%),"显著",IF(ABS(F23)&gt;=10%,"关注","")))</f>
        <v/>
      </c>
      <c r="H23" s="132"/>
      <c r="I23" s="187" t="str">
        <f>报表格式!G21</f>
        <v>其他应付款</v>
      </c>
      <c r="J23" s="131">
        <f t="shared" si="0"/>
        <v>17</v>
      </c>
      <c r="K23" s="254">
        <f>年初BS审定!F77</f>
        <v>0</v>
      </c>
      <c r="L23" s="254">
        <f>审定合并BS!H82</f>
        <v>0</v>
      </c>
      <c r="M23" s="254">
        <f t="shared" si="9"/>
        <v>0</v>
      </c>
      <c r="N23" s="255" t="str">
        <f t="shared" si="10"/>
        <v/>
      </c>
      <c r="O23" s="251" t="str">
        <f>IF(N23="","",IF(OR(ABS(N23)&gt;=30%,ABS(M23)&gt;=$D$60*5%,ABS(M23)&gt;=母已审横向PL!$D$39*10%),"显著",IF(ABS(N23)&gt;=10%,"关注","")))</f>
        <v/>
      </c>
      <c r="P23" s="604"/>
    </row>
    <row r="24" spans="1:16" ht="13.9" customHeight="1">
      <c r="A24" s="129" t="str">
        <f>报表格式!B22</f>
        <v>买入返售金融资产</v>
      </c>
      <c r="B24" s="130">
        <f t="shared" si="6"/>
        <v>18</v>
      </c>
      <c r="C24" s="254">
        <f>年初BS审定!F23</f>
        <v>0</v>
      </c>
      <c r="D24" s="254">
        <f>审定合并BS!H23</f>
        <v>0</v>
      </c>
      <c r="E24" s="254">
        <f t="shared" ref="E24" si="15">D24-C24</f>
        <v>0</v>
      </c>
      <c r="F24" s="255" t="str">
        <f t="shared" ref="F24" si="16">IF(AND(C24=0,D24=0),"",IF(C24=0,100%,IF(D24=0,-100%,E24/C24)))</f>
        <v/>
      </c>
      <c r="G24" s="251" t="str">
        <f>IF(F24="","",IF(OR(ABS(F24)&gt;=30%,ABS(E24)&gt;=$D$60*5%,ABS(E24)&gt;=母已审横向PL!$D$39*10%),"显著",IF(ABS(F24)&gt;=10%,"关注","")))</f>
        <v/>
      </c>
      <c r="H24" s="132"/>
      <c r="I24" s="187" t="str">
        <f>报表格式!G22</f>
        <v xml:space="preserve">  其中：应付利息</v>
      </c>
      <c r="J24" s="131">
        <f t="shared" si="0"/>
        <v>18</v>
      </c>
      <c r="K24" s="254">
        <f>年初BS审定!F78</f>
        <v>0</v>
      </c>
      <c r="L24" s="254">
        <f>审定合并BS!H83</f>
        <v>0</v>
      </c>
      <c r="M24" s="254">
        <f t="shared" si="9"/>
        <v>0</v>
      </c>
      <c r="N24" s="255" t="str">
        <f t="shared" si="10"/>
        <v/>
      </c>
      <c r="O24" s="251" t="str">
        <f>IF(N24="","",IF(OR(ABS(N24)&gt;=30%,ABS(M24)&gt;=$D$60*5%,ABS(M24)&gt;=母已审横向PL!$D$39*10%),"显著",IF(ABS(N24)&gt;=10%,"关注","")))</f>
        <v/>
      </c>
      <c r="P24" s="604"/>
    </row>
    <row r="25" spans="1:16" ht="13.9" customHeight="1">
      <c r="A25" s="129" t="str">
        <f>报表格式!B23</f>
        <v>存货</v>
      </c>
      <c r="B25" s="130">
        <f t="shared" si="6"/>
        <v>19</v>
      </c>
      <c r="C25" s="254">
        <f>年初BS审定!F24</f>
        <v>0</v>
      </c>
      <c r="D25" s="254">
        <f>审定合并BS!H24</f>
        <v>0</v>
      </c>
      <c r="E25" s="254">
        <f t="shared" si="7"/>
        <v>0</v>
      </c>
      <c r="F25" s="255" t="str">
        <f t="shared" si="8"/>
        <v/>
      </c>
      <c r="G25" s="251" t="str">
        <f>IF(F25="","",IF(OR(ABS(F25)&gt;=30%,ABS(E25)&gt;=$D$60*5%,ABS(E25)&gt;=母已审横向PL!$D$39*10%),"显著",IF(ABS(F25)&gt;=10%,"关注","")))</f>
        <v/>
      </c>
      <c r="H25" s="132"/>
      <c r="I25" s="187" t="str">
        <f>报表格式!G23</f>
        <v xml:space="preserve">        应付股利</v>
      </c>
      <c r="J25" s="131">
        <f t="shared" si="0"/>
        <v>19</v>
      </c>
      <c r="K25" s="254">
        <f>年初BS审定!F79</f>
        <v>0</v>
      </c>
      <c r="L25" s="254">
        <f>审定合并BS!H84</f>
        <v>0</v>
      </c>
      <c r="M25" s="254">
        <f t="shared" si="9"/>
        <v>0</v>
      </c>
      <c r="N25" s="255" t="str">
        <f t="shared" si="10"/>
        <v/>
      </c>
      <c r="O25" s="251" t="str">
        <f>IF(N25="","",IF(OR(ABS(N25)&gt;=30%,ABS(M25)&gt;=$D$60*5%,ABS(M25)&gt;=母已审横向PL!$D$39*10%),"显著",IF(ABS(N25)&gt;=10%,"关注","")))</f>
        <v/>
      </c>
      <c r="P25" s="604"/>
    </row>
    <row r="26" spans="1:16" ht="13.9" customHeight="1">
      <c r="A26" s="129" t="str">
        <f>报表格式!B24</f>
        <v>合同资产</v>
      </c>
      <c r="B26" s="130">
        <f t="shared" si="6"/>
        <v>20</v>
      </c>
      <c r="C26" s="254">
        <f>年初BS审定!F25</f>
        <v>0</v>
      </c>
      <c r="D26" s="254">
        <f>审定合并BS!H25</f>
        <v>0</v>
      </c>
      <c r="E26" s="254">
        <f t="shared" ref="E26:E32" si="17">D26-C26</f>
        <v>0</v>
      </c>
      <c r="F26" s="255" t="str">
        <f t="shared" ref="F26:F32" si="18">IF(AND(C26=0,D26=0),"",IF(C26=0,100%,IF(D26=0,-100%,E26/C26)))</f>
        <v/>
      </c>
      <c r="G26" s="251" t="str">
        <f>IF(F26="","",IF(OR(ABS(F26)&gt;=30%,ABS(E26)&gt;=$D$60*5%,ABS(E26)&gt;=母已审横向PL!$D$39*10%),"显著",IF(ABS(F26)&gt;=10%,"关注","")))</f>
        <v/>
      </c>
      <c r="H26" s="132"/>
      <c r="I26" s="187" t="str">
        <f>报表格式!G24</f>
        <v>应付分保账款</v>
      </c>
      <c r="J26" s="131">
        <f t="shared" si="0"/>
        <v>20</v>
      </c>
      <c r="K26" s="254">
        <f>年初BS审定!F80</f>
        <v>0</v>
      </c>
      <c r="L26" s="254">
        <f>审定合并BS!H85</f>
        <v>0</v>
      </c>
      <c r="M26" s="254">
        <f t="shared" ref="M26:M30" si="19">L26-K26</f>
        <v>0</v>
      </c>
      <c r="N26" s="255" t="str">
        <f t="shared" ref="N26:N30" si="20">IF(AND(K26=0,L26=0),"",IF(K26=0,100%,IF(L26=0,-100%,M26/K26)))</f>
        <v/>
      </c>
      <c r="O26" s="251" t="str">
        <f>IF(N26="","",IF(OR(ABS(N26)&gt;=30%,ABS(M26)&gt;=$D$60*5%,ABS(M26)&gt;=母已审横向PL!$D$39*10%),"显著",IF(ABS(N26)&gt;=10%,"关注","")))</f>
        <v/>
      </c>
      <c r="P26" s="604"/>
    </row>
    <row r="27" spans="1:16" ht="13.9" customHeight="1">
      <c r="A27" s="129" t="str">
        <f>报表格式!B25</f>
        <v>持有待售资产</v>
      </c>
      <c r="B27" s="130">
        <f t="shared" si="6"/>
        <v>21</v>
      </c>
      <c r="C27" s="254">
        <f>年初BS审定!F26</f>
        <v>0</v>
      </c>
      <c r="D27" s="254">
        <f>审定合并BS!H26</f>
        <v>0</v>
      </c>
      <c r="E27" s="254">
        <f t="shared" si="17"/>
        <v>0</v>
      </c>
      <c r="F27" s="255" t="str">
        <f t="shared" si="18"/>
        <v/>
      </c>
      <c r="G27" s="251" t="str">
        <f>IF(F27="","",IF(OR(ABS(F27)&gt;=30%,ABS(E27)&gt;=$D$60*5%,ABS(E27)&gt;=母已审横向PL!$D$39*10%),"显著",IF(ABS(F27)&gt;=10%,"关注","")))</f>
        <v/>
      </c>
      <c r="H27" s="132"/>
      <c r="I27" s="187" t="str">
        <f>报表格式!G25</f>
        <v>保险合同准备金</v>
      </c>
      <c r="J27" s="131">
        <f t="shared" si="0"/>
        <v>21</v>
      </c>
      <c r="K27" s="254">
        <f>年初BS审定!F81</f>
        <v>0</v>
      </c>
      <c r="L27" s="254">
        <f>审定合并BS!H86</f>
        <v>0</v>
      </c>
      <c r="M27" s="254">
        <f t="shared" si="19"/>
        <v>0</v>
      </c>
      <c r="N27" s="255" t="str">
        <f t="shared" si="20"/>
        <v/>
      </c>
      <c r="O27" s="251" t="str">
        <f>IF(N27="","",IF(OR(ABS(N27)&gt;=30%,ABS(M27)&gt;=$D$60*5%,ABS(M27)&gt;=母已审横向PL!$D$39*10%),"显著",IF(ABS(N27)&gt;=10%,"关注","")))</f>
        <v/>
      </c>
      <c r="P27" s="604"/>
    </row>
    <row r="28" spans="1:16" ht="13.9" customHeight="1">
      <c r="A28" s="129" t="str">
        <f>报表格式!B26</f>
        <v>一年内到期的非流动资产</v>
      </c>
      <c r="B28" s="130">
        <f t="shared" si="6"/>
        <v>22</v>
      </c>
      <c r="C28" s="254">
        <f>年初BS审定!F27</f>
        <v>0</v>
      </c>
      <c r="D28" s="254">
        <f>审定合并BS!H27</f>
        <v>0</v>
      </c>
      <c r="E28" s="254">
        <f t="shared" ref="E28" si="21">D28-C28</f>
        <v>0</v>
      </c>
      <c r="F28" s="255" t="str">
        <f t="shared" ref="F28" si="22">IF(AND(C28=0,D28=0),"",IF(C28=0,100%,IF(D28=0,-100%,E28/C28)))</f>
        <v/>
      </c>
      <c r="G28" s="251" t="str">
        <f>IF(F28="","",IF(OR(ABS(F28)&gt;=30%,ABS(E28)&gt;=$D$60*5%,ABS(E28)&gt;=母已审横向PL!$D$39*10%),"显著",IF(ABS(F28)&gt;=10%,"关注","")))</f>
        <v/>
      </c>
      <c r="H28" s="132"/>
      <c r="I28" s="187" t="str">
        <f>报表格式!G26</f>
        <v>代理买卖证券款</v>
      </c>
      <c r="J28" s="131">
        <f t="shared" si="0"/>
        <v>22</v>
      </c>
      <c r="K28" s="254">
        <f>年初BS审定!F82</f>
        <v>0</v>
      </c>
      <c r="L28" s="254">
        <f>审定合并BS!H87</f>
        <v>0</v>
      </c>
      <c r="M28" s="254">
        <f t="shared" si="19"/>
        <v>0</v>
      </c>
      <c r="N28" s="255" t="str">
        <f t="shared" si="20"/>
        <v/>
      </c>
      <c r="O28" s="251" t="str">
        <f>IF(N28="","",IF(OR(ABS(N28)&gt;=30%,ABS(M28)&gt;=$D$60*5%,ABS(M28)&gt;=母已审横向PL!$D$39*10%),"显著",IF(ABS(N28)&gt;=10%,"关注","")))</f>
        <v/>
      </c>
      <c r="P28" s="604"/>
    </row>
    <row r="29" spans="1:16" ht="13.9" customHeight="1">
      <c r="A29" s="129" t="str">
        <f>报表格式!B27</f>
        <v>其他流动资产</v>
      </c>
      <c r="B29" s="130">
        <f t="shared" si="6"/>
        <v>23</v>
      </c>
      <c r="C29" s="254">
        <f>年初BS审定!F28</f>
        <v>0</v>
      </c>
      <c r="D29" s="254">
        <f>审定合并BS!H28</f>
        <v>0</v>
      </c>
      <c r="E29" s="254">
        <f t="shared" si="17"/>
        <v>0</v>
      </c>
      <c r="F29" s="255" t="str">
        <f t="shared" si="18"/>
        <v/>
      </c>
      <c r="G29" s="251" t="str">
        <f>IF(F29="","",IF(OR(ABS(F29)&gt;=30%,ABS(E29)&gt;=$D$60*5%,ABS(E29)&gt;=母已审横向PL!$D$39*10%),"显著",IF(ABS(F29)&gt;=10%,"关注","")))</f>
        <v/>
      </c>
      <c r="H29" s="132"/>
      <c r="I29" s="187" t="str">
        <f>报表格式!G27</f>
        <v>代理承销证券款</v>
      </c>
      <c r="J29" s="131">
        <f t="shared" si="0"/>
        <v>23</v>
      </c>
      <c r="K29" s="254">
        <f>年初BS审定!F83</f>
        <v>0</v>
      </c>
      <c r="L29" s="254">
        <f>审定合并BS!H88</f>
        <v>0</v>
      </c>
      <c r="M29" s="254">
        <f t="shared" si="19"/>
        <v>0</v>
      </c>
      <c r="N29" s="255" t="str">
        <f t="shared" si="20"/>
        <v/>
      </c>
      <c r="O29" s="251" t="str">
        <f>IF(N29="","",IF(OR(ABS(N29)&gt;=30%,ABS(M29)&gt;=$D$60*5%,ABS(M29)&gt;=母已审横向PL!$D$39*10%),"显著",IF(ABS(N29)&gt;=10%,"关注","")))</f>
        <v/>
      </c>
      <c r="P29" s="604"/>
    </row>
    <row r="30" spans="1:16" ht="13.9" customHeight="1">
      <c r="A30" s="129">
        <f>报表格式!B28</f>
        <v>0</v>
      </c>
      <c r="B30" s="130">
        <f t="shared" si="6"/>
        <v>24</v>
      </c>
      <c r="C30" s="254">
        <f>年初BS审定!F29</f>
        <v>0</v>
      </c>
      <c r="D30" s="254">
        <f>审定合并BS!H29</f>
        <v>0</v>
      </c>
      <c r="E30" s="254">
        <f t="shared" si="17"/>
        <v>0</v>
      </c>
      <c r="F30" s="255" t="str">
        <f t="shared" si="18"/>
        <v/>
      </c>
      <c r="G30" s="251" t="str">
        <f>IF(F30="","",IF(OR(ABS(F30)&gt;=30%,ABS(E30)&gt;=$D$60*5%,ABS(E30)&gt;=母已审横向PL!$D$39*10%),"显著",IF(ABS(F30)&gt;=10%,"关注","")))</f>
        <v/>
      </c>
      <c r="H30" s="132"/>
      <c r="I30" s="187" t="str">
        <f>报表格式!G28</f>
        <v>持有待售负债</v>
      </c>
      <c r="J30" s="131">
        <f t="shared" si="0"/>
        <v>24</v>
      </c>
      <c r="K30" s="254">
        <f>年初BS审定!F84</f>
        <v>0</v>
      </c>
      <c r="L30" s="254">
        <f>审定合并BS!H89</f>
        <v>0</v>
      </c>
      <c r="M30" s="254">
        <f t="shared" si="19"/>
        <v>0</v>
      </c>
      <c r="N30" s="255" t="str">
        <f t="shared" si="20"/>
        <v/>
      </c>
      <c r="O30" s="251" t="str">
        <f>IF(N30="","",IF(OR(ABS(N30)&gt;=30%,ABS(M30)&gt;=$D$60*5%,ABS(M30)&gt;=母已审横向PL!$D$39*10%),"显著",IF(ABS(N30)&gt;=10%,"关注","")))</f>
        <v/>
      </c>
      <c r="P30" s="604"/>
    </row>
    <row r="31" spans="1:16" ht="13.9" customHeight="1">
      <c r="A31" s="129">
        <f>报表格式!B29</f>
        <v>0</v>
      </c>
      <c r="B31" s="130">
        <f t="shared" si="6"/>
        <v>25</v>
      </c>
      <c r="C31" s="254">
        <f>年初BS审定!F30</f>
        <v>0</v>
      </c>
      <c r="D31" s="254">
        <f>审定合并BS!H30</f>
        <v>0</v>
      </c>
      <c r="E31" s="254">
        <f t="shared" si="17"/>
        <v>0</v>
      </c>
      <c r="F31" s="255" t="str">
        <f t="shared" si="18"/>
        <v/>
      </c>
      <c r="G31" s="251" t="str">
        <f>IF(F31="","",IF(OR(ABS(F31)&gt;=30%,ABS(E31)&gt;=$D$60*5%,ABS(E31)&gt;=母已审横向PL!$D$39*10%),"显著",IF(ABS(F31)&gt;=10%,"关注","")))</f>
        <v/>
      </c>
      <c r="H31" s="132"/>
      <c r="I31" s="187" t="str">
        <f>报表格式!G29</f>
        <v>一年内到期的非流动负债</v>
      </c>
      <c r="J31" s="131">
        <f t="shared" si="0"/>
        <v>25</v>
      </c>
      <c r="K31" s="254">
        <f>年初BS审定!F85</f>
        <v>0</v>
      </c>
      <c r="L31" s="254">
        <f>审定合并BS!H90</f>
        <v>0</v>
      </c>
      <c r="M31" s="254">
        <f t="shared" ref="M31:M32" si="23">L31-K31</f>
        <v>0</v>
      </c>
      <c r="N31" s="255" t="str">
        <f t="shared" ref="N31:N32" si="24">IF(AND(K31=0,L31=0),"",IF(K31=0,100%,IF(L31=0,-100%,M31/K31)))</f>
        <v/>
      </c>
      <c r="O31" s="251" t="str">
        <f>IF(N31="","",IF(OR(ABS(N31)&gt;=30%,ABS(M31)&gt;=$D$60*5%,ABS(M31)&gt;=母已审横向PL!$D$39*10%),"显著",IF(ABS(N31)&gt;=10%,"关注","")))</f>
        <v/>
      </c>
      <c r="P31" s="604"/>
    </row>
    <row r="32" spans="1:16" ht="13.9" customHeight="1">
      <c r="A32" s="135" t="str">
        <f>报表格式!B30</f>
        <v>流动资产合计</v>
      </c>
      <c r="B32" s="130">
        <f t="shared" si="6"/>
        <v>26</v>
      </c>
      <c r="C32" s="256">
        <f>年初BS审定!F31</f>
        <v>0</v>
      </c>
      <c r="D32" s="256">
        <f>审定合并BS!H31</f>
        <v>0</v>
      </c>
      <c r="E32" s="256">
        <f t="shared" si="17"/>
        <v>0</v>
      </c>
      <c r="F32" s="322" t="str">
        <f t="shared" si="18"/>
        <v/>
      </c>
      <c r="G32" s="686" t="str">
        <f>IF(F32="","",IF(OR(ABS(F32)&gt;=30%,ABS(E32)&gt;=$D$60*5%,ABS(E32)&gt;=母已审横向PL!$D$39*10%),"显著",IF(ABS(F32)&gt;=10%,"关注","")))</f>
        <v/>
      </c>
      <c r="H32" s="730"/>
      <c r="I32" s="187" t="str">
        <f>报表格式!G30</f>
        <v>其他流动负债</v>
      </c>
      <c r="J32" s="131">
        <f t="shared" si="0"/>
        <v>26</v>
      </c>
      <c r="K32" s="254">
        <f>年初BS审定!F86</f>
        <v>0</v>
      </c>
      <c r="L32" s="254">
        <f>审定合并BS!H91</f>
        <v>0</v>
      </c>
      <c r="M32" s="254">
        <f t="shared" si="23"/>
        <v>0</v>
      </c>
      <c r="N32" s="255" t="str">
        <f t="shared" si="24"/>
        <v/>
      </c>
      <c r="O32" s="251" t="str">
        <f>IF(N32="","",IF(OR(ABS(N32)&gt;=30%,ABS(M32)&gt;=$D$60*5%,ABS(M32)&gt;=母已审横向PL!$D$39*10%),"显著",IF(ABS(N32)&gt;=10%,"关注","")))</f>
        <v/>
      </c>
      <c r="P32" s="604"/>
    </row>
    <row r="33" spans="1:16" ht="13.9" customHeight="1">
      <c r="A33" s="134" t="str">
        <f>报表格式!B31</f>
        <v>非流动资产:</v>
      </c>
      <c r="B33" s="130">
        <f t="shared" si="6"/>
        <v>27</v>
      </c>
      <c r="C33" s="254"/>
      <c r="D33" s="254"/>
      <c r="E33" s="254"/>
      <c r="F33" s="255"/>
      <c r="G33" s="251" t="str">
        <f>IF(F33="","",IF(OR(ABS(F33)&gt;=30%,ABS(E33)&gt;=$D$60*5%,ABS(E33)&gt;=母已审横向PL!$D$39*10%),"显著",IF(ABS(F33)&gt;=10%,"关注","")))</f>
        <v/>
      </c>
      <c r="H33" s="132"/>
      <c r="I33" s="133" t="str">
        <f>报表格式!G31</f>
        <v>流动负债合计</v>
      </c>
      <c r="J33" s="131">
        <f t="shared" si="0"/>
        <v>27</v>
      </c>
      <c r="K33" s="256">
        <f>年初BS审定!F87</f>
        <v>0</v>
      </c>
      <c r="L33" s="256">
        <f>审定合并BS!H92</f>
        <v>0</v>
      </c>
      <c r="M33" s="256">
        <f>L33-K33</f>
        <v>0</v>
      </c>
      <c r="N33" s="322" t="str">
        <f>IF(AND(K33=0,L33=0),"",IF(K33=0,100%,IF(L33=0,-100%,M33/K33)))</f>
        <v/>
      </c>
      <c r="O33" s="686" t="str">
        <f>IF(N33="","",IF(OR(ABS(N33)&gt;=30%,ABS(M33)&gt;=$D$60*5%,ABS(M33)&gt;=母已审横向PL!$D$39*10%),"显著",IF(ABS(N33)&gt;=10%,"关注","")))</f>
        <v/>
      </c>
      <c r="P33" s="604"/>
    </row>
    <row r="34" spans="1:16" ht="13.9" customHeight="1">
      <c r="A34" s="129" t="str">
        <f>报表格式!B32</f>
        <v>发放贷款及垫款</v>
      </c>
      <c r="B34" s="130">
        <f t="shared" si="6"/>
        <v>28</v>
      </c>
      <c r="C34" s="254">
        <f>年初BS审定!F33</f>
        <v>0</v>
      </c>
      <c r="D34" s="254">
        <f>审定合并BS!H33</f>
        <v>0</v>
      </c>
      <c r="E34" s="254">
        <f t="shared" ref="E34" si="25">D34-C34</f>
        <v>0</v>
      </c>
      <c r="F34" s="255" t="str">
        <f t="shared" ref="F34" si="26">IF(AND(C34=0,D34=0),"",IF(C34=0,100%,IF(D34=0,-100%,E34/C34)))</f>
        <v/>
      </c>
      <c r="G34" s="251" t="str">
        <f>IF(F34="","",IF(OR(ABS(F34)&gt;=30%,ABS(E34)&gt;=$D$60*5%,ABS(E34)&gt;=母已审横向PL!$D$39*10%),"显著",IF(ABS(F34)&gt;=10%,"关注","")))</f>
        <v/>
      </c>
      <c r="H34" s="132"/>
      <c r="I34" s="188" t="str">
        <f>报表格式!G32</f>
        <v>非流动负债:</v>
      </c>
      <c r="J34" s="131">
        <f t="shared" si="0"/>
        <v>28</v>
      </c>
      <c r="K34" s="254"/>
      <c r="L34" s="254"/>
      <c r="M34" s="254"/>
      <c r="N34" s="255"/>
      <c r="O34" s="251" t="str">
        <f>IF(N34="","",IF(OR(ABS(N34)&gt;=30%,ABS(M34)&gt;=$D$60*5%,ABS(M34)&gt;=母已审横向PL!$D$39*10%),"显著",IF(ABS(N34)&gt;=10%,"关注","")))</f>
        <v/>
      </c>
      <c r="P34" s="604"/>
    </row>
    <row r="35" spans="1:16" ht="13.9" customHeight="1">
      <c r="A35" s="129" t="str">
        <f>报表格式!B33</f>
        <v>债权投资</v>
      </c>
      <c r="B35" s="130">
        <f t="shared" si="6"/>
        <v>29</v>
      </c>
      <c r="C35" s="254">
        <f>年初BS审定!F34</f>
        <v>0</v>
      </c>
      <c r="D35" s="254">
        <f>审定合并BS!H34</f>
        <v>0</v>
      </c>
      <c r="E35" s="254">
        <f t="shared" ref="E35:E53" si="27">D35-C35</f>
        <v>0</v>
      </c>
      <c r="F35" s="255" t="str">
        <f t="shared" ref="F35:F53" si="28">IF(AND(C35=0,D35=0),"",IF(C35=0,100%,IF(D35=0,-100%,E35/C35)))</f>
        <v/>
      </c>
      <c r="G35" s="251" t="str">
        <f>IF(F35="","",IF(OR(ABS(F35)&gt;=30%,ABS(E35)&gt;=$D$60*5%,ABS(E35)&gt;=母已审横向PL!$D$39*10%),"显著",IF(ABS(F35)&gt;=10%,"关注","")))</f>
        <v/>
      </c>
      <c r="H35" s="132"/>
      <c r="I35" s="187" t="str">
        <f>报表格式!G33</f>
        <v>长期借款</v>
      </c>
      <c r="J35" s="131">
        <f t="shared" si="0"/>
        <v>29</v>
      </c>
      <c r="K35" s="254">
        <f>年初BS审定!F89</f>
        <v>0</v>
      </c>
      <c r="L35" s="254">
        <f>审定合并BS!H94</f>
        <v>0</v>
      </c>
      <c r="M35" s="254">
        <f>L35-K35</f>
        <v>0</v>
      </c>
      <c r="N35" s="255" t="str">
        <f>IF(AND(K35=0,L35=0),"",IF(K35=0,100%,IF(L35=0,-100%,M35/K35)))</f>
        <v/>
      </c>
      <c r="O35" s="251" t="str">
        <f>IF(N35="","",IF(OR(ABS(N35)&gt;=30%,ABS(M35)&gt;=$D$60*5%,ABS(M35)&gt;=母已审横向PL!$D$39*10%),"显著",IF(ABS(N35)&gt;=10%,"关注","")))</f>
        <v/>
      </c>
      <c r="P35" s="604"/>
    </row>
    <row r="36" spans="1:16" ht="13.9" customHeight="1">
      <c r="A36" s="129" t="str">
        <f>报表格式!B34</f>
        <v>可供出售金融资产</v>
      </c>
      <c r="B36" s="130">
        <f t="shared" si="6"/>
        <v>30</v>
      </c>
      <c r="C36" s="254">
        <f>年初BS审定!F35</f>
        <v>0</v>
      </c>
      <c r="D36" s="254">
        <f>审定合并BS!H35</f>
        <v>0</v>
      </c>
      <c r="E36" s="254">
        <f t="shared" ref="E36:E39" si="29">D36-C36</f>
        <v>0</v>
      </c>
      <c r="F36" s="255" t="str">
        <f t="shared" ref="F36:F39" si="30">IF(AND(C36=0,D36=0),"",IF(C36=0,100%,IF(D36=0,-100%,E36/C36)))</f>
        <v/>
      </c>
      <c r="G36" s="251" t="str">
        <f>IF(F36="","",IF(OR(ABS(F36)&gt;=30%,ABS(E36)&gt;=$D$60*5%,ABS(E36)&gt;=母已审横向PL!$D$39*10%),"显著",IF(ABS(F36)&gt;=10%,"关注","")))</f>
        <v/>
      </c>
      <c r="H36" s="132"/>
      <c r="I36" s="187" t="str">
        <f>报表格式!G34</f>
        <v>应付债券</v>
      </c>
      <c r="J36" s="131">
        <f t="shared" si="0"/>
        <v>30</v>
      </c>
      <c r="K36" s="254">
        <f>年初BS审定!F90</f>
        <v>0</v>
      </c>
      <c r="L36" s="254">
        <f>审定合并BS!H95</f>
        <v>0</v>
      </c>
      <c r="M36" s="254">
        <f t="shared" ref="M36:M45" si="31">L36-K36</f>
        <v>0</v>
      </c>
      <c r="N36" s="255" t="str">
        <f t="shared" ref="N36:N45" si="32">IF(AND(K36=0,L36=0),"",IF(K36=0,100%,IF(L36=0,-100%,M36/K36)))</f>
        <v/>
      </c>
      <c r="O36" s="251" t="str">
        <f>IF(N36="","",IF(OR(ABS(N36)&gt;=30%,ABS(M36)&gt;=$D$60*5%,ABS(M36)&gt;=母已审横向PL!$D$39*10%),"显著",IF(ABS(N36)&gt;=10%,"关注","")))</f>
        <v/>
      </c>
      <c r="P36" s="604"/>
    </row>
    <row r="37" spans="1:16" ht="13.9" customHeight="1">
      <c r="A37" s="129" t="str">
        <f>报表格式!B35</f>
        <v>其他债权投资</v>
      </c>
      <c r="B37" s="130">
        <f t="shared" si="6"/>
        <v>31</v>
      </c>
      <c r="C37" s="254">
        <f>年初BS审定!F36</f>
        <v>0</v>
      </c>
      <c r="D37" s="254">
        <f>审定合并BS!H36</f>
        <v>0</v>
      </c>
      <c r="E37" s="254">
        <f t="shared" si="29"/>
        <v>0</v>
      </c>
      <c r="F37" s="255" t="str">
        <f t="shared" si="30"/>
        <v/>
      </c>
      <c r="G37" s="251" t="str">
        <f>IF(F37="","",IF(OR(ABS(F37)&gt;=30%,ABS(E37)&gt;=$D$60*5%,ABS(E37)&gt;=母已审横向PL!$D$39*10%),"显著",IF(ABS(F37)&gt;=10%,"关注","")))</f>
        <v/>
      </c>
      <c r="H37" s="132"/>
      <c r="I37" s="187" t="str">
        <f>报表格式!G35</f>
        <v xml:space="preserve">  其中：优先股</v>
      </c>
      <c r="J37" s="131">
        <f t="shared" si="0"/>
        <v>31</v>
      </c>
      <c r="K37" s="254">
        <f>年初BS审定!F91</f>
        <v>0</v>
      </c>
      <c r="L37" s="254">
        <f>审定合并BS!H96</f>
        <v>0</v>
      </c>
      <c r="M37" s="254">
        <f t="shared" si="31"/>
        <v>0</v>
      </c>
      <c r="N37" s="255" t="str">
        <f t="shared" si="32"/>
        <v/>
      </c>
      <c r="O37" s="251" t="str">
        <f>IF(N37="","",IF(OR(ABS(N37)&gt;=30%,ABS(M37)&gt;=$D$60*5%,ABS(M37)&gt;=母已审横向PL!$D$39*10%),"显著",IF(ABS(N37)&gt;=10%,"关注","")))</f>
        <v/>
      </c>
      <c r="P37" s="604"/>
    </row>
    <row r="38" spans="1:16" ht="13.9" customHeight="1">
      <c r="A38" s="129" t="str">
        <f>报表格式!B36</f>
        <v>持有至到期投资</v>
      </c>
      <c r="B38" s="130">
        <f t="shared" si="6"/>
        <v>32</v>
      </c>
      <c r="C38" s="254">
        <f>年初BS审定!F37</f>
        <v>0</v>
      </c>
      <c r="D38" s="254">
        <f>审定合并BS!H37</f>
        <v>0</v>
      </c>
      <c r="E38" s="254">
        <f t="shared" si="29"/>
        <v>0</v>
      </c>
      <c r="F38" s="255" t="str">
        <f t="shared" si="30"/>
        <v/>
      </c>
      <c r="G38" s="251" t="str">
        <f>IF(F38="","",IF(OR(ABS(F38)&gt;=30%,ABS(E38)&gt;=$D$60*5%,ABS(E38)&gt;=母已审横向PL!$D$39*10%),"显著",IF(ABS(F38)&gt;=10%,"关注","")))</f>
        <v/>
      </c>
      <c r="H38" s="132"/>
      <c r="I38" s="187" t="str">
        <f>报表格式!G36</f>
        <v xml:space="preserve">        永续债</v>
      </c>
      <c r="J38" s="131">
        <f t="shared" si="0"/>
        <v>32</v>
      </c>
      <c r="K38" s="254">
        <f>年初BS审定!F92</f>
        <v>0</v>
      </c>
      <c r="L38" s="254">
        <f>审定合并BS!H97</f>
        <v>0</v>
      </c>
      <c r="M38" s="254">
        <f t="shared" si="31"/>
        <v>0</v>
      </c>
      <c r="N38" s="255" t="str">
        <f t="shared" si="32"/>
        <v/>
      </c>
      <c r="O38" s="251" t="str">
        <f>IF(N38="","",IF(OR(ABS(N38)&gt;=30%,ABS(M38)&gt;=$D$60*5%,ABS(M38)&gt;=母已审横向PL!$D$39*10%),"显著",IF(ABS(N38)&gt;=10%,"关注","")))</f>
        <v/>
      </c>
      <c r="P38" s="604"/>
    </row>
    <row r="39" spans="1:16" ht="13.9" customHeight="1">
      <c r="A39" s="129" t="str">
        <f>报表格式!B37</f>
        <v>长期应收款</v>
      </c>
      <c r="B39" s="130">
        <f t="shared" si="6"/>
        <v>33</v>
      </c>
      <c r="C39" s="254">
        <f>年初BS审定!F38</f>
        <v>0</v>
      </c>
      <c r="D39" s="254">
        <f>审定合并BS!H38</f>
        <v>0</v>
      </c>
      <c r="E39" s="254">
        <f t="shared" si="29"/>
        <v>0</v>
      </c>
      <c r="F39" s="255" t="str">
        <f t="shared" si="30"/>
        <v/>
      </c>
      <c r="G39" s="251" t="str">
        <f>IF(F39="","",IF(OR(ABS(F39)&gt;=30%,ABS(E39)&gt;=$D$60*5%,ABS(E39)&gt;=母已审横向PL!$D$39*10%),"显著",IF(ABS(F39)&gt;=10%,"关注","")))</f>
        <v/>
      </c>
      <c r="H39" s="132"/>
      <c r="I39" s="187" t="str">
        <f>报表格式!G37</f>
        <v>租赁负债</v>
      </c>
      <c r="J39" s="131">
        <f t="shared" si="0"/>
        <v>33</v>
      </c>
      <c r="K39" s="254">
        <f>年初BS审定!F93</f>
        <v>0</v>
      </c>
      <c r="L39" s="254">
        <f>审定合并BS!H98</f>
        <v>0</v>
      </c>
      <c r="M39" s="254">
        <f t="shared" ref="M39:M40" si="33">L39-K39</f>
        <v>0</v>
      </c>
      <c r="N39" s="255" t="str">
        <f t="shared" ref="N39:N40" si="34">IF(AND(K39=0,L39=0),"",IF(K39=0,100%,IF(L39=0,-100%,M39/K39)))</f>
        <v/>
      </c>
      <c r="O39" s="251" t="str">
        <f>IF(N39="","",IF(OR(ABS(N39)&gt;=30%,ABS(M39)&gt;=$D$60*5%,ABS(M39)&gt;=母已审横向PL!$D$39*10%),"显著",IF(ABS(N39)&gt;=10%,"关注","")))</f>
        <v/>
      </c>
      <c r="P39" s="604"/>
    </row>
    <row r="40" spans="1:16" ht="13.9" customHeight="1">
      <c r="A40" s="129" t="str">
        <f>报表格式!B38</f>
        <v>设定受益计划净资产</v>
      </c>
      <c r="B40" s="130">
        <f t="shared" si="6"/>
        <v>34</v>
      </c>
      <c r="C40" s="254">
        <f>年初BS审定!F39</f>
        <v>0</v>
      </c>
      <c r="D40" s="254">
        <f>审定合并BS!H39</f>
        <v>0</v>
      </c>
      <c r="E40" s="254">
        <f t="shared" si="27"/>
        <v>0</v>
      </c>
      <c r="F40" s="255" t="str">
        <f t="shared" si="28"/>
        <v/>
      </c>
      <c r="G40" s="251" t="str">
        <f>IF(F40="","",IF(OR(ABS(F40)&gt;=30%,ABS(E40)&gt;=$D$60*5%,ABS(E40)&gt;=母已审横向PL!$D$39*10%),"显著",IF(ABS(F40)&gt;=10%,"关注","")))</f>
        <v/>
      </c>
      <c r="H40" s="132"/>
      <c r="I40" s="187" t="str">
        <f>报表格式!G38</f>
        <v>长期应付款</v>
      </c>
      <c r="J40" s="131">
        <f t="shared" si="0"/>
        <v>34</v>
      </c>
      <c r="K40" s="254">
        <f>年初BS审定!F94</f>
        <v>0</v>
      </c>
      <c r="L40" s="254">
        <f>审定合并BS!H99</f>
        <v>0</v>
      </c>
      <c r="M40" s="254">
        <f t="shared" si="33"/>
        <v>0</v>
      </c>
      <c r="N40" s="255" t="str">
        <f t="shared" si="34"/>
        <v/>
      </c>
      <c r="O40" s="251" t="str">
        <f>IF(N40="","",IF(OR(ABS(N40)&gt;=30%,ABS(M40)&gt;=$D$60*5%,ABS(M40)&gt;=母已审横向PL!$D$39*10%),"显著",IF(ABS(N40)&gt;=10%,"关注","")))</f>
        <v/>
      </c>
      <c r="P40" s="604"/>
    </row>
    <row r="41" spans="1:16" ht="13.9" customHeight="1">
      <c r="A41" s="129" t="str">
        <f>报表格式!B39</f>
        <v>长期股权投资</v>
      </c>
      <c r="B41" s="130">
        <f t="shared" si="6"/>
        <v>35</v>
      </c>
      <c r="C41" s="254">
        <f>年初BS审定!F40</f>
        <v>0</v>
      </c>
      <c r="D41" s="254">
        <f>审定合并BS!H40</f>
        <v>0</v>
      </c>
      <c r="E41" s="254">
        <f t="shared" si="27"/>
        <v>0</v>
      </c>
      <c r="F41" s="255" t="str">
        <f t="shared" si="28"/>
        <v/>
      </c>
      <c r="G41" s="251" t="str">
        <f>IF(F41="","",IF(OR(ABS(F41)&gt;=30%,ABS(E41)&gt;=$D$60*5%,ABS(E41)&gt;=母已审横向PL!$D$39*10%),"显著",IF(ABS(F41)&gt;=10%,"关注","")))</f>
        <v/>
      </c>
      <c r="H41" s="132"/>
      <c r="I41" s="187" t="str">
        <f>报表格式!G39</f>
        <v>长期应付职工薪酬</v>
      </c>
      <c r="J41" s="131">
        <f t="shared" si="0"/>
        <v>35</v>
      </c>
      <c r="K41" s="254">
        <f>年初BS审定!F95</f>
        <v>0</v>
      </c>
      <c r="L41" s="254">
        <f>审定合并BS!H100</f>
        <v>0</v>
      </c>
      <c r="M41" s="254">
        <f t="shared" si="31"/>
        <v>0</v>
      </c>
      <c r="N41" s="255" t="str">
        <f t="shared" si="32"/>
        <v/>
      </c>
      <c r="O41" s="251" t="str">
        <f>IF(N41="","",IF(OR(ABS(N41)&gt;=30%,ABS(M41)&gt;=$D$60*5%,ABS(M41)&gt;=母已审横向PL!$D$39*10%),"显著",IF(ABS(N41)&gt;=10%,"关注","")))</f>
        <v/>
      </c>
      <c r="P41" s="604"/>
    </row>
    <row r="42" spans="1:16" ht="13.9" customHeight="1">
      <c r="A42" s="129" t="str">
        <f>报表格式!B40</f>
        <v>其他权益工具投资</v>
      </c>
      <c r="B42" s="130">
        <f t="shared" si="6"/>
        <v>36</v>
      </c>
      <c r="C42" s="254">
        <f>年初BS审定!F41</f>
        <v>0</v>
      </c>
      <c r="D42" s="254">
        <f>审定合并BS!H41</f>
        <v>0</v>
      </c>
      <c r="E42" s="254">
        <f t="shared" si="27"/>
        <v>0</v>
      </c>
      <c r="F42" s="255" t="str">
        <f t="shared" si="28"/>
        <v/>
      </c>
      <c r="G42" s="251" t="str">
        <f>IF(F42="","",IF(OR(ABS(F42)&gt;=30%,ABS(E42)&gt;=$D$60*5%,ABS(E42)&gt;=母已审横向PL!$D$39*10%),"显著",IF(ABS(F42)&gt;=10%,"关注","")))</f>
        <v/>
      </c>
      <c r="H42" s="169"/>
      <c r="I42" s="187" t="str">
        <f>报表格式!G40</f>
        <v>预计负债</v>
      </c>
      <c r="J42" s="131">
        <f t="shared" si="0"/>
        <v>36</v>
      </c>
      <c r="K42" s="254">
        <f>年初BS审定!F96</f>
        <v>0</v>
      </c>
      <c r="L42" s="254">
        <f>审定合并BS!H101</f>
        <v>0</v>
      </c>
      <c r="M42" s="254">
        <f t="shared" si="31"/>
        <v>0</v>
      </c>
      <c r="N42" s="255" t="str">
        <f t="shared" si="32"/>
        <v/>
      </c>
      <c r="O42" s="251" t="str">
        <f>IF(N42="","",IF(OR(ABS(N42)&gt;=30%,ABS(M42)&gt;=$D$60*5%,ABS(M42)&gt;=母已审横向PL!$D$39*10%),"显著",IF(ABS(N42)&gt;=10%,"关注","")))</f>
        <v/>
      </c>
      <c r="P42" s="604"/>
    </row>
    <row r="43" spans="1:16" ht="13.9" customHeight="1">
      <c r="A43" s="129" t="str">
        <f>报表格式!B41</f>
        <v>其他非流动金融资产</v>
      </c>
      <c r="B43" s="130">
        <f t="shared" si="6"/>
        <v>37</v>
      </c>
      <c r="C43" s="254">
        <f>年初BS审定!F42</f>
        <v>0</v>
      </c>
      <c r="D43" s="254">
        <f>审定合并BS!H42</f>
        <v>0</v>
      </c>
      <c r="E43" s="254">
        <f t="shared" si="27"/>
        <v>0</v>
      </c>
      <c r="F43" s="255" t="str">
        <f t="shared" si="28"/>
        <v/>
      </c>
      <c r="G43" s="251" t="str">
        <f>IF(F43="","",IF(OR(ABS(F43)&gt;=30%,ABS(E43)&gt;=$D$60*5%,ABS(E43)&gt;=母已审横向PL!$D$39*10%),"显著",IF(ABS(F43)&gt;=10%,"关注","")))</f>
        <v/>
      </c>
      <c r="H43" s="132"/>
      <c r="I43" s="187" t="str">
        <f>报表格式!G41</f>
        <v>递延收益</v>
      </c>
      <c r="J43" s="131">
        <f t="shared" si="0"/>
        <v>37</v>
      </c>
      <c r="K43" s="254">
        <f>年初BS审定!F97</f>
        <v>0</v>
      </c>
      <c r="L43" s="254">
        <f>审定合并BS!H102</f>
        <v>0</v>
      </c>
      <c r="M43" s="254">
        <f t="shared" si="31"/>
        <v>0</v>
      </c>
      <c r="N43" s="255" t="str">
        <f t="shared" si="32"/>
        <v/>
      </c>
      <c r="O43" s="251" t="str">
        <f>IF(N43="","",IF(OR(ABS(N43)&gt;=30%,ABS(M43)&gt;=$D$60*5%,ABS(M43)&gt;=母已审横向PL!$D$39*10%),"显著",IF(ABS(N43)&gt;=10%,"关注","")))</f>
        <v/>
      </c>
      <c r="P43" s="604"/>
    </row>
    <row r="44" spans="1:16" ht="13.9" customHeight="1">
      <c r="A44" s="129" t="str">
        <f>报表格式!B42</f>
        <v>投资性房地产</v>
      </c>
      <c r="B44" s="130">
        <f t="shared" si="6"/>
        <v>38</v>
      </c>
      <c r="C44" s="254">
        <f>年初BS审定!F43</f>
        <v>0</v>
      </c>
      <c r="D44" s="254">
        <f>审定合并BS!H43</f>
        <v>0</v>
      </c>
      <c r="E44" s="254">
        <f t="shared" si="27"/>
        <v>0</v>
      </c>
      <c r="F44" s="255" t="str">
        <f t="shared" si="28"/>
        <v/>
      </c>
      <c r="G44" s="251" t="str">
        <f>IF(F44="","",IF(OR(ABS(F44)&gt;=30%,ABS(E44)&gt;=$D$60*5%,ABS(E44)&gt;=母已审横向PL!$D$39*10%),"显著",IF(ABS(F44)&gt;=10%,"关注","")))</f>
        <v/>
      </c>
      <c r="H44" s="132"/>
      <c r="I44" s="187" t="str">
        <f>报表格式!G42</f>
        <v>递延所得税负债</v>
      </c>
      <c r="J44" s="131">
        <f t="shared" si="0"/>
        <v>38</v>
      </c>
      <c r="K44" s="254">
        <f>年初BS审定!F98</f>
        <v>0</v>
      </c>
      <c r="L44" s="254">
        <f>审定合并BS!H103</f>
        <v>0</v>
      </c>
      <c r="M44" s="254">
        <f t="shared" si="31"/>
        <v>0</v>
      </c>
      <c r="N44" s="255" t="str">
        <f t="shared" si="32"/>
        <v/>
      </c>
      <c r="O44" s="251" t="str">
        <f>IF(N44="","",IF(OR(ABS(N44)&gt;=30%,ABS(M44)&gt;=$D$60*5%,ABS(M44)&gt;=母已审横向PL!$D$39*10%),"显著",IF(ABS(N44)&gt;=10%,"关注","")))</f>
        <v/>
      </c>
      <c r="P44" s="604"/>
    </row>
    <row r="45" spans="1:16" ht="13.9" customHeight="1">
      <c r="A45" s="129" t="str">
        <f>报表格式!B43</f>
        <v>固定资产</v>
      </c>
      <c r="B45" s="130">
        <f t="shared" si="6"/>
        <v>39</v>
      </c>
      <c r="C45" s="254">
        <f>年初BS审定!F44</f>
        <v>0</v>
      </c>
      <c r="D45" s="254">
        <f>审定合并BS!H44</f>
        <v>0</v>
      </c>
      <c r="E45" s="254">
        <f t="shared" si="27"/>
        <v>0</v>
      </c>
      <c r="F45" s="255" t="str">
        <f t="shared" si="28"/>
        <v/>
      </c>
      <c r="G45" s="251" t="str">
        <f>IF(F45="","",IF(OR(ABS(F45)&gt;=30%,ABS(E45)&gt;=$D$60*5%,ABS(E45)&gt;=母已审横向PL!$D$39*10%),"显著",IF(ABS(F45)&gt;=10%,"关注","")))</f>
        <v/>
      </c>
      <c r="H45" s="132"/>
      <c r="I45" s="187" t="str">
        <f>报表格式!G43</f>
        <v>其他非流动负债</v>
      </c>
      <c r="J45" s="131">
        <f t="shared" si="0"/>
        <v>39</v>
      </c>
      <c r="K45" s="254">
        <f>年初BS审定!F99</f>
        <v>0</v>
      </c>
      <c r="L45" s="254">
        <f>审定合并BS!H104</f>
        <v>0</v>
      </c>
      <c r="M45" s="254">
        <f t="shared" si="31"/>
        <v>0</v>
      </c>
      <c r="N45" s="255" t="str">
        <f t="shared" si="32"/>
        <v/>
      </c>
      <c r="O45" s="251" t="str">
        <f>IF(N45="","",IF(OR(ABS(N45)&gt;=30%,ABS(M45)&gt;=$D$60*5%,ABS(M45)&gt;=母已审横向PL!$D$39*10%),"显著",IF(ABS(N45)&gt;=10%,"关注","")))</f>
        <v/>
      </c>
      <c r="P45" s="604"/>
    </row>
    <row r="46" spans="1:16" ht="13.9" customHeight="1">
      <c r="A46" s="129" t="str">
        <f>报表格式!B44</f>
        <v>在建工程</v>
      </c>
      <c r="B46" s="130">
        <f t="shared" si="6"/>
        <v>40</v>
      </c>
      <c r="C46" s="254">
        <f>年初BS审定!F45</f>
        <v>0</v>
      </c>
      <c r="D46" s="254">
        <f>审定合并BS!H45</f>
        <v>0</v>
      </c>
      <c r="E46" s="254">
        <f t="shared" si="27"/>
        <v>0</v>
      </c>
      <c r="F46" s="255" t="str">
        <f t="shared" si="28"/>
        <v/>
      </c>
      <c r="G46" s="251" t="str">
        <f>IF(F46="","",IF(OR(ABS(F46)&gt;=30%,ABS(E46)&gt;=$D$60*5%,ABS(E46)&gt;=母已审横向PL!$D$39*10%),"显著",IF(ABS(F46)&gt;=10%,"关注","")))</f>
        <v/>
      </c>
      <c r="H46" s="132"/>
      <c r="I46" s="133" t="str">
        <f>报表格式!G44</f>
        <v>非流动负债合计</v>
      </c>
      <c r="J46" s="131">
        <f t="shared" si="0"/>
        <v>40</v>
      </c>
      <c r="K46" s="256">
        <f>年初BS审定!F100</f>
        <v>0</v>
      </c>
      <c r="L46" s="256">
        <f>审定合并BS!H105</f>
        <v>0</v>
      </c>
      <c r="M46" s="256">
        <f>L46-K46</f>
        <v>0</v>
      </c>
      <c r="N46" s="322" t="str">
        <f>IF(AND(K46=0,L46=0),"",IF(K46=0,100%,IF(L46=0,-100%,M46/K46)))</f>
        <v/>
      </c>
      <c r="O46" s="686" t="str">
        <f>IF(N46="","",IF(OR(ABS(N46)&gt;=30%,ABS(M46)&gt;=$D$60*5%,ABS(M46)&gt;=母已审横向PL!$D$39*10%),"显著",IF(ABS(N46)&gt;=10%,"关注","")))</f>
        <v/>
      </c>
      <c r="P46" s="604"/>
    </row>
    <row r="47" spans="1:16" ht="13.9" customHeight="1">
      <c r="A47" s="129" t="str">
        <f>报表格式!B45</f>
        <v xml:space="preserve">生产性生物资产 </v>
      </c>
      <c r="B47" s="130">
        <f t="shared" si="6"/>
        <v>41</v>
      </c>
      <c r="C47" s="254">
        <f>年初BS审定!F46</f>
        <v>0</v>
      </c>
      <c r="D47" s="254">
        <f>审定合并BS!H46</f>
        <v>0</v>
      </c>
      <c r="E47" s="254">
        <f t="shared" si="27"/>
        <v>0</v>
      </c>
      <c r="F47" s="255" t="str">
        <f t="shared" si="28"/>
        <v/>
      </c>
      <c r="G47" s="251" t="str">
        <f>IF(F47="","",IF(OR(ABS(F47)&gt;=30%,ABS(E47)&gt;=$D$60*5%,ABS(E47)&gt;=母已审横向PL!$D$39*10%),"显著",IF(ABS(F47)&gt;=10%,"关注","")))</f>
        <v/>
      </c>
      <c r="H47" s="169"/>
      <c r="I47" s="133" t="str">
        <f>报表格式!G45</f>
        <v>负 债 合 计</v>
      </c>
      <c r="J47" s="131">
        <f t="shared" si="0"/>
        <v>41</v>
      </c>
      <c r="K47" s="256">
        <f>年初BS审定!F101</f>
        <v>0</v>
      </c>
      <c r="L47" s="256">
        <f>审定合并BS!H106</f>
        <v>0</v>
      </c>
      <c r="M47" s="256">
        <f>L47-K47</f>
        <v>0</v>
      </c>
      <c r="N47" s="322" t="str">
        <f>IF(AND(K47=0,L47=0),"",IF(K47=0,100%,IF(L47=0,-100%,M47/K47)))</f>
        <v/>
      </c>
      <c r="O47" s="686" t="str">
        <f>IF(N47="","",IF(OR(ABS(N47)&gt;=30%,ABS(M47)&gt;=$D$60*5%,ABS(M47)&gt;=母已审横向PL!$D$39*10%),"显著",IF(ABS(N47)&gt;=10%,"关注","")))</f>
        <v/>
      </c>
      <c r="P47" s="604"/>
    </row>
    <row r="48" spans="1:16" ht="13.9" customHeight="1">
      <c r="A48" s="129" t="str">
        <f>报表格式!B46</f>
        <v>油气资产</v>
      </c>
      <c r="B48" s="130">
        <f>B47+1</f>
        <v>42</v>
      </c>
      <c r="C48" s="254">
        <f>年初BS审定!F47</f>
        <v>0</v>
      </c>
      <c r="D48" s="254">
        <f>审定合并BS!H47</f>
        <v>0</v>
      </c>
      <c r="E48" s="254">
        <f t="shared" si="27"/>
        <v>0</v>
      </c>
      <c r="F48" s="255" t="str">
        <f t="shared" si="28"/>
        <v/>
      </c>
      <c r="G48" s="251" t="str">
        <f>IF(F48="","",IF(OR(ABS(F48)&gt;=30%,ABS(E48)&gt;=$D$60*5%,ABS(E48)&gt;=母已审横向PL!$D$39*10%),"显著",IF(ABS(F48)&gt;=10%,"关注","")))</f>
        <v/>
      </c>
      <c r="H48" s="169"/>
      <c r="I48" s="188" t="str">
        <f>报表格式!G46</f>
        <v>股东权益：</v>
      </c>
      <c r="J48" s="131">
        <f t="shared" si="0"/>
        <v>42</v>
      </c>
      <c r="K48" s="254"/>
      <c r="L48" s="254"/>
      <c r="M48" s="254"/>
      <c r="N48" s="255"/>
      <c r="O48" s="251" t="str">
        <f>IF(N48="","",IF(OR(ABS(N48)&gt;=30%,ABS(M48)&gt;=$D$60*5%,ABS(M48)&gt;=母已审横向PL!$D$39*10%),"显著",IF(ABS(N48)&gt;=10%,"关注","")))</f>
        <v/>
      </c>
      <c r="P48" s="604"/>
    </row>
    <row r="49" spans="1:16" ht="13.9" customHeight="1">
      <c r="A49" s="129" t="str">
        <f>报表格式!B47</f>
        <v>使用权资产</v>
      </c>
      <c r="B49" s="130">
        <f t="shared" si="6"/>
        <v>43</v>
      </c>
      <c r="C49" s="254">
        <f>年初BS审定!F48</f>
        <v>0</v>
      </c>
      <c r="D49" s="254">
        <f>审定合并BS!H48</f>
        <v>0</v>
      </c>
      <c r="E49" s="254">
        <f t="shared" si="27"/>
        <v>0</v>
      </c>
      <c r="F49" s="255" t="str">
        <f t="shared" si="28"/>
        <v/>
      </c>
      <c r="G49" s="251" t="str">
        <f>IF(F49="","",IF(OR(ABS(F49)&gt;=30%,ABS(E49)&gt;=$D$60*5%,ABS(E49)&gt;=母已审横向PL!$D$39*10%),"显著",IF(ABS(F49)&gt;=10%,"关注","")))</f>
        <v/>
      </c>
      <c r="H49" s="132"/>
      <c r="I49" s="187" t="str">
        <f>报表格式!G47</f>
        <v>股本</v>
      </c>
      <c r="J49" s="131">
        <f t="shared" si="0"/>
        <v>43</v>
      </c>
      <c r="K49" s="254">
        <f>年初BS审定!F103</f>
        <v>0</v>
      </c>
      <c r="L49" s="254">
        <f>审定合并BS!H108</f>
        <v>0</v>
      </c>
      <c r="M49" s="254">
        <f>L49-K49</f>
        <v>0</v>
      </c>
      <c r="N49" s="255" t="str">
        <f>IF(AND(K49=0,L49=0),"",IF(K49=0,100%,IF(L49=0,-100%,M49/K49)))</f>
        <v/>
      </c>
      <c r="O49" s="251" t="str">
        <f>IF(N49="","",IF(OR(ABS(N49)&gt;=30%,ABS(M49)&gt;=$D$60*5%,ABS(M49)&gt;=母已审横向PL!$D$39*10%),"显著",IF(ABS(N49)&gt;=10%,"关注","")))</f>
        <v/>
      </c>
      <c r="P49" s="604"/>
    </row>
    <row r="50" spans="1:16">
      <c r="A50" s="129" t="str">
        <f>报表格式!B48</f>
        <v>无形资产</v>
      </c>
      <c r="B50" s="130">
        <f t="shared" si="6"/>
        <v>44</v>
      </c>
      <c r="C50" s="254">
        <f>年初BS审定!F49</f>
        <v>0</v>
      </c>
      <c r="D50" s="254">
        <f>审定合并BS!H49</f>
        <v>0</v>
      </c>
      <c r="E50" s="254">
        <f t="shared" si="27"/>
        <v>0</v>
      </c>
      <c r="F50" s="255" t="str">
        <f t="shared" si="28"/>
        <v/>
      </c>
      <c r="G50" s="251" t="str">
        <f>IF(F50="","",IF(OR(ABS(F50)&gt;=30%,ABS(E50)&gt;=$D$60*5%,ABS(E50)&gt;=母已审横向PL!$D$39*10%),"显著",IF(ABS(F50)&gt;=10%,"关注","")))</f>
        <v/>
      </c>
      <c r="H50" s="132"/>
      <c r="I50" s="187" t="str">
        <f>报表格式!G48</f>
        <v>其他权益工具</v>
      </c>
      <c r="J50" s="131">
        <f t="shared" si="0"/>
        <v>44</v>
      </c>
      <c r="K50" s="254">
        <f>年初BS审定!F104</f>
        <v>0</v>
      </c>
      <c r="L50" s="254">
        <f>审定合并BS!H109</f>
        <v>0</v>
      </c>
      <c r="M50" s="254">
        <f t="shared" ref="M50:M61" si="35">L50-K50</f>
        <v>0</v>
      </c>
      <c r="N50" s="255" t="str">
        <f t="shared" ref="N50:N61" si="36">IF(AND(K50=0,L50=0),"",IF(K50=0,100%,IF(L50=0,-100%,M50/K50)))</f>
        <v/>
      </c>
      <c r="O50" s="251" t="str">
        <f>IF(N50="","",IF(OR(ABS(N50)&gt;=30%,ABS(M50)&gt;=$D$60*5%,ABS(M50)&gt;=母已审横向PL!$D$39*10%),"显著",IF(ABS(N50)&gt;=10%,"关注","")))</f>
        <v/>
      </c>
      <c r="P50" s="604"/>
    </row>
    <row r="51" spans="1:16">
      <c r="A51" s="129" t="str">
        <f>报表格式!B49</f>
        <v>开发支出</v>
      </c>
      <c r="B51" s="130">
        <f t="shared" si="6"/>
        <v>45</v>
      </c>
      <c r="C51" s="254">
        <f>年初BS审定!F50</f>
        <v>0</v>
      </c>
      <c r="D51" s="254">
        <f>审定合并BS!H50</f>
        <v>0</v>
      </c>
      <c r="E51" s="254">
        <f t="shared" si="27"/>
        <v>0</v>
      </c>
      <c r="F51" s="255" t="str">
        <f t="shared" si="28"/>
        <v/>
      </c>
      <c r="G51" s="251" t="str">
        <f>IF(F51="","",IF(OR(ABS(F51)&gt;=30%,ABS(E51)&gt;=$D$60*5%,ABS(E51)&gt;=母已审横向PL!$D$39*10%),"显著",IF(ABS(F51)&gt;=10%,"关注","")))</f>
        <v/>
      </c>
      <c r="H51" s="169"/>
      <c r="I51" s="187" t="str">
        <f>报表格式!G49</f>
        <v xml:space="preserve">  其中：优先股</v>
      </c>
      <c r="J51" s="131">
        <f>J50+1</f>
        <v>45</v>
      </c>
      <c r="K51" s="254">
        <f>年初BS审定!F105</f>
        <v>0</v>
      </c>
      <c r="L51" s="254">
        <f>审定合并BS!H110</f>
        <v>0</v>
      </c>
      <c r="M51" s="254">
        <f t="shared" si="35"/>
        <v>0</v>
      </c>
      <c r="N51" s="255" t="str">
        <f t="shared" si="36"/>
        <v/>
      </c>
      <c r="O51" s="251" t="str">
        <f>IF(N51="","",IF(OR(ABS(N51)&gt;=30%,ABS(M51)&gt;=$D$60*5%,ABS(M51)&gt;=母已审横向PL!$D$39*10%),"显著",IF(ABS(N51)&gt;=10%,"关注","")))</f>
        <v/>
      </c>
      <c r="P51" s="604"/>
    </row>
    <row r="52" spans="1:16">
      <c r="A52" s="129" t="str">
        <f>报表格式!B50</f>
        <v>商誉</v>
      </c>
      <c r="B52" s="130">
        <f t="shared" si="6"/>
        <v>46</v>
      </c>
      <c r="C52" s="254">
        <f>年初BS审定!F51</f>
        <v>0</v>
      </c>
      <c r="D52" s="254">
        <f>审定合并BS!H51</f>
        <v>0</v>
      </c>
      <c r="E52" s="254">
        <f t="shared" si="27"/>
        <v>0</v>
      </c>
      <c r="F52" s="255" t="str">
        <f t="shared" si="28"/>
        <v/>
      </c>
      <c r="G52" s="251" t="str">
        <f>IF(F52="","",IF(OR(ABS(F52)&gt;=30%,ABS(E52)&gt;=$D$60*5%,ABS(E52)&gt;=母已审横向PL!$D$39*10%),"显著",IF(ABS(F52)&gt;=10%,"关注","")))</f>
        <v/>
      </c>
      <c r="H52" s="132"/>
      <c r="I52" s="187" t="str">
        <f>报表格式!G50</f>
        <v xml:space="preserve">        永续债</v>
      </c>
      <c r="J52" s="131">
        <f>J51+1</f>
        <v>46</v>
      </c>
      <c r="K52" s="254">
        <f>年初BS审定!F106</f>
        <v>0</v>
      </c>
      <c r="L52" s="254">
        <f>审定合并BS!H111</f>
        <v>0</v>
      </c>
      <c r="M52" s="254">
        <f t="shared" si="35"/>
        <v>0</v>
      </c>
      <c r="N52" s="255" t="str">
        <f t="shared" si="36"/>
        <v/>
      </c>
      <c r="O52" s="251" t="str">
        <f>IF(N52="","",IF(OR(ABS(N52)&gt;=30%,ABS(M52)&gt;=$D$60*5%,ABS(M52)&gt;=母已审横向PL!$D$39*10%),"显著",IF(ABS(N52)&gt;=10%,"关注","")))</f>
        <v/>
      </c>
      <c r="P52" s="604"/>
    </row>
    <row r="53" spans="1:16">
      <c r="A53" s="129" t="str">
        <f>报表格式!B51</f>
        <v>长期待摊费用</v>
      </c>
      <c r="B53" s="130">
        <f t="shared" si="6"/>
        <v>47</v>
      </c>
      <c r="C53" s="254">
        <f>年初BS审定!F52</f>
        <v>0</v>
      </c>
      <c r="D53" s="254">
        <f>审定合并BS!H52</f>
        <v>0</v>
      </c>
      <c r="E53" s="254">
        <f t="shared" si="27"/>
        <v>0</v>
      </c>
      <c r="F53" s="255" t="str">
        <f t="shared" si="28"/>
        <v/>
      </c>
      <c r="G53" s="251" t="str">
        <f>IF(F53="","",IF(OR(ABS(F53)&gt;=30%,ABS(E53)&gt;=$D$60*5%,ABS(E53)&gt;=母已审横向PL!$D$39*10%),"显著",IF(ABS(F53)&gt;=10%,"关注","")))</f>
        <v/>
      </c>
      <c r="H53" s="132"/>
      <c r="I53" s="187" t="str">
        <f>报表格式!G51</f>
        <v>资本公积</v>
      </c>
      <c r="J53" s="131">
        <f>J52+1</f>
        <v>47</v>
      </c>
      <c r="K53" s="254">
        <f>年初BS审定!F107</f>
        <v>0</v>
      </c>
      <c r="L53" s="254">
        <f>审定合并BS!H112</f>
        <v>0</v>
      </c>
      <c r="M53" s="254">
        <f t="shared" si="35"/>
        <v>0</v>
      </c>
      <c r="N53" s="255" t="str">
        <f t="shared" si="36"/>
        <v/>
      </c>
      <c r="O53" s="251" t="str">
        <f>IF(N53="","",IF(OR(ABS(N53)&gt;=30%,ABS(M53)&gt;=$D$60*5%,ABS(M53)&gt;=母已审横向PL!$D$39*10%),"显著",IF(ABS(N53)&gt;=10%,"关注","")))</f>
        <v/>
      </c>
      <c r="P53" s="604"/>
    </row>
    <row r="54" spans="1:16">
      <c r="A54" s="129" t="str">
        <f>报表格式!B52</f>
        <v>递延所得税资产</v>
      </c>
      <c r="B54" s="130">
        <f t="shared" si="6"/>
        <v>48</v>
      </c>
      <c r="C54" s="254">
        <f>年初BS审定!F53</f>
        <v>0</v>
      </c>
      <c r="D54" s="254">
        <f>审定合并BS!H53</f>
        <v>0</v>
      </c>
      <c r="E54" s="254">
        <f t="shared" ref="E54:E60" si="37">D54-C54</f>
        <v>0</v>
      </c>
      <c r="F54" s="255" t="str">
        <f t="shared" ref="F54:F60" si="38">IF(AND(C54=0,D54=0),"",IF(C54=0,100%,IF(D54=0,-100%,E54/C54)))</f>
        <v/>
      </c>
      <c r="G54" s="251" t="str">
        <f>IF(F54="","",IF(OR(ABS(F54)&gt;=30%,ABS(E54)&gt;=$D$60*5%,ABS(E54)&gt;=母已审横向PL!$D$39*10%),"显著",IF(ABS(F54)&gt;=10%,"关注","")))</f>
        <v/>
      </c>
      <c r="H54" s="132"/>
      <c r="I54" s="187" t="str">
        <f>报表格式!G52</f>
        <v>减：库存股</v>
      </c>
      <c r="J54" s="131">
        <f t="shared" ref="J54:J63" si="39">J53+1</f>
        <v>48</v>
      </c>
      <c r="K54" s="254">
        <f>年初BS审定!F108</f>
        <v>0</v>
      </c>
      <c r="L54" s="254">
        <f>审定合并BS!H113</f>
        <v>0</v>
      </c>
      <c r="M54" s="254">
        <f t="shared" si="35"/>
        <v>0</v>
      </c>
      <c r="N54" s="255" t="str">
        <f t="shared" si="36"/>
        <v/>
      </c>
      <c r="O54" s="251" t="str">
        <f>IF(N54="","",IF(OR(ABS(N54)&gt;=30%,ABS(M54)&gt;=$D$60*5%,ABS(M54)&gt;=母已审横向PL!$D$39*10%),"显著",IF(ABS(N54)&gt;=10%,"关注","")))</f>
        <v/>
      </c>
      <c r="P54" s="604"/>
    </row>
    <row r="55" spans="1:16">
      <c r="A55" s="129" t="str">
        <f>报表格式!B53</f>
        <v>其他非流动资产</v>
      </c>
      <c r="B55" s="130">
        <f t="shared" si="6"/>
        <v>49</v>
      </c>
      <c r="C55" s="254">
        <f>年初BS审定!F54</f>
        <v>0</v>
      </c>
      <c r="D55" s="254">
        <f>审定合并BS!H54</f>
        <v>0</v>
      </c>
      <c r="E55" s="254">
        <f t="shared" si="37"/>
        <v>0</v>
      </c>
      <c r="F55" s="255" t="str">
        <f t="shared" si="38"/>
        <v/>
      </c>
      <c r="G55" s="251" t="str">
        <f>IF(F55="","",IF(OR(ABS(F55)&gt;=30%,ABS(E55)&gt;=$D$60*5%,ABS(E55)&gt;=母已审横向PL!$D$39*10%),"显著",IF(ABS(F55)&gt;=10%,"关注","")))</f>
        <v/>
      </c>
      <c r="H55" s="132"/>
      <c r="I55" s="187" t="str">
        <f>报表格式!G53</f>
        <v>其他综合收益</v>
      </c>
      <c r="J55" s="131">
        <f t="shared" si="39"/>
        <v>49</v>
      </c>
      <c r="K55" s="254">
        <f>年初BS审定!F109</f>
        <v>0</v>
      </c>
      <c r="L55" s="254">
        <f>审定合并BS!H114</f>
        <v>0</v>
      </c>
      <c r="M55" s="254">
        <f t="shared" si="35"/>
        <v>0</v>
      </c>
      <c r="N55" s="255" t="str">
        <f t="shared" si="36"/>
        <v/>
      </c>
      <c r="O55" s="251" t="str">
        <f>IF(N55="","",IF(OR(ABS(N55)&gt;=30%,ABS(M55)&gt;=$D$60*5%,ABS(M55)&gt;=母已审横向PL!$D$39*10%),"显著",IF(ABS(N55)&gt;=10%,"关注","")))</f>
        <v/>
      </c>
      <c r="P55" s="604"/>
    </row>
    <row r="56" spans="1:16">
      <c r="A56" s="129">
        <f>报表格式!B54</f>
        <v>0</v>
      </c>
      <c r="B56" s="130">
        <f t="shared" si="6"/>
        <v>50</v>
      </c>
      <c r="C56" s="254">
        <f>年初BS审定!F55</f>
        <v>0</v>
      </c>
      <c r="D56" s="254">
        <f>审定合并BS!H55</f>
        <v>0</v>
      </c>
      <c r="E56" s="254">
        <f t="shared" si="37"/>
        <v>0</v>
      </c>
      <c r="F56" s="255" t="str">
        <f t="shared" si="38"/>
        <v/>
      </c>
      <c r="G56" s="251" t="str">
        <f>IF(F56="","",IF(OR(ABS(F56)&gt;=30%,ABS(E56)&gt;=$D$60*5%,ABS(E56)&gt;=母已审横向PL!$D$39*10%),"显著",IF(ABS(F56)&gt;=10%,"关注","")))</f>
        <v/>
      </c>
      <c r="H56" s="132"/>
      <c r="I56" s="187" t="str">
        <f>报表格式!G54</f>
        <v>专项储备</v>
      </c>
      <c r="J56" s="131">
        <f t="shared" si="39"/>
        <v>50</v>
      </c>
      <c r="K56" s="254">
        <f>年初BS审定!F110</f>
        <v>0</v>
      </c>
      <c r="L56" s="254">
        <f>审定合并BS!H115</f>
        <v>0</v>
      </c>
      <c r="M56" s="254">
        <f t="shared" si="35"/>
        <v>0</v>
      </c>
      <c r="N56" s="255" t="str">
        <f t="shared" si="36"/>
        <v/>
      </c>
      <c r="O56" s="251" t="str">
        <f>IF(N56="","",IF(OR(ABS(N56)&gt;=30%,ABS(M56)&gt;=$D$60*5%,ABS(M56)&gt;=母已审横向PL!$D$39*10%),"显著",IF(ABS(N56)&gt;=10%,"关注","")))</f>
        <v/>
      </c>
      <c r="P56" s="604"/>
    </row>
    <row r="57" spans="1:16">
      <c r="A57" s="129">
        <f>报表格式!B55</f>
        <v>0</v>
      </c>
      <c r="B57" s="130">
        <f t="shared" si="6"/>
        <v>51</v>
      </c>
      <c r="C57" s="254">
        <f>年初BS审定!F56</f>
        <v>0</v>
      </c>
      <c r="D57" s="254">
        <f>审定合并BS!H56</f>
        <v>0</v>
      </c>
      <c r="E57" s="254">
        <f t="shared" si="37"/>
        <v>0</v>
      </c>
      <c r="F57" s="255" t="str">
        <f t="shared" si="38"/>
        <v/>
      </c>
      <c r="G57" s="251" t="str">
        <f>IF(F57="","",IF(OR(ABS(F57)&gt;=30%,ABS(E57)&gt;=$D$60*5%,ABS(E57)&gt;=母已审横向PL!$D$39*10%),"显著",IF(ABS(F57)&gt;=10%,"关注","")))</f>
        <v/>
      </c>
      <c r="H57" s="132"/>
      <c r="I57" s="187" t="str">
        <f>报表格式!G55</f>
        <v>盈余公积</v>
      </c>
      <c r="J57" s="131">
        <f t="shared" si="39"/>
        <v>51</v>
      </c>
      <c r="K57" s="254">
        <f>年初BS审定!F111</f>
        <v>0</v>
      </c>
      <c r="L57" s="254">
        <f>审定合并BS!H116</f>
        <v>0</v>
      </c>
      <c r="M57" s="254">
        <f t="shared" si="35"/>
        <v>0</v>
      </c>
      <c r="N57" s="255" t="str">
        <f t="shared" si="36"/>
        <v/>
      </c>
      <c r="O57" s="251" t="str">
        <f>IF(N57="","",IF(OR(ABS(N57)&gt;=30%,ABS(M57)&gt;=$D$60*5%,ABS(M57)&gt;=母已审横向PL!$D$39*10%),"显著",IF(ABS(N57)&gt;=10%,"关注","")))</f>
        <v/>
      </c>
      <c r="P57" s="604"/>
    </row>
    <row r="58" spans="1:16">
      <c r="A58" s="129">
        <f>报表格式!B56</f>
        <v>0</v>
      </c>
      <c r="B58" s="130">
        <f t="shared" si="6"/>
        <v>52</v>
      </c>
      <c r="C58" s="254">
        <f>年初BS审定!F57</f>
        <v>0</v>
      </c>
      <c r="D58" s="254">
        <f>审定合并BS!H57</f>
        <v>0</v>
      </c>
      <c r="E58" s="254">
        <f t="shared" si="37"/>
        <v>0</v>
      </c>
      <c r="F58" s="255" t="str">
        <f t="shared" si="38"/>
        <v/>
      </c>
      <c r="G58" s="251" t="str">
        <f>IF(F58="","",IF(OR(ABS(F58)&gt;=30%,ABS(E58)&gt;=$D$60*5%,ABS(E58)&gt;=母已审横向PL!$D$39*10%),"显著",IF(ABS(F58)&gt;=10%,"关注","")))</f>
        <v/>
      </c>
      <c r="H58" s="132"/>
      <c r="I58" s="187" t="str">
        <f>报表格式!G56</f>
        <v>一般风险准备</v>
      </c>
      <c r="J58" s="131">
        <f t="shared" si="39"/>
        <v>52</v>
      </c>
      <c r="K58" s="254">
        <f>年初BS审定!F112</f>
        <v>0</v>
      </c>
      <c r="L58" s="254">
        <f>审定合并BS!H117</f>
        <v>0</v>
      </c>
      <c r="M58" s="254">
        <f t="shared" ref="M58:M59" si="40">L58-K58</f>
        <v>0</v>
      </c>
      <c r="N58" s="255" t="str">
        <f t="shared" ref="N58:N59" si="41">IF(AND(K58=0,L58=0),"",IF(K58=0,100%,IF(L58=0,-100%,M58/K58)))</f>
        <v/>
      </c>
      <c r="O58" s="251" t="str">
        <f>IF(N58="","",IF(OR(ABS(N58)&gt;=30%,ABS(M58)&gt;=$D$60*5%,ABS(M58)&gt;=母已审横向PL!$D$39*10%),"显著",IF(ABS(N58)&gt;=10%,"关注","")))</f>
        <v/>
      </c>
      <c r="P58" s="604"/>
    </row>
    <row r="59" spans="1:16">
      <c r="A59" s="135" t="str">
        <f>报表格式!B57</f>
        <v>非流动资产合计</v>
      </c>
      <c r="B59" s="131">
        <f t="shared" si="6"/>
        <v>53</v>
      </c>
      <c r="C59" s="256">
        <f>年初BS审定!F58</f>
        <v>0</v>
      </c>
      <c r="D59" s="256">
        <f>审定合并BS!H58</f>
        <v>0</v>
      </c>
      <c r="E59" s="256">
        <f t="shared" si="37"/>
        <v>0</v>
      </c>
      <c r="F59" s="322" t="str">
        <f t="shared" si="38"/>
        <v/>
      </c>
      <c r="G59" s="686" t="str">
        <f>IF(F59="","",IF(OR(ABS(F59)&gt;=30%,ABS(E59)&gt;=$D$60*5%,ABS(E59)&gt;=母已审横向PL!$D$39*10%),"显著",IF(ABS(F59)&gt;=10%,"关注","")))</f>
        <v/>
      </c>
      <c r="H59" s="132"/>
      <c r="I59" s="187" t="str">
        <f>报表格式!G57</f>
        <v>未分配利润</v>
      </c>
      <c r="J59" s="131">
        <f t="shared" si="39"/>
        <v>53</v>
      </c>
      <c r="K59" s="254">
        <f>年初BS审定!F113</f>
        <v>0</v>
      </c>
      <c r="L59" s="254">
        <f>审定合并BS!H118</f>
        <v>0</v>
      </c>
      <c r="M59" s="254">
        <f t="shared" si="40"/>
        <v>0</v>
      </c>
      <c r="N59" s="255" t="str">
        <f t="shared" si="41"/>
        <v/>
      </c>
      <c r="O59" s="251" t="str">
        <f>IF(N59="","",IF(OR(ABS(N59)&gt;=30%,ABS(M59)&gt;=$D$60*5%,ABS(M59)&gt;=母已审横向PL!$D$39*10%),"显著",IF(ABS(N59)&gt;=10%,"关注","")))</f>
        <v/>
      </c>
      <c r="P59" s="604"/>
    </row>
    <row r="60" spans="1:16" ht="15" thickBot="1">
      <c r="A60" s="136" t="str">
        <f>报表格式!B58</f>
        <v>资 产 总 计</v>
      </c>
      <c r="B60" s="137">
        <f t="shared" si="6"/>
        <v>54</v>
      </c>
      <c r="C60" s="257">
        <f>年初BS审定!F59</f>
        <v>0</v>
      </c>
      <c r="D60" s="257">
        <f>审定合并BS!H59</f>
        <v>0</v>
      </c>
      <c r="E60" s="257">
        <f t="shared" si="37"/>
        <v>0</v>
      </c>
      <c r="F60" s="323" t="str">
        <f t="shared" si="38"/>
        <v/>
      </c>
      <c r="G60" s="689" t="str">
        <f>IF(F60="","",IF(OR(ABS(F60)&gt;=30%,ABS(E60)&gt;=$D$60*5%,ABS(E60)&gt;=母已审横向PL!$D$39*10%),"显著",IF(ABS(F60)&gt;=10%,"关注","")))</f>
        <v/>
      </c>
      <c r="H60" s="170"/>
      <c r="I60" s="187" t="str">
        <f>报表格式!G58</f>
        <v>归属于母公司股东权益合计</v>
      </c>
      <c r="J60" s="131">
        <f t="shared" si="39"/>
        <v>54</v>
      </c>
      <c r="K60" s="254">
        <f>年初BS审定!F114</f>
        <v>0</v>
      </c>
      <c r="L60" s="254">
        <f>审定合并BS!H119</f>
        <v>0</v>
      </c>
      <c r="M60" s="254">
        <f t="shared" si="35"/>
        <v>0</v>
      </c>
      <c r="N60" s="255" t="str">
        <f t="shared" si="36"/>
        <v/>
      </c>
      <c r="O60" s="251" t="str">
        <f>IF(N60="","",IF(OR(ABS(N60)&gt;=30%,ABS(M60)&gt;=$D$60*5%,ABS(M60)&gt;=母已审横向PL!$D$39*10%),"显著",IF(ABS(N60)&gt;=10%,"关注","")))</f>
        <v/>
      </c>
      <c r="P60" s="604"/>
    </row>
    <row r="61" spans="1:16">
      <c r="A61" s="78"/>
      <c r="B61" s="78"/>
      <c r="I61" s="187" t="str">
        <f>报表格式!G59</f>
        <v>少数股东权益</v>
      </c>
      <c r="J61" s="131">
        <f t="shared" si="39"/>
        <v>55</v>
      </c>
      <c r="K61" s="254">
        <f>年初BS审定!F115</f>
        <v>0</v>
      </c>
      <c r="L61" s="254">
        <f>审定合并BS!H120</f>
        <v>0</v>
      </c>
      <c r="M61" s="254">
        <f t="shared" si="35"/>
        <v>0</v>
      </c>
      <c r="N61" s="255" t="str">
        <f t="shared" si="36"/>
        <v/>
      </c>
      <c r="O61" s="251" t="str">
        <f>IF(N61="","",IF(OR(ABS(N61)&gt;=30%,ABS(M61)&gt;=$D$60*5%,ABS(M61)&gt;=母已审横向PL!$D$39*10%),"显著",IF(ABS(N61)&gt;=10%,"关注","")))</f>
        <v/>
      </c>
      <c r="P61" s="604"/>
    </row>
    <row r="62" spans="1:16">
      <c r="A62" s="78"/>
      <c r="B62" s="78"/>
      <c r="I62" s="185" t="str">
        <f>报表格式!G60</f>
        <v>股东权益合计</v>
      </c>
      <c r="J62" s="131">
        <f t="shared" si="39"/>
        <v>56</v>
      </c>
      <c r="K62" s="259">
        <f>年初BS审定!F116</f>
        <v>0</v>
      </c>
      <c r="L62" s="256">
        <f>审定合并BS!H121</f>
        <v>0</v>
      </c>
      <c r="M62" s="256">
        <f>L62-K62</f>
        <v>0</v>
      </c>
      <c r="N62" s="322" t="str">
        <f>IF(AND(K62=0,L62=0),"",IF(K62=0,100%,IF(L62=0,-100%,M62/K62)))</f>
        <v/>
      </c>
      <c r="O62" s="686" t="str">
        <f>IF(N62="","",IF(OR(ABS(N62)&gt;=30%,ABS(M62)&gt;=$D$60*5%,ABS(M62)&gt;=母已审横向PL!$D$39*10%),"显著",IF(ABS(N62)&gt;=10%,"关注","")))</f>
        <v/>
      </c>
      <c r="P62" s="605"/>
    </row>
    <row r="63" spans="1:16" ht="15" thickBot="1">
      <c r="A63" s="78"/>
      <c r="B63" s="78"/>
      <c r="I63" s="189" t="str">
        <f>报表格式!G61</f>
        <v>负债和股东权益合计</v>
      </c>
      <c r="J63" s="137">
        <f t="shared" si="39"/>
        <v>57</v>
      </c>
      <c r="K63" s="257">
        <f>年初BS审定!F117</f>
        <v>0</v>
      </c>
      <c r="L63" s="260">
        <f>审定合并BS!H122</f>
        <v>0</v>
      </c>
      <c r="M63" s="260">
        <f>L63-K63</f>
        <v>0</v>
      </c>
      <c r="N63" s="688" t="str">
        <f>IF(AND(K63=0,L63=0),"",IF(K63=0,100%,IF(L63=0,-100%,M63/K63)))</f>
        <v/>
      </c>
      <c r="O63" s="689" t="str">
        <f>IF(N63="","",IF(OR(ABS(N63)&gt;=30%,ABS(M63)&gt;=$D$60*5%,ABS(M63)&gt;=母已审横向PL!$D$39*10%),"显著",IF(ABS(N63)&gt;=10%,"关注","")))</f>
        <v/>
      </c>
      <c r="P63" s="606"/>
    </row>
    <row r="64" spans="1:16">
      <c r="A64" s="78"/>
      <c r="B64" s="78"/>
      <c r="I64" s="78"/>
      <c r="J64" s="78"/>
    </row>
    <row r="65" spans="9:10">
      <c r="I65" s="78"/>
      <c r="J65" s="78"/>
    </row>
    <row r="66" spans="9:10">
      <c r="I66" s="78"/>
      <c r="J66" s="78"/>
    </row>
    <row r="67" spans="9:10">
      <c r="I67" s="78"/>
      <c r="J67" s="78"/>
    </row>
  </sheetData>
  <sheetProtection formatCells="0" insertRows="0" autoFilter="0" pivotTables="0"/>
  <mergeCells count="14">
    <mergeCell ref="O4:O6"/>
    <mergeCell ref="P4:P6"/>
    <mergeCell ref="J4:J6"/>
    <mergeCell ref="I1:P1"/>
    <mergeCell ref="A4:A6"/>
    <mergeCell ref="C4:C5"/>
    <mergeCell ref="D4:D5"/>
    <mergeCell ref="I4:I6"/>
    <mergeCell ref="G4:G6"/>
    <mergeCell ref="H4:H6"/>
    <mergeCell ref="B4:B6"/>
    <mergeCell ref="A1:H1"/>
    <mergeCell ref="K4:K5"/>
    <mergeCell ref="L4:L5"/>
  </mergeCells>
  <phoneticPr fontId="3" type="noConversion"/>
  <conditionalFormatting sqref="H7:M7 C7:F7">
    <cfRule type="cellIs" dxfId="13" priority="1" stopIfTrue="1" operator="equal">
      <formula>"            对不起，请到参数表中确定报表类型！"</formula>
    </cfRule>
    <cfRule type="cellIs" dxfId="12" priority="2" stopIfTrue="1" operator="equal">
      <formula>"对不起，试用期已到，请查看系统信息，并与作者联系。"</formula>
    </cfRule>
  </conditionalFormatting>
  <conditionalFormatting sqref="G7">
    <cfRule type="cellIs" dxfId="11" priority="3" stopIfTrue="1" operator="equal">
      <formula>"异常"</formula>
    </cfRule>
  </conditionalFormatting>
  <conditionalFormatting sqref="G8:G60 O8:O63">
    <cfRule type="cellIs" dxfId="10" priority="4" stopIfTrue="1" operator="equal">
      <formula>"显著"</formula>
    </cfRule>
  </conditionalFormatting>
  <printOptions horizontalCentered="1"/>
  <pageMargins left="0.35" right="0.23622047244094491" top="0.75" bottom="0.27" header="0.4" footer="0.2"/>
  <pageSetup paperSize="9" scale="94" fitToWidth="2" orientation="portrait" blackAndWhite="1"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indexed="39"/>
    <pageSetUpPr fitToPage="1"/>
  </sheetPr>
  <dimension ref="A1:R68"/>
  <sheetViews>
    <sheetView showZeros="0" zoomScaleNormal="100" workbookViewId="0">
      <pane xSplit="2" ySplit="7" topLeftCell="F8" activePane="bottomRight" state="frozen"/>
      <selection activeCell="H6" sqref="H6"/>
      <selection pane="topRight" activeCell="H6" sqref="H6"/>
      <selection pane="bottomLeft" activeCell="H6" sqref="H6"/>
      <selection pane="bottomRight" activeCell="Q67" sqref="Q67"/>
    </sheetView>
  </sheetViews>
  <sheetFormatPr defaultColWidth="9" defaultRowHeight="14.25"/>
  <cols>
    <col min="1" max="1" width="23.125" style="77" customWidth="1"/>
    <col min="2" max="2" width="2.625" style="77" customWidth="1"/>
    <col min="3" max="3" width="12.25" style="78" customWidth="1"/>
    <col min="4" max="4" width="7" style="78" customWidth="1"/>
    <col min="5" max="5" width="10.5" style="78" customWidth="1"/>
    <col min="6" max="6" width="7.75" style="78" customWidth="1"/>
    <col min="7" max="7" width="10.25" style="78" customWidth="1"/>
    <col min="8" max="8" width="9.375" style="78" customWidth="1"/>
    <col min="9" max="9" width="11.625" style="78" customWidth="1"/>
    <col min="10" max="10" width="18.375" style="77" customWidth="1"/>
    <col min="11" max="11" width="3.125" style="77" customWidth="1"/>
    <col min="12" max="12" width="12.375" style="78" customWidth="1"/>
    <col min="13" max="13" width="6.375" style="78" customWidth="1"/>
    <col min="14" max="14" width="10.5" style="78" customWidth="1"/>
    <col min="15" max="15" width="7.875" style="78" customWidth="1"/>
    <col min="16" max="16" width="9.625" style="78" bestFit="1" customWidth="1"/>
    <col min="17" max="17" width="9" style="78"/>
    <col min="18" max="18" width="12.375" style="78" customWidth="1"/>
    <col min="19" max="16384" width="9" style="78"/>
  </cols>
  <sheetData>
    <row r="1" spans="1:18" ht="18.75">
      <c r="A1" s="1219" t="s">
        <v>747</v>
      </c>
      <c r="B1" s="1219"/>
      <c r="C1" s="1219"/>
      <c r="D1" s="1219"/>
      <c r="E1" s="1219"/>
      <c r="F1" s="1219"/>
      <c r="G1" s="1219"/>
      <c r="H1" s="1219"/>
      <c r="I1" s="1219"/>
      <c r="J1" s="1219" t="s">
        <v>706</v>
      </c>
      <c r="K1" s="1219"/>
      <c r="L1" s="1219"/>
      <c r="M1" s="1219"/>
      <c r="N1" s="1219"/>
      <c r="O1" s="1219"/>
      <c r="P1" s="1219"/>
      <c r="Q1" s="1219"/>
      <c r="R1" s="1219"/>
    </row>
    <row r="2" spans="1:18" s="32" customFormat="1" ht="15" customHeight="1">
      <c r="A2" s="88" t="str">
        <f>CONCATENATE("客户名称：",说明!E23)</f>
        <v>客户名称：</v>
      </c>
      <c r="E2" s="89" t="str">
        <f>CONCATENATE("编制：",说明!E36)</f>
        <v>编制：</v>
      </c>
      <c r="F2" s="89"/>
      <c r="G2" s="88" t="str">
        <f>CONCATENATE("复核：",说明!E37)</f>
        <v>复核：</v>
      </c>
      <c r="H2" s="91"/>
      <c r="I2" s="806" t="s">
        <v>958</v>
      </c>
      <c r="J2" s="88" t="str">
        <f>CONCATENATE("客户名称：",说明!E23)</f>
        <v>客户名称：</v>
      </c>
      <c r="N2" s="89" t="str">
        <f>CONCATENATE("编制：",说明!E36)</f>
        <v>编制：</v>
      </c>
      <c r="O2" s="89"/>
      <c r="P2" s="88" t="str">
        <f>CONCATENATE("复核：",说明!E37)</f>
        <v>复核：</v>
      </c>
      <c r="Q2" s="91"/>
      <c r="R2" s="806" t="s">
        <v>958</v>
      </c>
    </row>
    <row r="3" spans="1:18" s="32" customFormat="1" ht="17.25" customHeight="1" thickBot="1">
      <c r="A3" s="91" t="str">
        <f>CONCATENATE("会计时点：",TEXT(说明!E32,"yyyy.mm.dd"))</f>
        <v>会计时点：2019.12.31</v>
      </c>
      <c r="E3" s="93" t="str">
        <f ca="1">CONCATENATE("日期：",TEXT(NOW(),"yyyy.mm.dd"))</f>
        <v>日期：2019.12.31</v>
      </c>
      <c r="F3" s="93"/>
      <c r="G3" s="89" t="s">
        <v>695</v>
      </c>
      <c r="H3" s="91"/>
      <c r="I3" s="89" t="s">
        <v>707</v>
      </c>
      <c r="J3" s="91" t="str">
        <f>CONCATENATE("会计时点：",TEXT(说明!E32,"yyyy.mm.dd"))</f>
        <v>会计时点：2019.12.31</v>
      </c>
      <c r="N3" s="93" t="str">
        <f ca="1">CONCATENATE("日期：",TEXT(NOW(),"yyyy.mm.dd"))</f>
        <v>日期：2019.12.31</v>
      </c>
      <c r="O3" s="93"/>
      <c r="P3" s="89" t="s">
        <v>695</v>
      </c>
      <c r="Q3" s="91"/>
      <c r="R3" s="89" t="s">
        <v>707</v>
      </c>
    </row>
    <row r="4" spans="1:18" ht="14.25" customHeight="1">
      <c r="A4" s="1220" t="s">
        <v>708</v>
      </c>
      <c r="B4" s="1231" t="s">
        <v>709</v>
      </c>
      <c r="C4" s="1237" t="s">
        <v>698</v>
      </c>
      <c r="D4" s="1238"/>
      <c r="E4" s="1237" t="s">
        <v>699</v>
      </c>
      <c r="F4" s="1238"/>
      <c r="G4" s="1239" t="s">
        <v>710</v>
      </c>
      <c r="H4" s="1228" t="s">
        <v>701</v>
      </c>
      <c r="I4" s="1234" t="s">
        <v>702</v>
      </c>
      <c r="J4" s="1225" t="str">
        <f>IF(说明!E28="一般企业（执行统一会计制度）","负债及所有者权益","负债及股东权益")</f>
        <v>负债及股东权益</v>
      </c>
      <c r="K4" s="1216" t="s">
        <v>709</v>
      </c>
      <c r="L4" s="1237" t="s">
        <v>698</v>
      </c>
      <c r="M4" s="1238"/>
      <c r="N4" s="1237" t="s">
        <v>699</v>
      </c>
      <c r="O4" s="1238"/>
      <c r="P4" s="1239" t="s">
        <v>710</v>
      </c>
      <c r="Q4" s="1228" t="s">
        <v>701</v>
      </c>
      <c r="R4" s="1234" t="s">
        <v>702</v>
      </c>
    </row>
    <row r="5" spans="1:18">
      <c r="A5" s="1221"/>
      <c r="B5" s="1232"/>
      <c r="C5" s="183" t="s">
        <v>376</v>
      </c>
      <c r="D5" s="174" t="s">
        <v>711</v>
      </c>
      <c r="E5" s="183" t="s">
        <v>712</v>
      </c>
      <c r="F5" s="174" t="s">
        <v>711</v>
      </c>
      <c r="G5" s="1240"/>
      <c r="H5" s="1229"/>
      <c r="I5" s="1235"/>
      <c r="J5" s="1226"/>
      <c r="K5" s="1217"/>
      <c r="L5" s="183" t="s">
        <v>376</v>
      </c>
      <c r="M5" s="174" t="s">
        <v>711</v>
      </c>
      <c r="N5" s="183" t="s">
        <v>712</v>
      </c>
      <c r="O5" s="174" t="s">
        <v>711</v>
      </c>
      <c r="P5" s="1240"/>
      <c r="Q5" s="1229"/>
      <c r="R5" s="1235"/>
    </row>
    <row r="6" spans="1:18">
      <c r="A6" s="1222"/>
      <c r="B6" s="1233"/>
      <c r="C6" s="176" t="s">
        <v>705</v>
      </c>
      <c r="D6" s="184" t="s">
        <v>713</v>
      </c>
      <c r="E6" s="184" t="s">
        <v>714</v>
      </c>
      <c r="F6" s="184" t="s">
        <v>715</v>
      </c>
      <c r="G6" s="184" t="s">
        <v>716</v>
      </c>
      <c r="H6" s="1230"/>
      <c r="I6" s="1236"/>
      <c r="J6" s="1227"/>
      <c r="K6" s="1218"/>
      <c r="L6" s="176" t="s">
        <v>705</v>
      </c>
      <c r="M6" s="184" t="s">
        <v>713</v>
      </c>
      <c r="N6" s="184" t="s">
        <v>714</v>
      </c>
      <c r="O6" s="184" t="s">
        <v>715</v>
      </c>
      <c r="P6" s="184" t="s">
        <v>716</v>
      </c>
      <c r="Q6" s="1230"/>
      <c r="R6" s="1236"/>
    </row>
    <row r="7" spans="1:18" ht="13.9" customHeight="1">
      <c r="A7" s="180" t="str">
        <f>报表格式!B5</f>
        <v>流动资产：</v>
      </c>
      <c r="B7" s="181">
        <v>1</v>
      </c>
      <c r="C7" s="252"/>
      <c r="D7" s="252"/>
      <c r="E7" s="252"/>
      <c r="F7" s="252"/>
      <c r="G7" s="253"/>
      <c r="H7" s="253"/>
      <c r="I7" s="731"/>
      <c r="J7" s="186" t="str">
        <f>报表格式!G5</f>
        <v>流动负债：</v>
      </c>
      <c r="K7" s="258">
        <f>B64+1</f>
        <v>1</v>
      </c>
      <c r="L7" s="252"/>
      <c r="M7" s="252"/>
      <c r="N7" s="252"/>
      <c r="O7" s="252"/>
      <c r="P7" s="266"/>
      <c r="Q7" s="266"/>
      <c r="R7" s="610"/>
    </row>
    <row r="8" spans="1:18" ht="13.9" customHeight="1">
      <c r="A8" s="129" t="str">
        <f>报表格式!B6</f>
        <v>货币资金</v>
      </c>
      <c r="B8" s="130">
        <f>B7+1</f>
        <v>2</v>
      </c>
      <c r="C8" s="254">
        <f>母已审横向BS!C8</f>
        <v>0</v>
      </c>
      <c r="D8" s="265" t="str">
        <f>IF(AND(C8&lt;&gt;0,$C$60&lt;&gt;0),C8/$C$60,"")</f>
        <v/>
      </c>
      <c r="E8" s="254">
        <f>母已审横向BS!D8</f>
        <v>0</v>
      </c>
      <c r="F8" s="265" t="str">
        <f>IF(AND(E8&lt;&gt;0,$E$60&lt;&gt;0),E8/$E$60,"")</f>
        <v/>
      </c>
      <c r="G8" s="255" t="str">
        <f t="shared" ref="G8:G51" si="0">IF(AND(D8="",F8=""),"",IF(D8="",F8,IF(F8="",-D8,F8-D8)))</f>
        <v/>
      </c>
      <c r="H8" s="692" t="str">
        <f t="shared" ref="H8:H51" si="1">IF(G8="","",IF(ABS(G8)&gt;=30%,"显著",IF(ABS(G8)&gt;=10%,"关注","")))</f>
        <v/>
      </c>
      <c r="I8" s="732"/>
      <c r="J8" s="187" t="str">
        <f>报表格式!G6</f>
        <v>短期借款</v>
      </c>
      <c r="K8" s="131">
        <f t="shared" ref="K8:K37" si="2">K7+1</f>
        <v>2</v>
      </c>
      <c r="L8" s="254">
        <f>母已审横向BS!K8</f>
        <v>0</v>
      </c>
      <c r="M8" s="265" t="str">
        <f>IF(AND(L8&lt;&gt;0,$L$63&lt;&gt;0),L8/$L$63,"")</f>
        <v/>
      </c>
      <c r="N8" s="254">
        <f>母已审横向BS!L8</f>
        <v>0</v>
      </c>
      <c r="O8" s="265" t="str">
        <f>IF(AND(N8&lt;&gt;0,$N$63&lt;&gt;0),N8/$N$63,"")</f>
        <v/>
      </c>
      <c r="P8" s="255" t="str">
        <f>IF(AND(M8="",O8=""),"",IF(M8="",O8,IF(O8="",-M8,O8-M8)))</f>
        <v/>
      </c>
      <c r="Q8" s="692" t="str">
        <f>IF(P8="","",IF(ABS(P8)&gt;=30%,"显著",IF(ABS(P8)&gt;=10%,"关注","")))</f>
        <v/>
      </c>
      <c r="R8" s="611"/>
    </row>
    <row r="9" spans="1:18" ht="13.9" customHeight="1">
      <c r="A9" s="129" t="str">
        <f>报表格式!B7</f>
        <v>结算备付金</v>
      </c>
      <c r="B9" s="130">
        <f t="shared" ref="B9:B11" si="3">B8+1</f>
        <v>3</v>
      </c>
      <c r="C9" s="254">
        <f>母已审横向BS!C9</f>
        <v>0</v>
      </c>
      <c r="D9" s="265" t="str">
        <f t="shared" ref="D9:D11" si="4">IF(AND(C9&lt;&gt;0,$C$60&lt;&gt;0),C9/$C$60,"")</f>
        <v/>
      </c>
      <c r="E9" s="254">
        <f>母已审横向BS!D9</f>
        <v>0</v>
      </c>
      <c r="F9" s="265" t="str">
        <f t="shared" ref="F9:F11" si="5">IF(AND(E9&lt;&gt;0,$E$60&lt;&gt;0),E9/$E$60,"")</f>
        <v/>
      </c>
      <c r="G9" s="255" t="str">
        <f t="shared" ref="G9:G11" si="6">IF(AND(D9="",F9=""),"",IF(D9="",F9,IF(F9="",-D9,F9-D9)))</f>
        <v/>
      </c>
      <c r="H9" s="692" t="str">
        <f t="shared" ref="H9:H11" si="7">IF(G9="","",IF(ABS(G9)&gt;=30%,"显著",IF(ABS(G9)&gt;=10%,"关注","")))</f>
        <v/>
      </c>
      <c r="I9" s="732"/>
      <c r="J9" s="187" t="str">
        <f>报表格式!G7</f>
        <v>向中央银行借款</v>
      </c>
      <c r="K9" s="131">
        <f t="shared" si="2"/>
        <v>3</v>
      </c>
      <c r="L9" s="254">
        <f>母已审横向BS!K9</f>
        <v>0</v>
      </c>
      <c r="M9" s="265" t="str">
        <f t="shared" ref="M9:M12" si="8">IF(AND(L9&lt;&gt;0,$L$63&lt;&gt;0),L9/$L$63,"")</f>
        <v/>
      </c>
      <c r="N9" s="254">
        <f>母已审横向BS!L9</f>
        <v>0</v>
      </c>
      <c r="O9" s="265" t="str">
        <f t="shared" ref="O9:O12" si="9">IF(AND(N9&lt;&gt;0,$N$63&lt;&gt;0),N9/$N$63,"")</f>
        <v/>
      </c>
      <c r="P9" s="255" t="str">
        <f t="shared" ref="P9:P12" si="10">IF(AND(M9="",O9=""),"",IF(M9="",O9,IF(O9="",-M9,O9-M9)))</f>
        <v/>
      </c>
      <c r="Q9" s="692" t="str">
        <f t="shared" ref="Q9:Q12" si="11">IF(P9="","",IF(ABS(P9)&gt;=30%,"显著",IF(ABS(P9)&gt;=10%,"关注","")))</f>
        <v/>
      </c>
      <c r="R9" s="611"/>
    </row>
    <row r="10" spans="1:18" ht="13.9" customHeight="1">
      <c r="A10" s="129" t="str">
        <f>报表格式!B8</f>
        <v>拆出资金</v>
      </c>
      <c r="B10" s="130">
        <f t="shared" si="3"/>
        <v>4</v>
      </c>
      <c r="C10" s="254">
        <f>母已审横向BS!C10</f>
        <v>0</v>
      </c>
      <c r="D10" s="265" t="str">
        <f t="shared" si="4"/>
        <v/>
      </c>
      <c r="E10" s="254">
        <f>母已审横向BS!D10</f>
        <v>0</v>
      </c>
      <c r="F10" s="265" t="str">
        <f t="shared" si="5"/>
        <v/>
      </c>
      <c r="G10" s="255" t="str">
        <f t="shared" si="6"/>
        <v/>
      </c>
      <c r="H10" s="692" t="str">
        <f t="shared" si="7"/>
        <v/>
      </c>
      <c r="I10" s="732"/>
      <c r="J10" s="187" t="str">
        <f>报表格式!G8</f>
        <v>吸收存款及同业存放</v>
      </c>
      <c r="K10" s="131">
        <f t="shared" si="2"/>
        <v>4</v>
      </c>
      <c r="L10" s="254">
        <f>母已审横向BS!K10</f>
        <v>0</v>
      </c>
      <c r="M10" s="265" t="str">
        <f t="shared" si="8"/>
        <v/>
      </c>
      <c r="N10" s="254">
        <f>母已审横向BS!L10</f>
        <v>0</v>
      </c>
      <c r="O10" s="265" t="str">
        <f t="shared" si="9"/>
        <v/>
      </c>
      <c r="P10" s="255" t="str">
        <f t="shared" si="10"/>
        <v/>
      </c>
      <c r="Q10" s="692" t="str">
        <f t="shared" si="11"/>
        <v/>
      </c>
      <c r="R10" s="611"/>
    </row>
    <row r="11" spans="1:18" ht="13.9" customHeight="1">
      <c r="A11" s="129" t="str">
        <f>报表格式!B9</f>
        <v>交易性金融资产</v>
      </c>
      <c r="B11" s="130">
        <f t="shared" si="3"/>
        <v>5</v>
      </c>
      <c r="C11" s="254">
        <f>母已审横向BS!C11</f>
        <v>0</v>
      </c>
      <c r="D11" s="265" t="str">
        <f t="shared" si="4"/>
        <v/>
      </c>
      <c r="E11" s="254">
        <f>母已审横向BS!D11</f>
        <v>0</v>
      </c>
      <c r="F11" s="265" t="str">
        <f t="shared" si="5"/>
        <v/>
      </c>
      <c r="G11" s="255" t="str">
        <f t="shared" si="6"/>
        <v/>
      </c>
      <c r="H11" s="692" t="str">
        <f t="shared" si="7"/>
        <v/>
      </c>
      <c r="I11" s="732"/>
      <c r="J11" s="187" t="str">
        <f>报表格式!G9</f>
        <v>拆入资金</v>
      </c>
      <c r="K11" s="131">
        <f t="shared" si="2"/>
        <v>5</v>
      </c>
      <c r="L11" s="254">
        <f>母已审横向BS!K11</f>
        <v>0</v>
      </c>
      <c r="M11" s="265" t="str">
        <f t="shared" si="8"/>
        <v/>
      </c>
      <c r="N11" s="254">
        <f>母已审横向BS!L11</f>
        <v>0</v>
      </c>
      <c r="O11" s="265" t="str">
        <f t="shared" si="9"/>
        <v/>
      </c>
      <c r="P11" s="255" t="str">
        <f t="shared" si="10"/>
        <v/>
      </c>
      <c r="Q11" s="692" t="str">
        <f t="shared" si="11"/>
        <v/>
      </c>
      <c r="R11" s="611"/>
    </row>
    <row r="12" spans="1:18" ht="13.9" customHeight="1">
      <c r="A12" s="129" t="str">
        <f>报表格式!B10</f>
        <v>以公允价值计量且其变动计入当期损益的金融资产</v>
      </c>
      <c r="B12" s="130">
        <f t="shared" ref="B12:B60" si="12">B11+1</f>
        <v>6</v>
      </c>
      <c r="C12" s="254">
        <f>母已审横向BS!C12</f>
        <v>0</v>
      </c>
      <c r="D12" s="265" t="str">
        <f t="shared" ref="D12:D17" si="13">IF(AND(C12&lt;&gt;0,$C$60&lt;&gt;0),C12/$C$60,"")</f>
        <v/>
      </c>
      <c r="E12" s="254">
        <f>母已审横向BS!D12</f>
        <v>0</v>
      </c>
      <c r="F12" s="265" t="str">
        <f t="shared" ref="F12:F17" si="14">IF(AND(E12&lt;&gt;0,$E$60&lt;&gt;0),E12/$E$60,"")</f>
        <v/>
      </c>
      <c r="G12" s="255" t="str">
        <f t="shared" ref="G12:G25" si="15">IF(AND(D12="",F12=""),"",IF(D12="",F12,IF(F12="",-D12,F12-D12)))</f>
        <v/>
      </c>
      <c r="H12" s="692" t="str">
        <f t="shared" ref="H12:H25" si="16">IF(G12="","",IF(ABS(G12)&gt;=30%,"显著",IF(ABS(G12)&gt;=10%,"关注","")))</f>
        <v/>
      </c>
      <c r="I12" s="732"/>
      <c r="J12" s="187" t="str">
        <f>报表格式!G10</f>
        <v>交易性金融负债</v>
      </c>
      <c r="K12" s="131">
        <f t="shared" si="2"/>
        <v>6</v>
      </c>
      <c r="L12" s="254">
        <f>母已审横向BS!K12</f>
        <v>0</v>
      </c>
      <c r="M12" s="265" t="str">
        <f t="shared" si="8"/>
        <v/>
      </c>
      <c r="N12" s="254">
        <f>母已审横向BS!L12</f>
        <v>0</v>
      </c>
      <c r="O12" s="265" t="str">
        <f t="shared" si="9"/>
        <v/>
      </c>
      <c r="P12" s="255" t="str">
        <f t="shared" si="10"/>
        <v/>
      </c>
      <c r="Q12" s="692" t="str">
        <f t="shared" si="11"/>
        <v/>
      </c>
      <c r="R12" s="611"/>
    </row>
    <row r="13" spans="1:18" ht="13.9" customHeight="1">
      <c r="A13" s="129" t="str">
        <f>报表格式!B11</f>
        <v>衍生金融资产</v>
      </c>
      <c r="B13" s="130">
        <f t="shared" si="12"/>
        <v>7</v>
      </c>
      <c r="C13" s="254">
        <f>母已审横向BS!C13</f>
        <v>0</v>
      </c>
      <c r="D13" s="265" t="str">
        <f t="shared" si="13"/>
        <v/>
      </c>
      <c r="E13" s="254">
        <f>母已审横向BS!D13</f>
        <v>0</v>
      </c>
      <c r="F13" s="265" t="str">
        <f t="shared" si="14"/>
        <v/>
      </c>
      <c r="G13" s="255" t="str">
        <f t="shared" si="15"/>
        <v/>
      </c>
      <c r="H13" s="692" t="str">
        <f t="shared" si="16"/>
        <v/>
      </c>
      <c r="I13" s="732"/>
      <c r="J13" s="187" t="str">
        <f>报表格式!G11</f>
        <v>以公允价值计量且其变动计入当期损益的金融负债</v>
      </c>
      <c r="K13" s="131">
        <f t="shared" si="2"/>
        <v>7</v>
      </c>
      <c r="L13" s="254">
        <f>母已审横向BS!K13</f>
        <v>0</v>
      </c>
      <c r="M13" s="265" t="str">
        <f>IF(AND(L13&lt;&gt;0,$L$63&lt;&gt;0),L13/$L$63,"")</f>
        <v/>
      </c>
      <c r="N13" s="254">
        <f>母已审横向BS!L13</f>
        <v>0</v>
      </c>
      <c r="O13" s="265" t="str">
        <f>IF(AND(N13&lt;&gt;0,$N$63&lt;&gt;0),N13/$N$63,"")</f>
        <v/>
      </c>
      <c r="P13" s="255" t="str">
        <f t="shared" ref="P13:P25" si="17">IF(AND(M13="",O13=""),"",IF(M13="",O13,IF(O13="",-M13,O13-M13)))</f>
        <v/>
      </c>
      <c r="Q13" s="692" t="str">
        <f t="shared" ref="Q13:Q25" si="18">IF(P13="","",IF(ABS(P13)&gt;=30%,"显著",IF(ABS(P13)&gt;=10%,"关注","")))</f>
        <v/>
      </c>
      <c r="R13" s="611"/>
    </row>
    <row r="14" spans="1:18" ht="13.9" customHeight="1">
      <c r="A14" s="129" t="str">
        <f>报表格式!B12</f>
        <v>应收票据</v>
      </c>
      <c r="B14" s="130">
        <f t="shared" si="12"/>
        <v>8</v>
      </c>
      <c r="C14" s="254">
        <f>母已审横向BS!C14</f>
        <v>0</v>
      </c>
      <c r="D14" s="265" t="str">
        <f t="shared" si="13"/>
        <v/>
      </c>
      <c r="E14" s="254">
        <f>母已审横向BS!D14</f>
        <v>0</v>
      </c>
      <c r="F14" s="265" t="str">
        <f t="shared" si="14"/>
        <v/>
      </c>
      <c r="G14" s="255" t="str">
        <f t="shared" si="15"/>
        <v/>
      </c>
      <c r="H14" s="692" t="str">
        <f t="shared" si="16"/>
        <v/>
      </c>
      <c r="I14" s="732"/>
      <c r="J14" s="187" t="str">
        <f>报表格式!G12</f>
        <v>衍生金融负债</v>
      </c>
      <c r="K14" s="131">
        <f t="shared" si="2"/>
        <v>8</v>
      </c>
      <c r="L14" s="254">
        <f>母已审横向BS!K14</f>
        <v>0</v>
      </c>
      <c r="M14" s="265" t="str">
        <f>IF(AND(L14&lt;&gt;0,$L$63&lt;&gt;0),L14/$L$63,"")</f>
        <v/>
      </c>
      <c r="N14" s="254">
        <f>母已审横向BS!L14</f>
        <v>0</v>
      </c>
      <c r="O14" s="265" t="str">
        <f>IF(AND(N14&lt;&gt;0,$N$63&lt;&gt;0),N14/$N$63,"")</f>
        <v/>
      </c>
      <c r="P14" s="255" t="str">
        <f t="shared" si="17"/>
        <v/>
      </c>
      <c r="Q14" s="692" t="str">
        <f t="shared" si="18"/>
        <v/>
      </c>
      <c r="R14" s="611"/>
    </row>
    <row r="15" spans="1:18" ht="13.9" customHeight="1">
      <c r="A15" s="129" t="str">
        <f>报表格式!B13</f>
        <v>应收账款</v>
      </c>
      <c r="B15" s="130">
        <f t="shared" si="12"/>
        <v>9</v>
      </c>
      <c r="C15" s="254">
        <f>母已审横向BS!C15</f>
        <v>0</v>
      </c>
      <c r="D15" s="265" t="str">
        <f t="shared" si="13"/>
        <v/>
      </c>
      <c r="E15" s="254">
        <f>母已审横向BS!D15</f>
        <v>0</v>
      </c>
      <c r="F15" s="265" t="str">
        <f t="shared" si="14"/>
        <v/>
      </c>
      <c r="G15" s="255" t="str">
        <f t="shared" si="15"/>
        <v/>
      </c>
      <c r="H15" s="692" t="str">
        <f t="shared" si="16"/>
        <v/>
      </c>
      <c r="I15" s="732"/>
      <c r="J15" s="187" t="str">
        <f>报表格式!G13</f>
        <v>应付票据</v>
      </c>
      <c r="K15" s="131">
        <f t="shared" si="2"/>
        <v>9</v>
      </c>
      <c r="L15" s="254">
        <f>母已审横向BS!K15</f>
        <v>0</v>
      </c>
      <c r="M15" s="265" t="str">
        <f>IF(AND(L15&lt;&gt;0,$L$63&lt;&gt;0),L15/$L$63,"")</f>
        <v/>
      </c>
      <c r="N15" s="254">
        <f>母已审横向BS!L15</f>
        <v>0</v>
      </c>
      <c r="O15" s="265" t="str">
        <f>IF(AND(N15&lt;&gt;0,$N$63&lt;&gt;0),N15/$N$63,"")</f>
        <v/>
      </c>
      <c r="P15" s="255" t="str">
        <f t="shared" si="17"/>
        <v/>
      </c>
      <c r="Q15" s="692" t="str">
        <f t="shared" si="18"/>
        <v/>
      </c>
      <c r="R15" s="611"/>
    </row>
    <row r="16" spans="1:18" ht="13.9" customHeight="1">
      <c r="A16" s="129" t="str">
        <f>报表格式!B14</f>
        <v>应收款项融资</v>
      </c>
      <c r="B16" s="130">
        <f t="shared" si="12"/>
        <v>10</v>
      </c>
      <c r="C16" s="254">
        <f>母已审横向BS!C16</f>
        <v>0</v>
      </c>
      <c r="D16" s="265" t="str">
        <f t="shared" si="13"/>
        <v/>
      </c>
      <c r="E16" s="254">
        <f>母已审横向BS!D16</f>
        <v>0</v>
      </c>
      <c r="F16" s="265" t="str">
        <f t="shared" si="14"/>
        <v/>
      </c>
      <c r="G16" s="255" t="str">
        <f t="shared" si="15"/>
        <v/>
      </c>
      <c r="H16" s="692" t="str">
        <f t="shared" si="16"/>
        <v/>
      </c>
      <c r="I16" s="732"/>
      <c r="J16" s="187" t="str">
        <f>报表格式!G14</f>
        <v>应付账款</v>
      </c>
      <c r="K16" s="131">
        <f t="shared" si="2"/>
        <v>10</v>
      </c>
      <c r="L16" s="254">
        <f>母已审横向BS!K16</f>
        <v>0</v>
      </c>
      <c r="M16" s="265" t="str">
        <f>IF(AND(L16&lt;&gt;0,$L$63&lt;&gt;0),L16/$L$63,"")</f>
        <v/>
      </c>
      <c r="N16" s="254">
        <f>母已审横向BS!L16</f>
        <v>0</v>
      </c>
      <c r="O16" s="265" t="str">
        <f>IF(AND(N16&lt;&gt;0,$N$63&lt;&gt;0),N16/$N$63,"")</f>
        <v/>
      </c>
      <c r="P16" s="255" t="str">
        <f t="shared" si="17"/>
        <v/>
      </c>
      <c r="Q16" s="692" t="str">
        <f t="shared" si="18"/>
        <v/>
      </c>
      <c r="R16" s="611"/>
    </row>
    <row r="17" spans="1:18" ht="13.9" customHeight="1">
      <c r="A17" s="129" t="str">
        <f>报表格式!B15</f>
        <v>预付款项</v>
      </c>
      <c r="B17" s="130">
        <f t="shared" si="12"/>
        <v>11</v>
      </c>
      <c r="C17" s="254">
        <f>母已审横向BS!C17</f>
        <v>0</v>
      </c>
      <c r="D17" s="265" t="str">
        <f t="shared" si="13"/>
        <v/>
      </c>
      <c r="E17" s="254">
        <f>母已审横向BS!D17</f>
        <v>0</v>
      </c>
      <c r="F17" s="265" t="str">
        <f t="shared" si="14"/>
        <v/>
      </c>
      <c r="G17" s="255" t="str">
        <f t="shared" si="15"/>
        <v/>
      </c>
      <c r="H17" s="692" t="str">
        <f t="shared" si="16"/>
        <v/>
      </c>
      <c r="I17" s="732"/>
      <c r="J17" s="187" t="str">
        <f>报表格式!G15</f>
        <v>预收款项</v>
      </c>
      <c r="K17" s="131">
        <f t="shared" si="2"/>
        <v>11</v>
      </c>
      <c r="L17" s="254">
        <f>母已审横向BS!K17</f>
        <v>0</v>
      </c>
      <c r="M17" s="265" t="str">
        <f>IF(AND(L17&lt;&gt;0,$L$63&lt;&gt;0),L17/$L$63,"")</f>
        <v/>
      </c>
      <c r="N17" s="254">
        <f>母已审横向BS!L17</f>
        <v>0</v>
      </c>
      <c r="O17" s="265" t="str">
        <f>IF(AND(N17&lt;&gt;0,$N$63&lt;&gt;0),N17/$N$63,"")</f>
        <v/>
      </c>
      <c r="P17" s="255" t="str">
        <f t="shared" si="17"/>
        <v/>
      </c>
      <c r="Q17" s="692" t="str">
        <f t="shared" si="18"/>
        <v/>
      </c>
      <c r="R17" s="611"/>
    </row>
    <row r="18" spans="1:18" ht="13.9" customHeight="1">
      <c r="A18" s="129" t="str">
        <f>报表格式!B16</f>
        <v>应收保费</v>
      </c>
      <c r="B18" s="130">
        <f t="shared" si="12"/>
        <v>12</v>
      </c>
      <c r="C18" s="254">
        <f>母已审横向BS!C18</f>
        <v>0</v>
      </c>
      <c r="D18" s="265" t="str">
        <f t="shared" ref="D18:D21" si="19">IF(AND(C18&lt;&gt;0,$C$60&lt;&gt;0),C18/$C$60,"")</f>
        <v/>
      </c>
      <c r="E18" s="254">
        <f>母已审横向BS!D18</f>
        <v>0</v>
      </c>
      <c r="F18" s="265" t="str">
        <f t="shared" ref="F18:F21" si="20">IF(AND(E18&lt;&gt;0,$E$60&lt;&gt;0),E18/$E$60,"")</f>
        <v/>
      </c>
      <c r="G18" s="255" t="str">
        <f t="shared" ref="G18:G21" si="21">IF(AND(D18="",F18=""),"",IF(D18="",F18,IF(F18="",-D18,F18-D18)))</f>
        <v/>
      </c>
      <c r="H18" s="692" t="str">
        <f t="shared" ref="H18:H21" si="22">IF(G18="","",IF(ABS(G18)&gt;=30%,"显著",IF(ABS(G18)&gt;=10%,"关注","")))</f>
        <v/>
      </c>
      <c r="I18" s="732"/>
      <c r="J18" s="187" t="str">
        <f>报表格式!G16</f>
        <v>卖出回购金融资产款</v>
      </c>
      <c r="K18" s="131">
        <f t="shared" si="2"/>
        <v>12</v>
      </c>
      <c r="L18" s="254">
        <f>母已审横向BS!K18</f>
        <v>0</v>
      </c>
      <c r="M18" s="265" t="str">
        <f t="shared" ref="M18:M20" si="23">IF(AND(L18&lt;&gt;0,$L$63&lt;&gt;0),L18/$L$63,"")</f>
        <v/>
      </c>
      <c r="N18" s="254">
        <f>母已审横向BS!L18</f>
        <v>0</v>
      </c>
      <c r="O18" s="265" t="str">
        <f t="shared" ref="O18:O20" si="24">IF(AND(N18&lt;&gt;0,$N$63&lt;&gt;0),N18/$N$63,"")</f>
        <v/>
      </c>
      <c r="P18" s="255" t="str">
        <f t="shared" ref="P18:P20" si="25">IF(AND(M18="",O18=""),"",IF(M18="",O18,IF(O18="",-M18,O18-M18)))</f>
        <v/>
      </c>
      <c r="Q18" s="692" t="str">
        <f t="shared" ref="Q18:Q20" si="26">IF(P18="","",IF(ABS(P18)&gt;=30%,"显著",IF(ABS(P18)&gt;=10%,"关注","")))</f>
        <v/>
      </c>
      <c r="R18" s="611"/>
    </row>
    <row r="19" spans="1:18" ht="13.9" customHeight="1">
      <c r="A19" s="129" t="str">
        <f>报表格式!B17</f>
        <v>应收分保账款</v>
      </c>
      <c r="B19" s="130">
        <f t="shared" si="12"/>
        <v>13</v>
      </c>
      <c r="C19" s="254">
        <f>母已审横向BS!C19</f>
        <v>0</v>
      </c>
      <c r="D19" s="265" t="str">
        <f t="shared" si="19"/>
        <v/>
      </c>
      <c r="E19" s="254">
        <f>母已审横向BS!D19</f>
        <v>0</v>
      </c>
      <c r="F19" s="265" t="str">
        <f t="shared" si="20"/>
        <v/>
      </c>
      <c r="G19" s="255" t="str">
        <f t="shared" si="21"/>
        <v/>
      </c>
      <c r="H19" s="692" t="str">
        <f t="shared" si="22"/>
        <v/>
      </c>
      <c r="I19" s="732"/>
      <c r="J19" s="187" t="str">
        <f>报表格式!G17</f>
        <v>应付手续费及佣金</v>
      </c>
      <c r="K19" s="131">
        <f t="shared" si="2"/>
        <v>13</v>
      </c>
      <c r="L19" s="254">
        <f>母已审横向BS!K19</f>
        <v>0</v>
      </c>
      <c r="M19" s="265" t="str">
        <f t="shared" si="23"/>
        <v/>
      </c>
      <c r="N19" s="254">
        <f>母已审横向BS!L19</f>
        <v>0</v>
      </c>
      <c r="O19" s="265" t="str">
        <f t="shared" si="24"/>
        <v/>
      </c>
      <c r="P19" s="255" t="str">
        <f t="shared" si="25"/>
        <v/>
      </c>
      <c r="Q19" s="692" t="str">
        <f t="shared" si="26"/>
        <v/>
      </c>
      <c r="R19" s="611"/>
    </row>
    <row r="20" spans="1:18" ht="13.9" customHeight="1">
      <c r="A20" s="129" t="str">
        <f>报表格式!B18</f>
        <v>应收分保准备金</v>
      </c>
      <c r="B20" s="130">
        <f t="shared" si="12"/>
        <v>14</v>
      </c>
      <c r="C20" s="254">
        <f>母已审横向BS!C20</f>
        <v>0</v>
      </c>
      <c r="D20" s="265" t="str">
        <f t="shared" si="19"/>
        <v/>
      </c>
      <c r="E20" s="254">
        <f>母已审横向BS!D20</f>
        <v>0</v>
      </c>
      <c r="F20" s="265" t="str">
        <f t="shared" si="20"/>
        <v/>
      </c>
      <c r="G20" s="255" t="str">
        <f t="shared" si="21"/>
        <v/>
      </c>
      <c r="H20" s="692" t="str">
        <f t="shared" si="22"/>
        <v/>
      </c>
      <c r="I20" s="732"/>
      <c r="J20" s="187" t="str">
        <f>报表格式!G18</f>
        <v>合同负债</v>
      </c>
      <c r="K20" s="131">
        <f t="shared" si="2"/>
        <v>14</v>
      </c>
      <c r="L20" s="254">
        <f>母已审横向BS!K20</f>
        <v>0</v>
      </c>
      <c r="M20" s="265" t="str">
        <f t="shared" si="23"/>
        <v/>
      </c>
      <c r="N20" s="254">
        <f>母已审横向BS!L20</f>
        <v>0</v>
      </c>
      <c r="O20" s="265" t="str">
        <f t="shared" si="24"/>
        <v/>
      </c>
      <c r="P20" s="255" t="str">
        <f t="shared" si="25"/>
        <v/>
      </c>
      <c r="Q20" s="692" t="str">
        <f t="shared" si="26"/>
        <v/>
      </c>
      <c r="R20" s="611"/>
    </row>
    <row r="21" spans="1:18" ht="13.9" customHeight="1">
      <c r="A21" s="129" t="str">
        <f>报表格式!B19</f>
        <v>其他应收款</v>
      </c>
      <c r="B21" s="130">
        <f t="shared" si="12"/>
        <v>15</v>
      </c>
      <c r="C21" s="254">
        <f>母已审横向BS!C21</f>
        <v>0</v>
      </c>
      <c r="D21" s="265" t="str">
        <f t="shared" si="19"/>
        <v/>
      </c>
      <c r="E21" s="254">
        <f>母已审横向BS!D21</f>
        <v>0</v>
      </c>
      <c r="F21" s="265" t="str">
        <f t="shared" si="20"/>
        <v/>
      </c>
      <c r="G21" s="255" t="str">
        <f t="shared" si="21"/>
        <v/>
      </c>
      <c r="H21" s="692" t="str">
        <f t="shared" si="22"/>
        <v/>
      </c>
      <c r="I21" s="732"/>
      <c r="J21" s="187" t="str">
        <f>报表格式!G19</f>
        <v>应付职工薪酬</v>
      </c>
      <c r="K21" s="131">
        <f t="shared" si="2"/>
        <v>15</v>
      </c>
      <c r="L21" s="254">
        <f>母已审横向BS!K21</f>
        <v>0</v>
      </c>
      <c r="M21" s="265" t="str">
        <f>IF(AND(L21&lt;&gt;0,$L$63&lt;&gt;0),L21/$L$63,"")</f>
        <v/>
      </c>
      <c r="N21" s="254">
        <f>母已审横向BS!L21</f>
        <v>0</v>
      </c>
      <c r="O21" s="265" t="str">
        <f>IF(AND(N21&lt;&gt;0,$N$63&lt;&gt;0),N21/$N$63,"")</f>
        <v/>
      </c>
      <c r="P21" s="255" t="str">
        <f t="shared" si="17"/>
        <v/>
      </c>
      <c r="Q21" s="692" t="str">
        <f t="shared" si="18"/>
        <v/>
      </c>
      <c r="R21" s="611"/>
    </row>
    <row r="22" spans="1:18" ht="13.9" customHeight="1">
      <c r="A22" s="129" t="str">
        <f>报表格式!B20</f>
        <v xml:space="preserve">  其中：应收利息</v>
      </c>
      <c r="B22" s="130">
        <f t="shared" si="12"/>
        <v>16</v>
      </c>
      <c r="C22" s="254">
        <f>母已审横向BS!C22</f>
        <v>0</v>
      </c>
      <c r="D22" s="265" t="str">
        <f t="shared" ref="D22:D32" si="27">IF(AND(C22&lt;&gt;0,$C$60&lt;&gt;0),C22/$C$60,"")</f>
        <v/>
      </c>
      <c r="E22" s="254">
        <f>母已审横向BS!D22</f>
        <v>0</v>
      </c>
      <c r="F22" s="265" t="str">
        <f t="shared" ref="F22:F32" si="28">IF(AND(E22&lt;&gt;0,$E$60&lt;&gt;0),E22/$E$60,"")</f>
        <v/>
      </c>
      <c r="G22" s="255" t="str">
        <f t="shared" si="15"/>
        <v/>
      </c>
      <c r="H22" s="692" t="str">
        <f t="shared" si="16"/>
        <v/>
      </c>
      <c r="I22" s="732"/>
      <c r="J22" s="187" t="str">
        <f>报表格式!G20</f>
        <v>应交税费</v>
      </c>
      <c r="K22" s="131">
        <f t="shared" si="2"/>
        <v>16</v>
      </c>
      <c r="L22" s="254">
        <f>母已审横向BS!K22</f>
        <v>0</v>
      </c>
      <c r="M22" s="265" t="str">
        <f>IF(AND(L22&lt;&gt;0,$L$63&lt;&gt;0),L22/$L$63,"")</f>
        <v/>
      </c>
      <c r="N22" s="254">
        <f>母已审横向BS!L22</f>
        <v>0</v>
      </c>
      <c r="O22" s="265" t="str">
        <f>IF(AND(N22&lt;&gt;0,$N$63&lt;&gt;0),N22/$N$63,"")</f>
        <v/>
      </c>
      <c r="P22" s="255" t="str">
        <f t="shared" si="17"/>
        <v/>
      </c>
      <c r="Q22" s="692" t="str">
        <f t="shared" si="18"/>
        <v/>
      </c>
      <c r="R22" s="611"/>
    </row>
    <row r="23" spans="1:18" ht="13.9" customHeight="1">
      <c r="A23" s="129" t="str">
        <f>报表格式!B21</f>
        <v xml:space="preserve">        应收股利</v>
      </c>
      <c r="B23" s="130">
        <f t="shared" si="12"/>
        <v>17</v>
      </c>
      <c r="C23" s="254">
        <f>母已审横向BS!C23</f>
        <v>0</v>
      </c>
      <c r="D23" s="265" t="str">
        <f t="shared" si="27"/>
        <v/>
      </c>
      <c r="E23" s="254">
        <f>母已审横向BS!D23</f>
        <v>0</v>
      </c>
      <c r="F23" s="265" t="str">
        <f t="shared" si="28"/>
        <v/>
      </c>
      <c r="G23" s="255" t="str">
        <f t="shared" si="15"/>
        <v/>
      </c>
      <c r="H23" s="692" t="str">
        <f t="shared" si="16"/>
        <v/>
      </c>
      <c r="I23" s="732"/>
      <c r="J23" s="187" t="str">
        <f>报表格式!G21</f>
        <v>其他应付款</v>
      </c>
      <c r="K23" s="131">
        <f t="shared" si="2"/>
        <v>17</v>
      </c>
      <c r="L23" s="254">
        <f>母已审横向BS!K23</f>
        <v>0</v>
      </c>
      <c r="M23" s="265" t="str">
        <f>IF(AND(L23&lt;&gt;0,$L$63&lt;&gt;0),L23/$L$63,"")</f>
        <v/>
      </c>
      <c r="N23" s="254">
        <f>母已审横向BS!L23</f>
        <v>0</v>
      </c>
      <c r="O23" s="265" t="str">
        <f>IF(AND(N23&lt;&gt;0,$N$63&lt;&gt;0),N23/$N$63,"")</f>
        <v/>
      </c>
      <c r="P23" s="255" t="str">
        <f t="shared" si="17"/>
        <v/>
      </c>
      <c r="Q23" s="692" t="str">
        <f t="shared" si="18"/>
        <v/>
      </c>
      <c r="R23" s="611"/>
    </row>
    <row r="24" spans="1:18" ht="13.9" customHeight="1">
      <c r="A24" s="129" t="str">
        <f>报表格式!B22</f>
        <v>买入返售金融资产</v>
      </c>
      <c r="B24" s="130">
        <f t="shared" si="12"/>
        <v>18</v>
      </c>
      <c r="C24" s="254">
        <f>母已审横向BS!C24</f>
        <v>0</v>
      </c>
      <c r="D24" s="265" t="str">
        <f t="shared" si="27"/>
        <v/>
      </c>
      <c r="E24" s="254">
        <f>母已审横向BS!D24</f>
        <v>0</v>
      </c>
      <c r="F24" s="265" t="str">
        <f t="shared" si="28"/>
        <v/>
      </c>
      <c r="G24" s="255" t="str">
        <f t="shared" ref="G24" si="29">IF(AND(D24="",F24=""),"",IF(D24="",F24,IF(F24="",-D24,F24-D24)))</f>
        <v/>
      </c>
      <c r="H24" s="692" t="str">
        <f t="shared" ref="H24" si="30">IF(G24="","",IF(ABS(G24)&gt;=30%,"显著",IF(ABS(G24)&gt;=10%,"关注","")))</f>
        <v/>
      </c>
      <c r="I24" s="732"/>
      <c r="J24" s="187" t="str">
        <f>报表格式!G22</f>
        <v xml:space="preserve">  其中：应付利息</v>
      </c>
      <c r="K24" s="131">
        <f t="shared" si="2"/>
        <v>18</v>
      </c>
      <c r="L24" s="254">
        <f>母已审横向BS!K24</f>
        <v>0</v>
      </c>
      <c r="M24" s="265" t="str">
        <f>IF(AND(L24&lt;&gt;0,$L$63&lt;&gt;0),L24/$L$63,"")</f>
        <v/>
      </c>
      <c r="N24" s="254">
        <f>母已审横向BS!L24</f>
        <v>0</v>
      </c>
      <c r="O24" s="265" t="str">
        <f>IF(AND(N24&lt;&gt;0,$N$63&lt;&gt;0),N24/$N$63,"")</f>
        <v/>
      </c>
      <c r="P24" s="255" t="str">
        <f t="shared" si="17"/>
        <v/>
      </c>
      <c r="Q24" s="692" t="str">
        <f t="shared" si="18"/>
        <v/>
      </c>
      <c r="R24" s="611"/>
    </row>
    <row r="25" spans="1:18" ht="13.9" customHeight="1">
      <c r="A25" s="129" t="str">
        <f>报表格式!B23</f>
        <v>存货</v>
      </c>
      <c r="B25" s="130">
        <f t="shared" si="12"/>
        <v>19</v>
      </c>
      <c r="C25" s="254">
        <f>母已审横向BS!C25</f>
        <v>0</v>
      </c>
      <c r="D25" s="265" t="str">
        <f t="shared" si="27"/>
        <v/>
      </c>
      <c r="E25" s="254">
        <f>母已审横向BS!D25</f>
        <v>0</v>
      </c>
      <c r="F25" s="265" t="str">
        <f t="shared" si="28"/>
        <v/>
      </c>
      <c r="G25" s="255" t="str">
        <f t="shared" si="15"/>
        <v/>
      </c>
      <c r="H25" s="692" t="str">
        <f t="shared" si="16"/>
        <v/>
      </c>
      <c r="I25" s="732"/>
      <c r="J25" s="187" t="str">
        <f>报表格式!G23</f>
        <v xml:space="preserve">        应付股利</v>
      </c>
      <c r="K25" s="131">
        <f t="shared" si="2"/>
        <v>19</v>
      </c>
      <c r="L25" s="254">
        <f>母已审横向BS!K25</f>
        <v>0</v>
      </c>
      <c r="M25" s="265" t="str">
        <f>IF(AND(L25&lt;&gt;0,$L$63&lt;&gt;0),L25/$L$63,"")</f>
        <v/>
      </c>
      <c r="N25" s="254">
        <f>母已审横向BS!L25</f>
        <v>0</v>
      </c>
      <c r="O25" s="265" t="str">
        <f>IF(AND(N25&lt;&gt;0,$N$63&lt;&gt;0),N25/$N$63,"")</f>
        <v/>
      </c>
      <c r="P25" s="255" t="str">
        <f t="shared" si="17"/>
        <v/>
      </c>
      <c r="Q25" s="692" t="str">
        <f t="shared" si="18"/>
        <v/>
      </c>
      <c r="R25" s="611"/>
    </row>
    <row r="26" spans="1:18" ht="13.9" customHeight="1">
      <c r="A26" s="129" t="str">
        <f>报表格式!B24</f>
        <v>合同资产</v>
      </c>
      <c r="B26" s="130">
        <f t="shared" si="12"/>
        <v>20</v>
      </c>
      <c r="C26" s="254">
        <f>母已审横向BS!C26</f>
        <v>0</v>
      </c>
      <c r="D26" s="265" t="str">
        <f t="shared" si="27"/>
        <v/>
      </c>
      <c r="E26" s="254">
        <f>母已审横向BS!D26</f>
        <v>0</v>
      </c>
      <c r="F26" s="265" t="str">
        <f t="shared" si="28"/>
        <v/>
      </c>
      <c r="G26" s="255" t="str">
        <f t="shared" si="0"/>
        <v/>
      </c>
      <c r="H26" s="692" t="str">
        <f t="shared" si="1"/>
        <v/>
      </c>
      <c r="I26" s="732"/>
      <c r="J26" s="187" t="str">
        <f>报表格式!G24</f>
        <v>应付分保账款</v>
      </c>
      <c r="K26" s="131">
        <f t="shared" si="2"/>
        <v>20</v>
      </c>
      <c r="L26" s="254">
        <f>母已审横向BS!K26</f>
        <v>0</v>
      </c>
      <c r="M26" s="265" t="str">
        <f t="shared" ref="M26:M30" si="31">IF(AND(L26&lt;&gt;0,$L$63&lt;&gt;0),L26/$L$63,"")</f>
        <v/>
      </c>
      <c r="N26" s="254">
        <f>母已审横向BS!L26</f>
        <v>0</v>
      </c>
      <c r="O26" s="265" t="str">
        <f t="shared" ref="O26:O30" si="32">IF(AND(N26&lt;&gt;0,$N$63&lt;&gt;0),N26/$N$63,"")</f>
        <v/>
      </c>
      <c r="P26" s="255" t="str">
        <f t="shared" ref="P26:P30" si="33">IF(AND(M26="",O26=""),"",IF(M26="",O26,IF(O26="",-M26,O26-M26)))</f>
        <v/>
      </c>
      <c r="Q26" s="692" t="str">
        <f t="shared" ref="Q26:Q30" si="34">IF(P26="","",IF(ABS(P26)&gt;=30%,"显著",IF(ABS(P26)&gt;=10%,"关注","")))</f>
        <v/>
      </c>
      <c r="R26" s="611"/>
    </row>
    <row r="27" spans="1:18" ht="13.9" customHeight="1">
      <c r="A27" s="129" t="str">
        <f>报表格式!B25</f>
        <v>持有待售资产</v>
      </c>
      <c r="B27" s="130">
        <f t="shared" si="12"/>
        <v>21</v>
      </c>
      <c r="C27" s="254">
        <f>母已审横向BS!C27</f>
        <v>0</v>
      </c>
      <c r="D27" s="265" t="str">
        <f t="shared" si="27"/>
        <v/>
      </c>
      <c r="E27" s="254">
        <f>母已审横向BS!D27</f>
        <v>0</v>
      </c>
      <c r="F27" s="265" t="str">
        <f t="shared" si="28"/>
        <v/>
      </c>
      <c r="G27" s="255" t="str">
        <f t="shared" si="0"/>
        <v/>
      </c>
      <c r="H27" s="692" t="str">
        <f t="shared" si="1"/>
        <v/>
      </c>
      <c r="I27" s="732"/>
      <c r="J27" s="187" t="str">
        <f>报表格式!G25</f>
        <v>保险合同准备金</v>
      </c>
      <c r="K27" s="131">
        <f t="shared" si="2"/>
        <v>21</v>
      </c>
      <c r="L27" s="254">
        <f>母已审横向BS!K27</f>
        <v>0</v>
      </c>
      <c r="M27" s="265" t="str">
        <f t="shared" si="31"/>
        <v/>
      </c>
      <c r="N27" s="254">
        <f>母已审横向BS!L27</f>
        <v>0</v>
      </c>
      <c r="O27" s="265" t="str">
        <f t="shared" si="32"/>
        <v/>
      </c>
      <c r="P27" s="255" t="str">
        <f t="shared" si="33"/>
        <v/>
      </c>
      <c r="Q27" s="692" t="str">
        <f t="shared" si="34"/>
        <v/>
      </c>
      <c r="R27" s="611"/>
    </row>
    <row r="28" spans="1:18" ht="13.9" customHeight="1">
      <c r="A28" s="129" t="str">
        <f>报表格式!B26</f>
        <v>一年内到期的非流动资产</v>
      </c>
      <c r="B28" s="130">
        <f t="shared" si="12"/>
        <v>22</v>
      </c>
      <c r="C28" s="254">
        <f>母已审横向BS!C28</f>
        <v>0</v>
      </c>
      <c r="D28" s="265" t="str">
        <f t="shared" si="27"/>
        <v/>
      </c>
      <c r="E28" s="254">
        <f>母已审横向BS!D28</f>
        <v>0</v>
      </c>
      <c r="F28" s="265" t="str">
        <f t="shared" si="28"/>
        <v/>
      </c>
      <c r="G28" s="255" t="str">
        <f t="shared" ref="G28" si="35">IF(AND(D28="",F28=""),"",IF(D28="",F28,IF(F28="",-D28,F28-D28)))</f>
        <v/>
      </c>
      <c r="H28" s="692" t="str">
        <f t="shared" ref="H28" si="36">IF(G28="","",IF(ABS(G28)&gt;=30%,"显著",IF(ABS(G28)&gt;=10%,"关注","")))</f>
        <v/>
      </c>
      <c r="I28" s="732"/>
      <c r="J28" s="187" t="str">
        <f>报表格式!G26</f>
        <v>代理买卖证券款</v>
      </c>
      <c r="K28" s="131">
        <f t="shared" si="2"/>
        <v>22</v>
      </c>
      <c r="L28" s="254">
        <f>母已审横向BS!K28</f>
        <v>0</v>
      </c>
      <c r="M28" s="265" t="str">
        <f t="shared" si="31"/>
        <v/>
      </c>
      <c r="N28" s="254">
        <f>母已审横向BS!L28</f>
        <v>0</v>
      </c>
      <c r="O28" s="265" t="str">
        <f t="shared" si="32"/>
        <v/>
      </c>
      <c r="P28" s="255" t="str">
        <f t="shared" si="33"/>
        <v/>
      </c>
      <c r="Q28" s="692" t="str">
        <f t="shared" si="34"/>
        <v/>
      </c>
      <c r="R28" s="611"/>
    </row>
    <row r="29" spans="1:18" ht="13.9" customHeight="1">
      <c r="A29" s="129" t="str">
        <f>报表格式!B27</f>
        <v>其他流动资产</v>
      </c>
      <c r="B29" s="130">
        <f t="shared" si="12"/>
        <v>23</v>
      </c>
      <c r="C29" s="254">
        <f>母已审横向BS!C29</f>
        <v>0</v>
      </c>
      <c r="D29" s="265" t="str">
        <f t="shared" si="27"/>
        <v/>
      </c>
      <c r="E29" s="254">
        <f>母已审横向BS!D29</f>
        <v>0</v>
      </c>
      <c r="F29" s="265" t="str">
        <f t="shared" si="28"/>
        <v/>
      </c>
      <c r="G29" s="255" t="str">
        <f>IF(AND(D29="",F29=""),"",IF(D29="",F29,IF(F29="",-D29,F29-D29)))</f>
        <v/>
      </c>
      <c r="H29" s="692" t="str">
        <f>IF(G29="","",IF(ABS(G29)&gt;=30%,"显著",IF(ABS(G29)&gt;=10%,"关注","")))</f>
        <v/>
      </c>
      <c r="I29" s="732"/>
      <c r="J29" s="187" t="str">
        <f>报表格式!G27</f>
        <v>代理承销证券款</v>
      </c>
      <c r="K29" s="131">
        <f t="shared" si="2"/>
        <v>23</v>
      </c>
      <c r="L29" s="254">
        <f>母已审横向BS!K29</f>
        <v>0</v>
      </c>
      <c r="M29" s="265" t="str">
        <f t="shared" si="31"/>
        <v/>
      </c>
      <c r="N29" s="254">
        <f>母已审横向BS!L29</f>
        <v>0</v>
      </c>
      <c r="O29" s="265" t="str">
        <f t="shared" si="32"/>
        <v/>
      </c>
      <c r="P29" s="255" t="str">
        <f t="shared" si="33"/>
        <v/>
      </c>
      <c r="Q29" s="692" t="str">
        <f t="shared" si="34"/>
        <v/>
      </c>
      <c r="R29" s="611"/>
    </row>
    <row r="30" spans="1:18" ht="13.9" customHeight="1">
      <c r="A30" s="129">
        <f>报表格式!B28</f>
        <v>0</v>
      </c>
      <c r="B30" s="130">
        <f t="shared" si="12"/>
        <v>24</v>
      </c>
      <c r="C30" s="254">
        <f>母已审横向BS!C30</f>
        <v>0</v>
      </c>
      <c r="D30" s="265" t="str">
        <f t="shared" si="27"/>
        <v/>
      </c>
      <c r="E30" s="254">
        <f>母已审横向BS!D30</f>
        <v>0</v>
      </c>
      <c r="F30" s="265" t="str">
        <f t="shared" si="28"/>
        <v/>
      </c>
      <c r="G30" s="255" t="str">
        <f>IF(AND(D30="",F30=""),"",IF(D30="",F30,IF(F30="",-D30,F30-D30)))</f>
        <v/>
      </c>
      <c r="H30" s="692" t="str">
        <f>IF(G30="","",IF(ABS(G30)&gt;=30%,"显著",IF(ABS(G30)&gt;=10%,"关注","")))</f>
        <v/>
      </c>
      <c r="I30" s="732"/>
      <c r="J30" s="187" t="str">
        <f>报表格式!G28</f>
        <v>持有待售负债</v>
      </c>
      <c r="K30" s="131">
        <f t="shared" si="2"/>
        <v>24</v>
      </c>
      <c r="L30" s="254">
        <f>母已审横向BS!K30</f>
        <v>0</v>
      </c>
      <c r="M30" s="265" t="str">
        <f t="shared" si="31"/>
        <v/>
      </c>
      <c r="N30" s="254">
        <f>母已审横向BS!L30</f>
        <v>0</v>
      </c>
      <c r="O30" s="265" t="str">
        <f t="shared" si="32"/>
        <v/>
      </c>
      <c r="P30" s="255" t="str">
        <f t="shared" si="33"/>
        <v/>
      </c>
      <c r="Q30" s="692" t="str">
        <f t="shared" si="34"/>
        <v/>
      </c>
      <c r="R30" s="611"/>
    </row>
    <row r="31" spans="1:18" ht="13.9" customHeight="1">
      <c r="A31" s="129">
        <f>报表格式!B29</f>
        <v>0</v>
      </c>
      <c r="B31" s="130">
        <f t="shared" si="12"/>
        <v>25</v>
      </c>
      <c r="C31" s="254">
        <f>母已审横向BS!C31</f>
        <v>0</v>
      </c>
      <c r="D31" s="265" t="str">
        <f t="shared" si="27"/>
        <v/>
      </c>
      <c r="E31" s="254">
        <f>母已审横向BS!D31</f>
        <v>0</v>
      </c>
      <c r="F31" s="265" t="str">
        <f t="shared" si="28"/>
        <v/>
      </c>
      <c r="G31" s="255" t="str">
        <f>IF(AND(D31="",F31=""),"",IF(D31="",F31,IF(F31="",-D31,F31-D31)))</f>
        <v/>
      </c>
      <c r="H31" s="692" t="str">
        <f>IF(G31="","",IF(ABS(G31)&gt;=30%,"显著",IF(ABS(G31)&gt;=10%,"关注","")))</f>
        <v/>
      </c>
      <c r="I31" s="732"/>
      <c r="J31" s="187" t="str">
        <f>报表格式!G29</f>
        <v>一年内到期的非流动负债</v>
      </c>
      <c r="K31" s="131">
        <f t="shared" si="2"/>
        <v>25</v>
      </c>
      <c r="L31" s="254">
        <f>母已审横向BS!K31</f>
        <v>0</v>
      </c>
      <c r="M31" s="265" t="str">
        <f>IF(AND(L31&lt;&gt;0,$L$63&lt;&gt;0),L31/$L$63,"")</f>
        <v/>
      </c>
      <c r="N31" s="254">
        <f>母已审横向BS!L31</f>
        <v>0</v>
      </c>
      <c r="O31" s="265" t="str">
        <f>IF(AND(N31&lt;&gt;0,$N$63&lt;&gt;0),N31/$N$63,"")</f>
        <v/>
      </c>
      <c r="P31" s="255" t="str">
        <f t="shared" ref="P31:P32" si="37">IF(AND(M31="",O31=""),"",IF(M31="",O31,IF(O31="",-M31,O31-M31)))</f>
        <v/>
      </c>
      <c r="Q31" s="692" t="str">
        <f t="shared" ref="Q31:Q32" si="38">IF(P31="","",IF(ABS(P31)&gt;=30%,"显著",IF(ABS(P31)&gt;=10%,"关注","")))</f>
        <v/>
      </c>
      <c r="R31" s="611"/>
    </row>
    <row r="32" spans="1:18" ht="13.9" customHeight="1">
      <c r="A32" s="135" t="str">
        <f>报表格式!B30</f>
        <v>流动资产合计</v>
      </c>
      <c r="B32" s="130">
        <f t="shared" si="12"/>
        <v>26</v>
      </c>
      <c r="C32" s="256">
        <f>母已审横向BS!C32</f>
        <v>0</v>
      </c>
      <c r="D32" s="321" t="str">
        <f t="shared" si="27"/>
        <v/>
      </c>
      <c r="E32" s="256">
        <f>母已审横向BS!D32</f>
        <v>0</v>
      </c>
      <c r="F32" s="321" t="str">
        <f t="shared" si="28"/>
        <v/>
      </c>
      <c r="G32" s="322" t="str">
        <f t="shared" si="0"/>
        <v/>
      </c>
      <c r="H32" s="693" t="str">
        <f t="shared" si="1"/>
        <v/>
      </c>
      <c r="I32" s="733"/>
      <c r="J32" s="187" t="str">
        <f>报表格式!G30</f>
        <v>其他流动负债</v>
      </c>
      <c r="K32" s="131">
        <f t="shared" si="2"/>
        <v>26</v>
      </c>
      <c r="L32" s="254">
        <f>母已审横向BS!K32</f>
        <v>0</v>
      </c>
      <c r="M32" s="265" t="str">
        <f>IF(AND(L32&lt;&gt;0,$L$63&lt;&gt;0),L32/$L$63,"")</f>
        <v/>
      </c>
      <c r="N32" s="254">
        <f>母已审横向BS!L32</f>
        <v>0</v>
      </c>
      <c r="O32" s="265" t="str">
        <f>IF(AND(N32&lt;&gt;0,$N$63&lt;&gt;0),N32/$N$63,"")</f>
        <v/>
      </c>
      <c r="P32" s="255" t="str">
        <f t="shared" si="37"/>
        <v/>
      </c>
      <c r="Q32" s="692" t="str">
        <f t="shared" si="38"/>
        <v/>
      </c>
      <c r="R32" s="611"/>
    </row>
    <row r="33" spans="1:18" ht="13.9" customHeight="1">
      <c r="A33" s="134" t="str">
        <f>报表格式!B31</f>
        <v>非流动资产:</v>
      </c>
      <c r="B33" s="130">
        <f t="shared" si="12"/>
        <v>27</v>
      </c>
      <c r="C33" s="254"/>
      <c r="D33" s="265"/>
      <c r="E33" s="254"/>
      <c r="F33" s="265"/>
      <c r="G33" s="255"/>
      <c r="H33" s="692"/>
      <c r="I33" s="732"/>
      <c r="J33" s="133" t="str">
        <f>报表格式!G31</f>
        <v>流动负债合计</v>
      </c>
      <c r="K33" s="131">
        <f t="shared" si="2"/>
        <v>27</v>
      </c>
      <c r="L33" s="256">
        <f>母已审横向BS!K33</f>
        <v>0</v>
      </c>
      <c r="M33" s="321" t="str">
        <f>IF(AND(L33&lt;&gt;0,$L$63&lt;&gt;0),L33/$L$63,"")</f>
        <v/>
      </c>
      <c r="N33" s="256">
        <f>母已审横向BS!L33</f>
        <v>0</v>
      </c>
      <c r="O33" s="321" t="str">
        <f>IF(AND(N33&lt;&gt;0,$N$63&lt;&gt;0),N33/$N$63,"")</f>
        <v/>
      </c>
      <c r="P33" s="322" t="str">
        <f>IF(AND(M33="",O33=""),"",IF(M33="",O33,IF(O33="",-M33,O33-M33)))</f>
        <v/>
      </c>
      <c r="Q33" s="693" t="str">
        <f>IF(P33="","",IF(ABS(P33)&gt;=30%,"显著",IF(ABS(P33)&gt;=10%,"关注","")))</f>
        <v/>
      </c>
      <c r="R33" s="696"/>
    </row>
    <row r="34" spans="1:18" ht="13.9" customHeight="1">
      <c r="A34" s="129" t="str">
        <f>报表格式!B32</f>
        <v>发放贷款及垫款</v>
      </c>
      <c r="B34" s="130">
        <f t="shared" si="12"/>
        <v>28</v>
      </c>
      <c r="C34" s="254">
        <f>母已审横向BS!C34</f>
        <v>0</v>
      </c>
      <c r="D34" s="265" t="str">
        <f t="shared" ref="D34:D53" si="39">IF(AND(C34&lt;&gt;0,$C$60&lt;&gt;0),C34/$C$60,"")</f>
        <v/>
      </c>
      <c r="E34" s="254">
        <f>母已审横向BS!D34</f>
        <v>0</v>
      </c>
      <c r="F34" s="265" t="str">
        <f t="shared" ref="F34:F53" si="40">IF(AND(E34&lt;&gt;0,$E$60&lt;&gt;0),E34/$E$60,"")</f>
        <v/>
      </c>
      <c r="G34" s="255" t="str">
        <f t="shared" ref="G34" si="41">IF(AND(D34="",F34=""),"",IF(D34="",F34,IF(F34="",-D34,F34-D34)))</f>
        <v/>
      </c>
      <c r="H34" s="692" t="str">
        <f t="shared" ref="H34" si="42">IF(G34="","",IF(ABS(G34)&gt;=30%,"显著",IF(ABS(G34)&gt;=10%,"关注","")))</f>
        <v/>
      </c>
      <c r="I34" s="732"/>
      <c r="J34" s="188" t="str">
        <f>报表格式!G32</f>
        <v>非流动负债:</v>
      </c>
      <c r="K34" s="131">
        <f t="shared" si="2"/>
        <v>28</v>
      </c>
      <c r="L34" s="254"/>
      <c r="M34" s="265"/>
      <c r="N34" s="254"/>
      <c r="O34" s="265"/>
      <c r="P34" s="255"/>
      <c r="Q34" s="692"/>
      <c r="R34" s="611"/>
    </row>
    <row r="35" spans="1:18" ht="13.9" customHeight="1">
      <c r="A35" s="129" t="str">
        <f>报表格式!B33</f>
        <v>债权投资</v>
      </c>
      <c r="B35" s="130">
        <f t="shared" si="12"/>
        <v>29</v>
      </c>
      <c r="C35" s="254">
        <f>母已审横向BS!C35</f>
        <v>0</v>
      </c>
      <c r="D35" s="265" t="str">
        <f t="shared" si="39"/>
        <v/>
      </c>
      <c r="E35" s="254">
        <f>母已审横向BS!D35</f>
        <v>0</v>
      </c>
      <c r="F35" s="265" t="str">
        <f t="shared" si="40"/>
        <v/>
      </c>
      <c r="G35" s="255" t="str">
        <f t="shared" si="0"/>
        <v/>
      </c>
      <c r="H35" s="692" t="str">
        <f t="shared" si="1"/>
        <v/>
      </c>
      <c r="I35" s="732"/>
      <c r="J35" s="187" t="str">
        <f>报表格式!G33</f>
        <v>长期借款</v>
      </c>
      <c r="K35" s="131">
        <f t="shared" si="2"/>
        <v>29</v>
      </c>
      <c r="L35" s="254">
        <f>母已审横向BS!K35</f>
        <v>0</v>
      </c>
      <c r="M35" s="265" t="str">
        <f t="shared" ref="M35:M47" si="43">IF(AND(L35&lt;&gt;0,$L$63&lt;&gt;0),L35/$L$63,"")</f>
        <v/>
      </c>
      <c r="N35" s="254">
        <f>母已审横向BS!L35</f>
        <v>0</v>
      </c>
      <c r="O35" s="265" t="str">
        <f t="shared" ref="O35:O47" si="44">IF(AND(N35&lt;&gt;0,$N$63&lt;&gt;0),N35/$N$63,"")</f>
        <v/>
      </c>
      <c r="P35" s="255" t="str">
        <f>IF(AND(M35="",O35=""),"",IF(M35="",O35,IF(O35="",-M35,O35-M35)))</f>
        <v/>
      </c>
      <c r="Q35" s="692" t="str">
        <f>IF(P35="","",IF(ABS(P35)&gt;=30%,"显著",IF(ABS(P35)&gt;=10%,"关注","")))</f>
        <v/>
      </c>
      <c r="R35" s="611"/>
    </row>
    <row r="36" spans="1:18" ht="13.9" customHeight="1">
      <c r="A36" s="129" t="str">
        <f>报表格式!B34</f>
        <v>可供出售金融资产</v>
      </c>
      <c r="B36" s="130">
        <f t="shared" si="12"/>
        <v>30</v>
      </c>
      <c r="C36" s="254">
        <f>母已审横向BS!C36</f>
        <v>0</v>
      </c>
      <c r="D36" s="265" t="str">
        <f t="shared" si="39"/>
        <v/>
      </c>
      <c r="E36" s="254">
        <f>母已审横向BS!D36</f>
        <v>0</v>
      </c>
      <c r="F36" s="265" t="str">
        <f t="shared" si="40"/>
        <v/>
      </c>
      <c r="G36" s="255" t="str">
        <f t="shared" ref="G36:G39" si="45">IF(AND(D36="",F36=""),"",IF(D36="",F36,IF(F36="",-D36,F36-D36)))</f>
        <v/>
      </c>
      <c r="H36" s="692" t="str">
        <f t="shared" ref="H36:H39" si="46">IF(G36="","",IF(ABS(G36)&gt;=30%,"显著",IF(ABS(G36)&gt;=10%,"关注","")))</f>
        <v/>
      </c>
      <c r="I36" s="732"/>
      <c r="J36" s="187" t="str">
        <f>报表格式!G34</f>
        <v>应付债券</v>
      </c>
      <c r="K36" s="131">
        <f t="shared" si="2"/>
        <v>30</v>
      </c>
      <c r="L36" s="254">
        <f>母已审横向BS!K36</f>
        <v>0</v>
      </c>
      <c r="M36" s="265" t="str">
        <f t="shared" si="43"/>
        <v/>
      </c>
      <c r="N36" s="254">
        <f>母已审横向BS!L36</f>
        <v>0</v>
      </c>
      <c r="O36" s="265" t="str">
        <f t="shared" si="44"/>
        <v/>
      </c>
      <c r="P36" s="255" t="str">
        <f t="shared" ref="P36:P45" si="47">IF(AND(M36="",O36=""),"",IF(M36="",O36,IF(O36="",-M36,O36-M36)))</f>
        <v/>
      </c>
      <c r="Q36" s="692" t="str">
        <f t="shared" ref="Q36:Q45" si="48">IF(P36="","",IF(ABS(P36)&gt;=30%,"显著",IF(ABS(P36)&gt;=10%,"关注","")))</f>
        <v/>
      </c>
      <c r="R36" s="611"/>
    </row>
    <row r="37" spans="1:18" ht="13.9" customHeight="1">
      <c r="A37" s="129" t="str">
        <f>报表格式!B35</f>
        <v>其他债权投资</v>
      </c>
      <c r="B37" s="130">
        <f t="shared" si="12"/>
        <v>31</v>
      </c>
      <c r="C37" s="254">
        <f>母已审横向BS!C37</f>
        <v>0</v>
      </c>
      <c r="D37" s="265" t="str">
        <f t="shared" si="39"/>
        <v/>
      </c>
      <c r="E37" s="254">
        <f>母已审横向BS!D37</f>
        <v>0</v>
      </c>
      <c r="F37" s="265" t="str">
        <f t="shared" si="40"/>
        <v/>
      </c>
      <c r="G37" s="255" t="str">
        <f t="shared" si="45"/>
        <v/>
      </c>
      <c r="H37" s="692" t="str">
        <f t="shared" si="46"/>
        <v/>
      </c>
      <c r="I37" s="732"/>
      <c r="J37" s="187" t="str">
        <f>报表格式!G35</f>
        <v xml:space="preserve">  其中：优先股</v>
      </c>
      <c r="K37" s="131">
        <f t="shared" si="2"/>
        <v>31</v>
      </c>
      <c r="L37" s="254">
        <f>母已审横向BS!K37</f>
        <v>0</v>
      </c>
      <c r="M37" s="265" t="str">
        <f t="shared" si="43"/>
        <v/>
      </c>
      <c r="N37" s="254">
        <f>母已审横向BS!L37</f>
        <v>0</v>
      </c>
      <c r="O37" s="265" t="str">
        <f t="shared" si="44"/>
        <v/>
      </c>
      <c r="P37" s="255" t="str">
        <f t="shared" si="47"/>
        <v/>
      </c>
      <c r="Q37" s="692" t="str">
        <f t="shared" si="48"/>
        <v/>
      </c>
      <c r="R37" s="611"/>
    </row>
    <row r="38" spans="1:18" ht="13.9" customHeight="1">
      <c r="A38" s="129" t="str">
        <f>报表格式!B36</f>
        <v>持有至到期投资</v>
      </c>
      <c r="B38" s="130">
        <f t="shared" si="12"/>
        <v>32</v>
      </c>
      <c r="C38" s="254">
        <f>母已审横向BS!C38</f>
        <v>0</v>
      </c>
      <c r="D38" s="265" t="str">
        <f t="shared" si="39"/>
        <v/>
      </c>
      <c r="E38" s="254">
        <f>母已审横向BS!D38</f>
        <v>0</v>
      </c>
      <c r="F38" s="265" t="str">
        <f t="shared" si="40"/>
        <v/>
      </c>
      <c r="G38" s="255" t="str">
        <f t="shared" si="45"/>
        <v/>
      </c>
      <c r="H38" s="692" t="str">
        <f t="shared" si="46"/>
        <v/>
      </c>
      <c r="I38" s="732"/>
      <c r="J38" s="187" t="str">
        <f>报表格式!G36</f>
        <v xml:space="preserve">        永续债</v>
      </c>
      <c r="K38" s="131">
        <f>K37+1</f>
        <v>32</v>
      </c>
      <c r="L38" s="254">
        <f>母已审横向BS!K38</f>
        <v>0</v>
      </c>
      <c r="M38" s="265" t="str">
        <f t="shared" si="43"/>
        <v/>
      </c>
      <c r="N38" s="254">
        <f>母已审横向BS!L38</f>
        <v>0</v>
      </c>
      <c r="O38" s="265" t="str">
        <f t="shared" si="44"/>
        <v/>
      </c>
      <c r="P38" s="255" t="str">
        <f t="shared" si="47"/>
        <v/>
      </c>
      <c r="Q38" s="692" t="str">
        <f t="shared" si="48"/>
        <v/>
      </c>
      <c r="R38" s="611"/>
    </row>
    <row r="39" spans="1:18" ht="13.9" customHeight="1">
      <c r="A39" s="129" t="str">
        <f>报表格式!B37</f>
        <v>长期应收款</v>
      </c>
      <c r="B39" s="130">
        <f t="shared" si="12"/>
        <v>33</v>
      </c>
      <c r="C39" s="254">
        <f>母已审横向BS!C39</f>
        <v>0</v>
      </c>
      <c r="D39" s="265" t="str">
        <f t="shared" si="39"/>
        <v/>
      </c>
      <c r="E39" s="254">
        <f>母已审横向BS!D39</f>
        <v>0</v>
      </c>
      <c r="F39" s="265" t="str">
        <f t="shared" si="40"/>
        <v/>
      </c>
      <c r="G39" s="255" t="str">
        <f t="shared" si="45"/>
        <v/>
      </c>
      <c r="H39" s="692" t="str">
        <f t="shared" si="46"/>
        <v/>
      </c>
      <c r="I39" s="732"/>
      <c r="J39" s="187" t="str">
        <f>报表格式!G37</f>
        <v>租赁负债</v>
      </c>
      <c r="K39" s="131">
        <f t="shared" ref="K39:K40" si="49">K38+1</f>
        <v>33</v>
      </c>
      <c r="L39" s="254">
        <f>母已审横向BS!K39</f>
        <v>0</v>
      </c>
      <c r="M39" s="265" t="str">
        <f t="shared" si="43"/>
        <v/>
      </c>
      <c r="N39" s="254">
        <f>母已审横向BS!L39</f>
        <v>0</v>
      </c>
      <c r="O39" s="265" t="str">
        <f t="shared" si="44"/>
        <v/>
      </c>
      <c r="P39" s="255" t="str">
        <f t="shared" ref="P39:P40" si="50">IF(AND(M39="",O39=""),"",IF(M39="",O39,IF(O39="",-M39,O39-M39)))</f>
        <v/>
      </c>
      <c r="Q39" s="692" t="str">
        <f t="shared" ref="Q39:Q40" si="51">IF(P39="","",IF(ABS(P39)&gt;=30%,"显著",IF(ABS(P39)&gt;=10%,"关注","")))</f>
        <v/>
      </c>
      <c r="R39" s="611"/>
    </row>
    <row r="40" spans="1:18" ht="13.9" customHeight="1">
      <c r="A40" s="129" t="str">
        <f>报表格式!B38</f>
        <v>设定受益计划净资产</v>
      </c>
      <c r="B40" s="130">
        <f t="shared" si="12"/>
        <v>34</v>
      </c>
      <c r="C40" s="254">
        <f>母已审横向BS!C40</f>
        <v>0</v>
      </c>
      <c r="D40" s="265" t="str">
        <f t="shared" si="39"/>
        <v/>
      </c>
      <c r="E40" s="254">
        <f>母已审横向BS!D40</f>
        <v>0</v>
      </c>
      <c r="F40" s="265" t="str">
        <f t="shared" si="40"/>
        <v/>
      </c>
      <c r="G40" s="255" t="str">
        <f>IF(AND(D40="",F40=""),"",IF(D40="",F40,IF(F40="",-D40,F40-D40)))</f>
        <v/>
      </c>
      <c r="H40" s="692" t="str">
        <f>IF(G40="","",IF(ABS(G40)&gt;=30%,"显著",IF(ABS(G40)&gt;=10%,"关注","")))</f>
        <v/>
      </c>
      <c r="I40" s="732"/>
      <c r="J40" s="187" t="str">
        <f>报表格式!G38</f>
        <v>长期应付款</v>
      </c>
      <c r="K40" s="131">
        <f t="shared" si="49"/>
        <v>34</v>
      </c>
      <c r="L40" s="254">
        <f>母已审横向BS!K40</f>
        <v>0</v>
      </c>
      <c r="M40" s="265" t="str">
        <f t="shared" si="43"/>
        <v/>
      </c>
      <c r="N40" s="254">
        <f>母已审横向BS!L40</f>
        <v>0</v>
      </c>
      <c r="O40" s="265" t="str">
        <f t="shared" si="44"/>
        <v/>
      </c>
      <c r="P40" s="255" t="str">
        <f t="shared" si="50"/>
        <v/>
      </c>
      <c r="Q40" s="692" t="str">
        <f t="shared" si="51"/>
        <v/>
      </c>
      <c r="R40" s="611"/>
    </row>
    <row r="41" spans="1:18" ht="13.9" customHeight="1">
      <c r="A41" s="129" t="str">
        <f>报表格式!B39</f>
        <v>长期股权投资</v>
      </c>
      <c r="B41" s="130">
        <f t="shared" si="12"/>
        <v>35</v>
      </c>
      <c r="C41" s="254">
        <f>母已审横向BS!C41</f>
        <v>0</v>
      </c>
      <c r="D41" s="265" t="str">
        <f t="shared" si="39"/>
        <v/>
      </c>
      <c r="E41" s="254">
        <f>母已审横向BS!D41</f>
        <v>0</v>
      </c>
      <c r="F41" s="265" t="str">
        <f t="shared" si="40"/>
        <v/>
      </c>
      <c r="G41" s="255" t="str">
        <f t="shared" si="0"/>
        <v/>
      </c>
      <c r="H41" s="692" t="str">
        <f t="shared" si="1"/>
        <v/>
      </c>
      <c r="I41" s="732"/>
      <c r="J41" s="187" t="str">
        <f>报表格式!G39</f>
        <v>长期应付职工薪酬</v>
      </c>
      <c r="K41" s="131">
        <f t="shared" ref="K41:K51" si="52">K40+1</f>
        <v>35</v>
      </c>
      <c r="L41" s="254">
        <f>母已审横向BS!K41</f>
        <v>0</v>
      </c>
      <c r="M41" s="265" t="str">
        <f t="shared" si="43"/>
        <v/>
      </c>
      <c r="N41" s="254">
        <f>母已审横向BS!L41</f>
        <v>0</v>
      </c>
      <c r="O41" s="265" t="str">
        <f t="shared" si="44"/>
        <v/>
      </c>
      <c r="P41" s="255" t="str">
        <f t="shared" si="47"/>
        <v/>
      </c>
      <c r="Q41" s="692" t="str">
        <f t="shared" si="48"/>
        <v/>
      </c>
      <c r="R41" s="611"/>
    </row>
    <row r="42" spans="1:18" ht="13.9" customHeight="1">
      <c r="A42" s="129" t="str">
        <f>报表格式!B40</f>
        <v>其他权益工具投资</v>
      </c>
      <c r="B42" s="130">
        <f t="shared" si="12"/>
        <v>36</v>
      </c>
      <c r="C42" s="254">
        <f>母已审横向BS!C42</f>
        <v>0</v>
      </c>
      <c r="D42" s="265" t="str">
        <f t="shared" si="39"/>
        <v/>
      </c>
      <c r="E42" s="254">
        <f>母已审横向BS!D42</f>
        <v>0</v>
      </c>
      <c r="F42" s="265" t="str">
        <f t="shared" si="40"/>
        <v/>
      </c>
      <c r="G42" s="255" t="str">
        <f t="shared" si="0"/>
        <v/>
      </c>
      <c r="H42" s="692" t="str">
        <f t="shared" si="1"/>
        <v/>
      </c>
      <c r="I42" s="732"/>
      <c r="J42" s="187" t="str">
        <f>报表格式!G40</f>
        <v>预计负债</v>
      </c>
      <c r="K42" s="131">
        <f t="shared" si="52"/>
        <v>36</v>
      </c>
      <c r="L42" s="254">
        <f>母已审横向BS!K42</f>
        <v>0</v>
      </c>
      <c r="M42" s="265" t="str">
        <f t="shared" si="43"/>
        <v/>
      </c>
      <c r="N42" s="254">
        <f>母已审横向BS!L42</f>
        <v>0</v>
      </c>
      <c r="O42" s="265" t="str">
        <f t="shared" si="44"/>
        <v/>
      </c>
      <c r="P42" s="255" t="str">
        <f t="shared" si="47"/>
        <v/>
      </c>
      <c r="Q42" s="692" t="str">
        <f t="shared" si="48"/>
        <v/>
      </c>
      <c r="R42" s="611"/>
    </row>
    <row r="43" spans="1:18" ht="13.9" customHeight="1">
      <c r="A43" s="129" t="str">
        <f>报表格式!B41</f>
        <v>其他非流动金融资产</v>
      </c>
      <c r="B43" s="130">
        <f t="shared" si="12"/>
        <v>37</v>
      </c>
      <c r="C43" s="254">
        <f>母已审横向BS!C43</f>
        <v>0</v>
      </c>
      <c r="D43" s="265" t="str">
        <f t="shared" si="39"/>
        <v/>
      </c>
      <c r="E43" s="254">
        <f>母已审横向BS!D43</f>
        <v>0</v>
      </c>
      <c r="F43" s="265" t="str">
        <f t="shared" si="40"/>
        <v/>
      </c>
      <c r="G43" s="255" t="str">
        <f t="shared" si="0"/>
        <v/>
      </c>
      <c r="H43" s="692" t="str">
        <f t="shared" si="1"/>
        <v/>
      </c>
      <c r="I43" s="732"/>
      <c r="J43" s="187" t="str">
        <f>报表格式!G41</f>
        <v>递延收益</v>
      </c>
      <c r="K43" s="131">
        <f t="shared" si="52"/>
        <v>37</v>
      </c>
      <c r="L43" s="254">
        <f>母已审横向BS!K43</f>
        <v>0</v>
      </c>
      <c r="M43" s="265" t="str">
        <f t="shared" si="43"/>
        <v/>
      </c>
      <c r="N43" s="254">
        <f>母已审横向BS!L43</f>
        <v>0</v>
      </c>
      <c r="O43" s="265" t="str">
        <f t="shared" si="44"/>
        <v/>
      </c>
      <c r="P43" s="255" t="str">
        <f t="shared" si="47"/>
        <v/>
      </c>
      <c r="Q43" s="692" t="str">
        <f t="shared" si="48"/>
        <v/>
      </c>
      <c r="R43" s="611"/>
    </row>
    <row r="44" spans="1:18" ht="13.9" customHeight="1">
      <c r="A44" s="129" t="str">
        <f>报表格式!B42</f>
        <v>投资性房地产</v>
      </c>
      <c r="B44" s="130">
        <f t="shared" si="12"/>
        <v>38</v>
      </c>
      <c r="C44" s="254">
        <f>母已审横向BS!C44</f>
        <v>0</v>
      </c>
      <c r="D44" s="265" t="str">
        <f t="shared" si="39"/>
        <v/>
      </c>
      <c r="E44" s="254">
        <f>母已审横向BS!D44</f>
        <v>0</v>
      </c>
      <c r="F44" s="265" t="str">
        <f t="shared" si="40"/>
        <v/>
      </c>
      <c r="G44" s="255" t="str">
        <f t="shared" si="0"/>
        <v/>
      </c>
      <c r="H44" s="692" t="str">
        <f t="shared" si="1"/>
        <v/>
      </c>
      <c r="I44" s="732"/>
      <c r="J44" s="187" t="str">
        <f>报表格式!G42</f>
        <v>递延所得税负债</v>
      </c>
      <c r="K44" s="131">
        <f t="shared" si="52"/>
        <v>38</v>
      </c>
      <c r="L44" s="254">
        <f>母已审横向BS!K44</f>
        <v>0</v>
      </c>
      <c r="M44" s="265" t="str">
        <f t="shared" si="43"/>
        <v/>
      </c>
      <c r="N44" s="254">
        <f>母已审横向BS!L44</f>
        <v>0</v>
      </c>
      <c r="O44" s="265" t="str">
        <f t="shared" si="44"/>
        <v/>
      </c>
      <c r="P44" s="255" t="str">
        <f t="shared" si="47"/>
        <v/>
      </c>
      <c r="Q44" s="692" t="str">
        <f t="shared" si="48"/>
        <v/>
      </c>
      <c r="R44" s="611"/>
    </row>
    <row r="45" spans="1:18" ht="13.9" customHeight="1">
      <c r="A45" s="129" t="str">
        <f>报表格式!B43</f>
        <v>固定资产</v>
      </c>
      <c r="B45" s="130">
        <f t="shared" si="12"/>
        <v>39</v>
      </c>
      <c r="C45" s="254">
        <f>母已审横向BS!C45</f>
        <v>0</v>
      </c>
      <c r="D45" s="265" t="str">
        <f t="shared" si="39"/>
        <v/>
      </c>
      <c r="E45" s="254">
        <f>母已审横向BS!D45</f>
        <v>0</v>
      </c>
      <c r="F45" s="265" t="str">
        <f t="shared" si="40"/>
        <v/>
      </c>
      <c r="G45" s="255" t="str">
        <f t="shared" si="0"/>
        <v/>
      </c>
      <c r="H45" s="692" t="str">
        <f t="shared" si="1"/>
        <v/>
      </c>
      <c r="I45" s="732"/>
      <c r="J45" s="187" t="str">
        <f>报表格式!G43</f>
        <v>其他非流动负债</v>
      </c>
      <c r="K45" s="131">
        <f t="shared" si="52"/>
        <v>39</v>
      </c>
      <c r="L45" s="254">
        <f>母已审横向BS!K45</f>
        <v>0</v>
      </c>
      <c r="M45" s="265" t="str">
        <f t="shared" si="43"/>
        <v/>
      </c>
      <c r="N45" s="254">
        <f>母已审横向BS!L45</f>
        <v>0</v>
      </c>
      <c r="O45" s="265" t="str">
        <f t="shared" si="44"/>
        <v/>
      </c>
      <c r="P45" s="255" t="str">
        <f t="shared" si="47"/>
        <v/>
      </c>
      <c r="Q45" s="692" t="str">
        <f t="shared" si="48"/>
        <v/>
      </c>
      <c r="R45" s="611"/>
    </row>
    <row r="46" spans="1:18" ht="13.9" customHeight="1">
      <c r="A46" s="129" t="str">
        <f>报表格式!B44</f>
        <v>在建工程</v>
      </c>
      <c r="B46" s="130">
        <f t="shared" si="12"/>
        <v>40</v>
      </c>
      <c r="C46" s="254">
        <f>母已审横向BS!C46</f>
        <v>0</v>
      </c>
      <c r="D46" s="265" t="str">
        <f t="shared" si="39"/>
        <v/>
      </c>
      <c r="E46" s="254">
        <f>母已审横向BS!D46</f>
        <v>0</v>
      </c>
      <c r="F46" s="265" t="str">
        <f t="shared" si="40"/>
        <v/>
      </c>
      <c r="G46" s="255" t="str">
        <f t="shared" si="0"/>
        <v/>
      </c>
      <c r="H46" s="692" t="str">
        <f t="shared" si="1"/>
        <v/>
      </c>
      <c r="I46" s="732"/>
      <c r="J46" s="133" t="str">
        <f>报表格式!G44</f>
        <v>非流动负债合计</v>
      </c>
      <c r="K46" s="131">
        <f t="shared" si="52"/>
        <v>40</v>
      </c>
      <c r="L46" s="256">
        <f>母已审横向BS!K46</f>
        <v>0</v>
      </c>
      <c r="M46" s="321" t="str">
        <f t="shared" si="43"/>
        <v/>
      </c>
      <c r="N46" s="256">
        <f>母已审横向BS!L46</f>
        <v>0</v>
      </c>
      <c r="O46" s="321" t="str">
        <f t="shared" si="44"/>
        <v/>
      </c>
      <c r="P46" s="322" t="str">
        <f>IF(AND(M46="",O46=""),"",IF(M46="",O46,IF(O46="",-M46,O46-M46)))</f>
        <v/>
      </c>
      <c r="Q46" s="693" t="str">
        <f>IF(P46="","",IF(ABS(P46)&gt;=30%,"显著",IF(ABS(P46)&gt;=10%,"关注","")))</f>
        <v/>
      </c>
      <c r="R46" s="696"/>
    </row>
    <row r="47" spans="1:18" ht="13.9" customHeight="1">
      <c r="A47" s="129" t="str">
        <f>报表格式!B45</f>
        <v xml:space="preserve">生产性生物资产 </v>
      </c>
      <c r="B47" s="130">
        <f t="shared" si="12"/>
        <v>41</v>
      </c>
      <c r="C47" s="254">
        <f>母已审横向BS!C47</f>
        <v>0</v>
      </c>
      <c r="D47" s="265" t="str">
        <f t="shared" si="39"/>
        <v/>
      </c>
      <c r="E47" s="254">
        <f>母已审横向BS!D47</f>
        <v>0</v>
      </c>
      <c r="F47" s="265" t="str">
        <f t="shared" si="40"/>
        <v/>
      </c>
      <c r="G47" s="255" t="str">
        <f t="shared" si="0"/>
        <v/>
      </c>
      <c r="H47" s="692" t="str">
        <f t="shared" si="1"/>
        <v/>
      </c>
      <c r="I47" s="732"/>
      <c r="J47" s="133" t="str">
        <f>报表格式!G45</f>
        <v>负 债 合 计</v>
      </c>
      <c r="K47" s="131">
        <f t="shared" si="52"/>
        <v>41</v>
      </c>
      <c r="L47" s="256">
        <f>母已审横向BS!K47</f>
        <v>0</v>
      </c>
      <c r="M47" s="321" t="str">
        <f t="shared" si="43"/>
        <v/>
      </c>
      <c r="N47" s="256">
        <f>母已审横向BS!L47</f>
        <v>0</v>
      </c>
      <c r="O47" s="321" t="str">
        <f t="shared" si="44"/>
        <v/>
      </c>
      <c r="P47" s="322" t="str">
        <f>IF(AND(M47="",O47=""),"",IF(M47="",O47,IF(O47="",-M47,O47-M47)))</f>
        <v/>
      </c>
      <c r="Q47" s="693" t="str">
        <f>IF(P47="","",IF(ABS(P47)&gt;=30%,"显著",IF(ABS(P47)&gt;=10%,"关注","")))</f>
        <v/>
      </c>
      <c r="R47" s="696"/>
    </row>
    <row r="48" spans="1:18" ht="13.9" customHeight="1">
      <c r="A48" s="129" t="str">
        <f>报表格式!B46</f>
        <v>油气资产</v>
      </c>
      <c r="B48" s="130">
        <f t="shared" si="12"/>
        <v>42</v>
      </c>
      <c r="C48" s="254">
        <f>母已审横向BS!C48</f>
        <v>0</v>
      </c>
      <c r="D48" s="265" t="str">
        <f t="shared" si="39"/>
        <v/>
      </c>
      <c r="E48" s="254">
        <f>母已审横向BS!D48</f>
        <v>0</v>
      </c>
      <c r="F48" s="265" t="str">
        <f t="shared" si="40"/>
        <v/>
      </c>
      <c r="G48" s="255" t="str">
        <f t="shared" si="0"/>
        <v/>
      </c>
      <c r="H48" s="692" t="str">
        <f t="shared" si="1"/>
        <v/>
      </c>
      <c r="I48" s="732"/>
      <c r="J48" s="188" t="str">
        <f>报表格式!G46</f>
        <v>股东权益：</v>
      </c>
      <c r="K48" s="131">
        <f t="shared" si="52"/>
        <v>42</v>
      </c>
      <c r="L48" s="254"/>
      <c r="M48" s="265"/>
      <c r="N48" s="254"/>
      <c r="O48" s="265"/>
      <c r="P48" s="255"/>
      <c r="Q48" s="692"/>
      <c r="R48" s="611"/>
    </row>
    <row r="49" spans="1:18" ht="13.9" customHeight="1">
      <c r="A49" s="129" t="str">
        <f>报表格式!B47</f>
        <v>使用权资产</v>
      </c>
      <c r="B49" s="130">
        <f t="shared" si="12"/>
        <v>43</v>
      </c>
      <c r="C49" s="254">
        <f>母已审横向BS!C49</f>
        <v>0</v>
      </c>
      <c r="D49" s="265" t="str">
        <f t="shared" si="39"/>
        <v/>
      </c>
      <c r="E49" s="254">
        <f>母已审横向BS!D49</f>
        <v>0</v>
      </c>
      <c r="F49" s="265" t="str">
        <f t="shared" si="40"/>
        <v/>
      </c>
      <c r="G49" s="255" t="str">
        <f t="shared" si="0"/>
        <v/>
      </c>
      <c r="H49" s="692" t="str">
        <f t="shared" si="1"/>
        <v/>
      </c>
      <c r="I49" s="732"/>
      <c r="J49" s="187" t="str">
        <f>报表格式!G47</f>
        <v>股本</v>
      </c>
      <c r="K49" s="131">
        <f t="shared" si="52"/>
        <v>43</v>
      </c>
      <c r="L49" s="254">
        <f>母已审横向BS!K49</f>
        <v>0</v>
      </c>
      <c r="M49" s="265" t="str">
        <f t="shared" ref="M49:M57" si="53">IF(AND(L49&lt;&gt;0,$L$63&lt;&gt;0),L49/$L$63,"")</f>
        <v/>
      </c>
      <c r="N49" s="254">
        <f>母已审横向BS!L49</f>
        <v>0</v>
      </c>
      <c r="O49" s="265" t="str">
        <f t="shared" ref="O49:O57" si="54">IF(AND(N49&lt;&gt;0,$N$63&lt;&gt;0),N49/$N$63,"")</f>
        <v/>
      </c>
      <c r="P49" s="255" t="str">
        <f>IF(AND(M49="",O49=""),"",IF(M49="",O49,IF(O49="",-M49,O49-M49)))</f>
        <v/>
      </c>
      <c r="Q49" s="692" t="str">
        <f>IF(P49="","",IF(ABS(P49)&gt;=30%,"显著",IF(ABS(P49)&gt;=10%,"关注","")))</f>
        <v/>
      </c>
      <c r="R49" s="611"/>
    </row>
    <row r="50" spans="1:18">
      <c r="A50" s="129" t="str">
        <f>报表格式!B48</f>
        <v>无形资产</v>
      </c>
      <c r="B50" s="130">
        <f t="shared" si="12"/>
        <v>44</v>
      </c>
      <c r="C50" s="254">
        <f>母已审横向BS!C50</f>
        <v>0</v>
      </c>
      <c r="D50" s="265" t="str">
        <f t="shared" si="39"/>
        <v/>
      </c>
      <c r="E50" s="254">
        <f>母已审横向BS!D50</f>
        <v>0</v>
      </c>
      <c r="F50" s="265" t="str">
        <f t="shared" si="40"/>
        <v/>
      </c>
      <c r="G50" s="255" t="str">
        <f t="shared" si="0"/>
        <v/>
      </c>
      <c r="H50" s="692" t="str">
        <f t="shared" si="1"/>
        <v/>
      </c>
      <c r="I50" s="732"/>
      <c r="J50" s="187" t="str">
        <f>报表格式!G48</f>
        <v>其他权益工具</v>
      </c>
      <c r="K50" s="131">
        <f t="shared" si="52"/>
        <v>44</v>
      </c>
      <c r="L50" s="254">
        <f>母已审横向BS!K50</f>
        <v>0</v>
      </c>
      <c r="M50" s="265" t="str">
        <f t="shared" si="53"/>
        <v/>
      </c>
      <c r="N50" s="254">
        <f>母已审横向BS!L50</f>
        <v>0</v>
      </c>
      <c r="O50" s="265" t="str">
        <f t="shared" si="54"/>
        <v/>
      </c>
      <c r="P50" s="255" t="str">
        <f t="shared" ref="P50:P61" si="55">IF(AND(M50="",O50=""),"",IF(M50="",O50,IF(O50="",-M50,O50-M50)))</f>
        <v/>
      </c>
      <c r="Q50" s="692" t="str">
        <f t="shared" ref="Q50:Q61" si="56">IF(P50="","",IF(ABS(P50)&gt;=30%,"显著",IF(ABS(P50)&gt;=10%,"关注","")))</f>
        <v/>
      </c>
      <c r="R50" s="611"/>
    </row>
    <row r="51" spans="1:18">
      <c r="A51" s="129" t="str">
        <f>报表格式!B49</f>
        <v>开发支出</v>
      </c>
      <c r="B51" s="130">
        <f t="shared" si="12"/>
        <v>45</v>
      </c>
      <c r="C51" s="254">
        <f>母已审横向BS!C51</f>
        <v>0</v>
      </c>
      <c r="D51" s="265" t="str">
        <f t="shared" si="39"/>
        <v/>
      </c>
      <c r="E51" s="254">
        <f>母已审横向BS!D51</f>
        <v>0</v>
      </c>
      <c r="F51" s="265" t="str">
        <f t="shared" si="40"/>
        <v/>
      </c>
      <c r="G51" s="255" t="str">
        <f t="shared" si="0"/>
        <v/>
      </c>
      <c r="H51" s="692" t="str">
        <f t="shared" si="1"/>
        <v/>
      </c>
      <c r="I51" s="732"/>
      <c r="J51" s="187" t="str">
        <f>报表格式!G49</f>
        <v xml:space="preserve">  其中：优先股</v>
      </c>
      <c r="K51" s="131">
        <f t="shared" si="52"/>
        <v>45</v>
      </c>
      <c r="L51" s="254">
        <f>母已审横向BS!K51</f>
        <v>0</v>
      </c>
      <c r="M51" s="265" t="str">
        <f t="shared" si="53"/>
        <v/>
      </c>
      <c r="N51" s="254">
        <f>母已审横向BS!L51</f>
        <v>0</v>
      </c>
      <c r="O51" s="265" t="str">
        <f t="shared" si="54"/>
        <v/>
      </c>
      <c r="P51" s="255" t="str">
        <f t="shared" si="55"/>
        <v/>
      </c>
      <c r="Q51" s="692" t="str">
        <f t="shared" si="56"/>
        <v/>
      </c>
      <c r="R51" s="611"/>
    </row>
    <row r="52" spans="1:18">
      <c r="A52" s="129" t="str">
        <f>报表格式!B50</f>
        <v>商誉</v>
      </c>
      <c r="B52" s="130">
        <f t="shared" si="12"/>
        <v>46</v>
      </c>
      <c r="C52" s="254">
        <f>母已审横向BS!C52</f>
        <v>0</v>
      </c>
      <c r="D52" s="265" t="str">
        <f t="shared" si="39"/>
        <v/>
      </c>
      <c r="E52" s="254">
        <f>母已审横向BS!D52</f>
        <v>0</v>
      </c>
      <c r="F52" s="265" t="str">
        <f t="shared" si="40"/>
        <v/>
      </c>
      <c r="G52" s="255" t="str">
        <f t="shared" ref="G52:G60" si="57">IF(AND(D52="",F52=""),"",IF(D52="",F52,IF(F52="",-D52,F52-D52)))</f>
        <v/>
      </c>
      <c r="H52" s="692" t="str">
        <f t="shared" ref="H52:H60" si="58">IF(G52="","",IF(ABS(G52)&gt;=30%,"显著",IF(ABS(G52)&gt;=10%,"关注","")))</f>
        <v/>
      </c>
      <c r="I52" s="732"/>
      <c r="J52" s="187" t="str">
        <f>报表格式!G50</f>
        <v xml:space="preserve">        永续债</v>
      </c>
      <c r="K52" s="131">
        <f>K51+1</f>
        <v>46</v>
      </c>
      <c r="L52" s="254">
        <f>母已审横向BS!K52</f>
        <v>0</v>
      </c>
      <c r="M52" s="265" t="str">
        <f t="shared" si="53"/>
        <v/>
      </c>
      <c r="N52" s="254">
        <f>母已审横向BS!L52</f>
        <v>0</v>
      </c>
      <c r="O52" s="265" t="str">
        <f t="shared" si="54"/>
        <v/>
      </c>
      <c r="P52" s="255" t="str">
        <f t="shared" si="55"/>
        <v/>
      </c>
      <c r="Q52" s="692" t="str">
        <f t="shared" si="56"/>
        <v/>
      </c>
      <c r="R52" s="611"/>
    </row>
    <row r="53" spans="1:18">
      <c r="A53" s="129" t="str">
        <f>报表格式!B51</f>
        <v>长期待摊费用</v>
      </c>
      <c r="B53" s="130">
        <f t="shared" si="12"/>
        <v>47</v>
      </c>
      <c r="C53" s="254">
        <f>母已审横向BS!C53</f>
        <v>0</v>
      </c>
      <c r="D53" s="265" t="str">
        <f t="shared" si="39"/>
        <v/>
      </c>
      <c r="E53" s="254">
        <f>母已审横向BS!D53</f>
        <v>0</v>
      </c>
      <c r="F53" s="265" t="str">
        <f t="shared" si="40"/>
        <v/>
      </c>
      <c r="G53" s="255" t="str">
        <f t="shared" si="57"/>
        <v/>
      </c>
      <c r="H53" s="692" t="str">
        <f t="shared" si="58"/>
        <v/>
      </c>
      <c r="I53" s="732"/>
      <c r="J53" s="187" t="str">
        <f>报表格式!G51</f>
        <v>资本公积</v>
      </c>
      <c r="K53" s="131">
        <f>K52+1</f>
        <v>47</v>
      </c>
      <c r="L53" s="254">
        <f>母已审横向BS!K53</f>
        <v>0</v>
      </c>
      <c r="M53" s="265" t="str">
        <f t="shared" si="53"/>
        <v/>
      </c>
      <c r="N53" s="254">
        <f>母已审横向BS!L53</f>
        <v>0</v>
      </c>
      <c r="O53" s="265" t="str">
        <f t="shared" si="54"/>
        <v/>
      </c>
      <c r="P53" s="255" t="str">
        <f t="shared" si="55"/>
        <v/>
      </c>
      <c r="Q53" s="692" t="str">
        <f t="shared" si="56"/>
        <v/>
      </c>
      <c r="R53" s="611"/>
    </row>
    <row r="54" spans="1:18">
      <c r="A54" s="129" t="str">
        <f>报表格式!B52</f>
        <v>递延所得税资产</v>
      </c>
      <c r="B54" s="130">
        <f t="shared" si="12"/>
        <v>48</v>
      </c>
      <c r="C54" s="254">
        <f>母已审横向BS!C54</f>
        <v>0</v>
      </c>
      <c r="D54" s="265" t="str">
        <f t="shared" ref="D54:D60" si="59">IF(AND(C54&lt;&gt;0,$C$60&lt;&gt;0),C54/$C$60,"")</f>
        <v/>
      </c>
      <c r="E54" s="254">
        <f>母已审横向BS!D54</f>
        <v>0</v>
      </c>
      <c r="F54" s="265" t="str">
        <f t="shared" ref="F54:F60" si="60">IF(AND(E54&lt;&gt;0,$E$60&lt;&gt;0),E54/$E$60,"")</f>
        <v/>
      </c>
      <c r="G54" s="255" t="str">
        <f>IF(AND(D54="",F54=""),"",IF(D54="",F54,IF(F54="",-D54,F54-D54)))</f>
        <v/>
      </c>
      <c r="H54" s="692" t="str">
        <f>IF(G54="","",IF(ABS(G54)&gt;=30%,"显著",IF(ABS(G54)&gt;=10%,"关注","")))</f>
        <v/>
      </c>
      <c r="I54" s="732"/>
      <c r="J54" s="187" t="str">
        <f>报表格式!G52</f>
        <v>减：库存股</v>
      </c>
      <c r="K54" s="131">
        <f t="shared" ref="K54:K63" si="61">K53+1</f>
        <v>48</v>
      </c>
      <c r="L54" s="254">
        <f>母已审横向BS!K54</f>
        <v>0</v>
      </c>
      <c r="M54" s="265" t="str">
        <f t="shared" si="53"/>
        <v/>
      </c>
      <c r="N54" s="254">
        <f>母已审横向BS!L54</f>
        <v>0</v>
      </c>
      <c r="O54" s="265" t="str">
        <f t="shared" si="54"/>
        <v/>
      </c>
      <c r="P54" s="255" t="str">
        <f t="shared" si="55"/>
        <v/>
      </c>
      <c r="Q54" s="692" t="str">
        <f t="shared" si="56"/>
        <v/>
      </c>
      <c r="R54" s="611"/>
    </row>
    <row r="55" spans="1:18">
      <c r="A55" s="129" t="str">
        <f>报表格式!B53</f>
        <v>其他非流动资产</v>
      </c>
      <c r="B55" s="130">
        <f t="shared" si="12"/>
        <v>49</v>
      </c>
      <c r="C55" s="254">
        <f>母已审横向BS!C55</f>
        <v>0</v>
      </c>
      <c r="D55" s="265" t="str">
        <f t="shared" si="59"/>
        <v/>
      </c>
      <c r="E55" s="254">
        <f>母已审横向BS!D55</f>
        <v>0</v>
      </c>
      <c r="F55" s="265" t="str">
        <f t="shared" si="60"/>
        <v/>
      </c>
      <c r="G55" s="255" t="str">
        <f>IF(AND(D55="",F55=""),"",IF(D55="",F55,IF(F55="",-D55,F55-D55)))</f>
        <v/>
      </c>
      <c r="H55" s="692" t="str">
        <f>IF(G55="","",IF(ABS(G55)&gt;=30%,"显著",IF(ABS(G55)&gt;=10%,"关注","")))</f>
        <v/>
      </c>
      <c r="I55" s="732"/>
      <c r="J55" s="187" t="str">
        <f>报表格式!G53</f>
        <v>其他综合收益</v>
      </c>
      <c r="K55" s="131">
        <f t="shared" si="61"/>
        <v>49</v>
      </c>
      <c r="L55" s="254">
        <f>母已审横向BS!K55</f>
        <v>0</v>
      </c>
      <c r="M55" s="265" t="str">
        <f t="shared" si="53"/>
        <v/>
      </c>
      <c r="N55" s="254">
        <f>母已审横向BS!L55</f>
        <v>0</v>
      </c>
      <c r="O55" s="265" t="str">
        <f t="shared" si="54"/>
        <v/>
      </c>
      <c r="P55" s="255" t="str">
        <f t="shared" si="55"/>
        <v/>
      </c>
      <c r="Q55" s="692" t="str">
        <f t="shared" si="56"/>
        <v/>
      </c>
      <c r="R55" s="611"/>
    </row>
    <row r="56" spans="1:18">
      <c r="A56" s="129">
        <f>报表格式!B54</f>
        <v>0</v>
      </c>
      <c r="B56" s="130">
        <f t="shared" si="12"/>
        <v>50</v>
      </c>
      <c r="C56" s="254">
        <f>母已审横向BS!C56</f>
        <v>0</v>
      </c>
      <c r="D56" s="265" t="str">
        <f t="shared" si="59"/>
        <v/>
      </c>
      <c r="E56" s="254">
        <f>母已审横向BS!D56</f>
        <v>0</v>
      </c>
      <c r="F56" s="265" t="str">
        <f t="shared" si="60"/>
        <v/>
      </c>
      <c r="G56" s="255" t="str">
        <f>IF(AND(D56="",F56=""),"",IF(D56="",F56,IF(F56="",-D56,F56-D56)))</f>
        <v/>
      </c>
      <c r="H56" s="692" t="str">
        <f>IF(G56="","",IF(ABS(G56)&gt;=30%,"显著",IF(ABS(G56)&gt;=10%,"关注","")))</f>
        <v/>
      </c>
      <c r="I56" s="732"/>
      <c r="J56" s="187" t="str">
        <f>报表格式!G54</f>
        <v>专项储备</v>
      </c>
      <c r="K56" s="131">
        <f t="shared" si="61"/>
        <v>50</v>
      </c>
      <c r="L56" s="254">
        <f>母已审横向BS!K56</f>
        <v>0</v>
      </c>
      <c r="M56" s="265" t="str">
        <f t="shared" si="53"/>
        <v/>
      </c>
      <c r="N56" s="254">
        <f>母已审横向BS!L56</f>
        <v>0</v>
      </c>
      <c r="O56" s="265" t="str">
        <f t="shared" si="54"/>
        <v/>
      </c>
      <c r="P56" s="255" t="str">
        <f t="shared" si="55"/>
        <v/>
      </c>
      <c r="Q56" s="692" t="str">
        <f t="shared" si="56"/>
        <v/>
      </c>
      <c r="R56" s="611"/>
    </row>
    <row r="57" spans="1:18">
      <c r="A57" s="129">
        <f>报表格式!B55</f>
        <v>0</v>
      </c>
      <c r="B57" s="130">
        <f t="shared" si="12"/>
        <v>51</v>
      </c>
      <c r="C57" s="254">
        <f>母已审横向BS!C57</f>
        <v>0</v>
      </c>
      <c r="D57" s="265" t="str">
        <f t="shared" si="59"/>
        <v/>
      </c>
      <c r="E57" s="254">
        <f>母已审横向BS!D57</f>
        <v>0</v>
      </c>
      <c r="F57" s="265" t="str">
        <f t="shared" si="60"/>
        <v/>
      </c>
      <c r="G57" s="255" t="str">
        <f>IF(AND(D57="",F57=""),"",IF(D57="",F57,IF(F57="",-D57,F57-D57)))</f>
        <v/>
      </c>
      <c r="H57" s="692" t="str">
        <f>IF(G57="","",IF(ABS(G57)&gt;=30%,"显著",IF(ABS(G57)&gt;=10%,"关注","")))</f>
        <v/>
      </c>
      <c r="I57" s="732"/>
      <c r="J57" s="187" t="str">
        <f>报表格式!G55</f>
        <v>盈余公积</v>
      </c>
      <c r="K57" s="131">
        <f t="shared" si="61"/>
        <v>51</v>
      </c>
      <c r="L57" s="254">
        <f>母已审横向BS!K57</f>
        <v>0</v>
      </c>
      <c r="M57" s="265" t="str">
        <f t="shared" si="53"/>
        <v/>
      </c>
      <c r="N57" s="254">
        <f>母已审横向BS!L57</f>
        <v>0</v>
      </c>
      <c r="O57" s="265" t="str">
        <f t="shared" si="54"/>
        <v/>
      </c>
      <c r="P57" s="255" t="str">
        <f t="shared" si="55"/>
        <v/>
      </c>
      <c r="Q57" s="692" t="str">
        <f t="shared" si="56"/>
        <v/>
      </c>
      <c r="R57" s="611"/>
    </row>
    <row r="58" spans="1:18">
      <c r="A58" s="129">
        <f>报表格式!B56</f>
        <v>0</v>
      </c>
      <c r="B58" s="130">
        <f t="shared" si="12"/>
        <v>52</v>
      </c>
      <c r="C58" s="254">
        <f>母已审横向BS!C58</f>
        <v>0</v>
      </c>
      <c r="D58" s="265" t="str">
        <f t="shared" si="59"/>
        <v/>
      </c>
      <c r="E58" s="254">
        <f>母已审横向BS!D58</f>
        <v>0</v>
      </c>
      <c r="F58" s="265" t="str">
        <f t="shared" si="60"/>
        <v/>
      </c>
      <c r="G58" s="255" t="str">
        <f>IF(AND(D58="",F58=""),"",IF(D58="",F58,IF(F58="",-D58,F58-D58)))</f>
        <v/>
      </c>
      <c r="H58" s="692" t="str">
        <f>IF(G58="","",IF(ABS(G58)&gt;=30%,"显著",IF(ABS(G58)&gt;=10%,"关注","")))</f>
        <v/>
      </c>
      <c r="I58" s="732"/>
      <c r="J58" s="187" t="str">
        <f>报表格式!G56</f>
        <v>一般风险准备</v>
      </c>
      <c r="K58" s="131">
        <f t="shared" si="61"/>
        <v>52</v>
      </c>
      <c r="L58" s="254">
        <f>母已审横向BS!K58</f>
        <v>0</v>
      </c>
      <c r="M58" s="265" t="str">
        <f t="shared" ref="M58:M59" si="62">IF(AND(L58&lt;&gt;0,$L$63&lt;&gt;0),L58/$L$63,"")</f>
        <v/>
      </c>
      <c r="N58" s="254">
        <f>母已审横向BS!L58</f>
        <v>0</v>
      </c>
      <c r="O58" s="265" t="str">
        <f t="shared" ref="O58:O59" si="63">IF(AND(N58&lt;&gt;0,$N$63&lt;&gt;0),N58/$N$63,"")</f>
        <v/>
      </c>
      <c r="P58" s="255" t="str">
        <f t="shared" ref="P58:P59" si="64">IF(AND(M58="",O58=""),"",IF(M58="",O58,IF(O58="",-M58,O58-M58)))</f>
        <v/>
      </c>
      <c r="Q58" s="692" t="str">
        <f t="shared" ref="Q58:Q59" si="65">IF(P58="","",IF(ABS(P58)&gt;=30%,"显著",IF(ABS(P58)&gt;=10%,"关注","")))</f>
        <v/>
      </c>
      <c r="R58" s="611"/>
    </row>
    <row r="59" spans="1:18">
      <c r="A59" s="135" t="str">
        <f>报表格式!B57</f>
        <v>非流动资产合计</v>
      </c>
      <c r="B59" s="131">
        <f t="shared" si="12"/>
        <v>53</v>
      </c>
      <c r="C59" s="256">
        <f>母已审横向BS!C59</f>
        <v>0</v>
      </c>
      <c r="D59" s="321" t="str">
        <f t="shared" si="59"/>
        <v/>
      </c>
      <c r="E59" s="256">
        <f>母已审横向BS!D59</f>
        <v>0</v>
      </c>
      <c r="F59" s="322" t="str">
        <f t="shared" si="60"/>
        <v/>
      </c>
      <c r="G59" s="322" t="str">
        <f t="shared" si="57"/>
        <v/>
      </c>
      <c r="H59" s="693" t="str">
        <f t="shared" si="58"/>
        <v/>
      </c>
      <c r="I59" s="733"/>
      <c r="J59" s="187" t="str">
        <f>报表格式!G57</f>
        <v>未分配利润</v>
      </c>
      <c r="K59" s="131">
        <f t="shared" si="61"/>
        <v>53</v>
      </c>
      <c r="L59" s="254">
        <f>母已审横向BS!K59</f>
        <v>0</v>
      </c>
      <c r="M59" s="265" t="str">
        <f t="shared" si="62"/>
        <v/>
      </c>
      <c r="N59" s="254">
        <f>母已审横向BS!L59</f>
        <v>0</v>
      </c>
      <c r="O59" s="265" t="str">
        <f t="shared" si="63"/>
        <v/>
      </c>
      <c r="P59" s="255" t="str">
        <f t="shared" si="64"/>
        <v/>
      </c>
      <c r="Q59" s="692" t="str">
        <f t="shared" si="65"/>
        <v/>
      </c>
      <c r="R59" s="611"/>
    </row>
    <row r="60" spans="1:18" ht="15" thickBot="1">
      <c r="A60" s="136" t="str">
        <f>报表格式!B58</f>
        <v>资 产 总 计</v>
      </c>
      <c r="B60" s="137">
        <f t="shared" si="12"/>
        <v>54</v>
      </c>
      <c r="C60" s="257">
        <f>母已审横向BS!C60</f>
        <v>0</v>
      </c>
      <c r="D60" s="323" t="str">
        <f t="shared" si="59"/>
        <v/>
      </c>
      <c r="E60" s="257">
        <f>母已审横向BS!D60</f>
        <v>0</v>
      </c>
      <c r="F60" s="323" t="str">
        <f t="shared" si="60"/>
        <v/>
      </c>
      <c r="G60" s="323" t="str">
        <f t="shared" si="57"/>
        <v/>
      </c>
      <c r="H60" s="689" t="str">
        <f t="shared" si="58"/>
        <v/>
      </c>
      <c r="I60" s="170"/>
      <c r="J60" s="187" t="str">
        <f>报表格式!G58</f>
        <v>归属于母公司股东权益合计</v>
      </c>
      <c r="K60" s="131">
        <f t="shared" si="61"/>
        <v>54</v>
      </c>
      <c r="L60" s="254">
        <f>母已审横向BS!K60</f>
        <v>0</v>
      </c>
      <c r="M60" s="265" t="str">
        <f>IF(AND(L60&lt;&gt;0,$L$63&lt;&gt;0),L60/$L$63,"")</f>
        <v/>
      </c>
      <c r="N60" s="254">
        <f>母已审横向BS!L60</f>
        <v>0</v>
      </c>
      <c r="O60" s="265" t="str">
        <f>IF(AND(N60&lt;&gt;0,$N$63&lt;&gt;0),N60/$N$63,"")</f>
        <v/>
      </c>
      <c r="P60" s="255" t="str">
        <f t="shared" si="55"/>
        <v/>
      </c>
      <c r="Q60" s="692" t="str">
        <f t="shared" si="56"/>
        <v/>
      </c>
      <c r="R60" s="611"/>
    </row>
    <row r="61" spans="1:18">
      <c r="A61" s="78"/>
      <c r="B61" s="78"/>
      <c r="J61" s="187" t="str">
        <f>报表格式!G59</f>
        <v>少数股东权益</v>
      </c>
      <c r="K61" s="131">
        <f t="shared" si="61"/>
        <v>55</v>
      </c>
      <c r="L61" s="254">
        <f>母已审横向BS!K61</f>
        <v>0</v>
      </c>
      <c r="M61" s="265" t="str">
        <f>IF(AND(L61&lt;&gt;0,$L$63&lt;&gt;0),L61/$L$63,"")</f>
        <v/>
      </c>
      <c r="N61" s="254">
        <f>母已审横向BS!L61</f>
        <v>0</v>
      </c>
      <c r="O61" s="265" t="str">
        <f>IF(AND(N61&lt;&gt;0,$N$63&lt;&gt;0),N61/$N$63,"")</f>
        <v/>
      </c>
      <c r="P61" s="255" t="str">
        <f t="shared" si="55"/>
        <v/>
      </c>
      <c r="Q61" s="692" t="str">
        <f t="shared" si="56"/>
        <v/>
      </c>
      <c r="R61" s="611"/>
    </row>
    <row r="62" spans="1:18">
      <c r="A62" s="78"/>
      <c r="B62" s="78"/>
      <c r="J62" s="185" t="str">
        <f>报表格式!G60</f>
        <v>股东权益合计</v>
      </c>
      <c r="K62" s="131">
        <f t="shared" si="61"/>
        <v>56</v>
      </c>
      <c r="L62" s="259">
        <f>母已审横向BS!K62</f>
        <v>0</v>
      </c>
      <c r="M62" s="321" t="str">
        <f>IF(AND(L62&lt;&gt;0,$L$63&lt;&gt;0),L62/$L$63,"")</f>
        <v/>
      </c>
      <c r="N62" s="259">
        <f>母已审横向BS!L62</f>
        <v>0</v>
      </c>
      <c r="O62" s="321" t="str">
        <f>IF(AND(N62&lt;&gt;0,$N$63&lt;&gt;0),N62/$N$63,"")</f>
        <v/>
      </c>
      <c r="P62" s="322" t="str">
        <f>IF(AND(M62="",O62=""),"",IF(M62="",O62,IF(O62="",-M62,O62-M62)))</f>
        <v/>
      </c>
      <c r="Q62" s="693" t="str">
        <f>IF(P62="","",IF(ABS(P62)&gt;=30%,"显著",IF(ABS(P62)&gt;=10%,"关注","")))</f>
        <v/>
      </c>
      <c r="R62" s="612"/>
    </row>
    <row r="63" spans="1:18" ht="15" thickBot="1">
      <c r="A63" s="78"/>
      <c r="B63" s="78"/>
      <c r="J63" s="189" t="str">
        <f>报表格式!G61</f>
        <v>负债和股东权益合计</v>
      </c>
      <c r="K63" s="137">
        <f t="shared" si="61"/>
        <v>57</v>
      </c>
      <c r="L63" s="257">
        <f>母已审横向BS!K63</f>
        <v>0</v>
      </c>
      <c r="M63" s="324" t="str">
        <f>IF(AND(L63&lt;&gt;0,$L$63&lt;&gt;0),L63/$L$63,"")</f>
        <v/>
      </c>
      <c r="N63" s="257">
        <f>母已审横向BS!L63</f>
        <v>0</v>
      </c>
      <c r="O63" s="324" t="str">
        <f>IF(AND(N63&lt;&gt;0,$N$63&lt;&gt;0),N63/$N$63,"")</f>
        <v/>
      </c>
      <c r="P63" s="323" t="str">
        <f>IF(AND(M63="",O63=""),"",IF(M63="",O63,IF(O63="",-M63,O63-M63)))</f>
        <v/>
      </c>
      <c r="Q63" s="695" t="str">
        <f>IF(P63="","",IF(ABS(P63)&gt;=30%,"显著",IF(ABS(P63)&gt;=10%,"关注","")))</f>
        <v/>
      </c>
      <c r="R63" s="613"/>
    </row>
    <row r="64" spans="1:18">
      <c r="A64" s="78"/>
      <c r="B64" s="78"/>
      <c r="K64" s="78"/>
    </row>
    <row r="65" spans="1:11">
      <c r="A65" s="78"/>
      <c r="B65" s="78"/>
      <c r="K65" s="78"/>
    </row>
    <row r="66" spans="1:11">
      <c r="K66" s="78"/>
    </row>
    <row r="67" spans="1:11">
      <c r="K67" s="78"/>
    </row>
    <row r="68" spans="1:11">
      <c r="K68" s="78"/>
    </row>
  </sheetData>
  <sheetProtection formatCells="0" insertRows="0" autoFilter="0" pivotTables="0"/>
  <mergeCells count="16">
    <mergeCell ref="J1:R1"/>
    <mergeCell ref="A4:A6"/>
    <mergeCell ref="J4:J6"/>
    <mergeCell ref="H4:H6"/>
    <mergeCell ref="I4:I6"/>
    <mergeCell ref="B4:B6"/>
    <mergeCell ref="A1:I1"/>
    <mergeCell ref="Q4:Q6"/>
    <mergeCell ref="R4:R6"/>
    <mergeCell ref="N4:O4"/>
    <mergeCell ref="P4:P5"/>
    <mergeCell ref="C4:D4"/>
    <mergeCell ref="E4:F4"/>
    <mergeCell ref="G4:G5"/>
    <mergeCell ref="L4:M4"/>
    <mergeCell ref="K4:K6"/>
  </mergeCells>
  <phoneticPr fontId="3" type="noConversion"/>
  <conditionalFormatting sqref="H7">
    <cfRule type="cellIs" dxfId="9" priority="1" stopIfTrue="1" operator="equal">
      <formula>"异常"</formula>
    </cfRule>
  </conditionalFormatting>
  <conditionalFormatting sqref="I7:O7 C7:G7">
    <cfRule type="cellIs" dxfId="8" priority="2" stopIfTrue="1" operator="equal">
      <formula>"            对不起，请到参数表中确定报表类型！"</formula>
    </cfRule>
    <cfRule type="cellIs" dxfId="7" priority="3" stopIfTrue="1" operator="equal">
      <formula>"对不起，试用期已到，请查看系统信息，并与作者联系。"</formula>
    </cfRule>
  </conditionalFormatting>
  <conditionalFormatting sqref="H8:H60 Q8:Q63">
    <cfRule type="cellIs" dxfId="6" priority="4" stopIfTrue="1" operator="equal">
      <formula>"显著"</formula>
    </cfRule>
  </conditionalFormatting>
  <printOptions horizontalCentered="1"/>
  <pageMargins left="0.35" right="0.23622047244094491" top="1.01" bottom="0.27" header="0.41" footer="0.2"/>
  <pageSetup paperSize="9" scale="95" fitToWidth="2" orientation="portrait" blackAndWhite="1" r:id="rId1"/>
  <headerFooter alignWithMargins="0"/>
  <colBreaks count="1" manualBreakCount="1">
    <brk id="9" max="62"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indexed="39"/>
    <pageSetUpPr fitToPage="1"/>
  </sheetPr>
  <dimension ref="A1:I82"/>
  <sheetViews>
    <sheetView showZeros="0" workbookViewId="0">
      <pane xSplit="2" ySplit="6" topLeftCell="C7" activePane="bottomRight" state="frozen"/>
      <selection activeCell="H6" sqref="H6"/>
      <selection pane="topRight" activeCell="H6" sqref="H6"/>
      <selection pane="bottomLeft" activeCell="H6" sqref="H6"/>
      <selection pane="bottomRight" activeCell="J52" sqref="J52"/>
    </sheetView>
  </sheetViews>
  <sheetFormatPr defaultColWidth="9" defaultRowHeight="14.25"/>
  <cols>
    <col min="1" max="1" width="42.625" style="996" customWidth="1"/>
    <col min="2" max="2" width="3.75" style="996" customWidth="1"/>
    <col min="3" max="4" width="9.625" style="78" bestFit="1" customWidth="1"/>
    <col min="5" max="5" width="7.5" style="78" bestFit="1" customWidth="1"/>
    <col min="6" max="6" width="9.375" style="78" customWidth="1"/>
    <col min="7" max="7" width="7.625" style="78" customWidth="1"/>
    <col min="8" max="8" width="12.875" style="78" customWidth="1"/>
    <col min="9" max="16384" width="9" style="78"/>
  </cols>
  <sheetData>
    <row r="1" spans="1:9" ht="18.75">
      <c r="A1" s="1247" t="s">
        <v>938</v>
      </c>
      <c r="B1" s="1247"/>
      <c r="C1" s="1247"/>
      <c r="D1" s="1247"/>
      <c r="E1" s="1247"/>
      <c r="F1" s="1247"/>
      <c r="G1" s="1247"/>
      <c r="H1" s="1247"/>
    </row>
    <row r="2" spans="1:9" s="32" customFormat="1" ht="15" customHeight="1">
      <c r="A2" s="1097" t="str">
        <f>CONCATENATE("客户名称：",说明!E23)</f>
        <v>客户名称：</v>
      </c>
      <c r="B2" s="1091" t="str">
        <f>CONCATENATE("编制：",说明!E36)</f>
        <v>编制：</v>
      </c>
      <c r="C2" s="193"/>
      <c r="D2" s="193"/>
      <c r="E2" s="191" t="str">
        <f>CONCATENATE("复核：",说明!E37)</f>
        <v>复核：</v>
      </c>
      <c r="F2" s="193"/>
      <c r="G2" s="193"/>
      <c r="H2" s="806" t="s">
        <v>959</v>
      </c>
      <c r="I2" s="91"/>
    </row>
    <row r="3" spans="1:9" s="32" customFormat="1" ht="17.25" customHeight="1" thickBot="1">
      <c r="A3" s="1098" t="str">
        <f>CONCATENATE("会计期间：",TEXT(说明!E30,"yyyy.mm.dd"))</f>
        <v>会计期间：2019年度</v>
      </c>
      <c r="B3" s="1092" t="str">
        <f ca="1">CONCATENATE("日期：",TEXT(NOW(),"yyyy.mm.dd"))</f>
        <v>日期：2019.12.31</v>
      </c>
      <c r="C3" s="193"/>
      <c r="D3" s="193"/>
      <c r="E3" s="192" t="s">
        <v>695</v>
      </c>
      <c r="F3" s="193"/>
      <c r="G3" s="193"/>
      <c r="H3" s="192" t="s">
        <v>696</v>
      </c>
      <c r="I3" s="91"/>
    </row>
    <row r="4" spans="1:9" s="177" customFormat="1" ht="12">
      <c r="A4" s="1241" t="s">
        <v>253</v>
      </c>
      <c r="B4" s="1244" t="s">
        <v>697</v>
      </c>
      <c r="C4" s="1223" t="s">
        <v>698</v>
      </c>
      <c r="D4" s="1223" t="s">
        <v>699</v>
      </c>
      <c r="E4" s="173" t="s">
        <v>700</v>
      </c>
      <c r="F4" s="173"/>
      <c r="G4" s="1228" t="s">
        <v>701</v>
      </c>
      <c r="H4" s="1234" t="s">
        <v>702</v>
      </c>
    </row>
    <row r="5" spans="1:9" s="177" customFormat="1" ht="12">
      <c r="A5" s="1242"/>
      <c r="B5" s="1245"/>
      <c r="C5" s="1224"/>
      <c r="D5" s="1224"/>
      <c r="E5" s="175" t="s">
        <v>703</v>
      </c>
      <c r="F5" s="175" t="s">
        <v>704</v>
      </c>
      <c r="G5" s="1229"/>
      <c r="H5" s="1235"/>
    </row>
    <row r="6" spans="1:9" s="177" customFormat="1" ht="12">
      <c r="A6" s="1243"/>
      <c r="B6" s="1246"/>
      <c r="C6" s="176" t="s">
        <v>705</v>
      </c>
      <c r="D6" s="176" t="s">
        <v>368</v>
      </c>
      <c r="E6" s="176" t="s">
        <v>369</v>
      </c>
      <c r="F6" s="176" t="s">
        <v>370</v>
      </c>
      <c r="G6" s="1230"/>
      <c r="H6" s="1236"/>
    </row>
    <row r="7" spans="1:9" s="177" customFormat="1" ht="13.5">
      <c r="A7" s="1099" t="str">
        <f>报表格式!L5</f>
        <v>一、营业收入</v>
      </c>
      <c r="B7" s="1093">
        <v>1</v>
      </c>
      <c r="C7" s="261">
        <f>上年PL审定!F6</f>
        <v>0</v>
      </c>
      <c r="D7" s="261">
        <f>审定合并PL!H6</f>
        <v>0</v>
      </c>
      <c r="E7" s="262">
        <f>D7-C7</f>
        <v>0</v>
      </c>
      <c r="F7" s="255" t="str">
        <f>IF(AND(C7=0,D7=0),"",IF(C7=0,100%,IF(D7=0,-100%,E7/C7)))</f>
        <v/>
      </c>
      <c r="G7" s="741" t="str">
        <f>IF(F7="","",IF(OR(ABS(F7)&gt;=30%,ABS(E7)&gt;=母已审横向BS!$D$60*5%,ABS(E7)&gt;=$D$39*10%),"显著",IF(ABS(F7)&gt;=10%,"关注","")))</f>
        <v/>
      </c>
      <c r="H7" s="607"/>
    </row>
    <row r="8" spans="1:9" s="177" customFormat="1" ht="13.5">
      <c r="A8" s="1100" t="str">
        <f>报表格式!L6</f>
        <v xml:space="preserve">        其中：主营业务收入</v>
      </c>
      <c r="B8" s="1094">
        <f>B7+1</f>
        <v>2</v>
      </c>
      <c r="C8" s="263">
        <f>上年PL审定!F7</f>
        <v>0</v>
      </c>
      <c r="D8" s="263">
        <f>审定合并PL!H7</f>
        <v>0</v>
      </c>
      <c r="E8" s="263">
        <f>D8-C8</f>
        <v>0</v>
      </c>
      <c r="F8" s="255" t="str">
        <f>IF(AND(C8=0,D8=0),"",IF(C8=0,100%,IF(D8=0,-100%,E8/C8)))</f>
        <v/>
      </c>
      <c r="G8" s="741" t="str">
        <f>IF(F8="","",IF(OR(ABS(F8)&gt;=30%,ABS(E8)&gt;=母已审横向BS!$D$60*5%,ABS(E8)&gt;=$D$39*10%),"显著",IF(ABS(F8)&gt;=10%,"关注","")))</f>
        <v/>
      </c>
      <c r="H8" s="608"/>
    </row>
    <row r="9" spans="1:9" s="177" customFormat="1" ht="13.5">
      <c r="A9" s="1100" t="str">
        <f>报表格式!L7</f>
        <v xml:space="preserve">              利息收入</v>
      </c>
      <c r="B9" s="1094">
        <f t="shared" ref="B9:B12" si="0">B8+1</f>
        <v>3</v>
      </c>
      <c r="C9" s="263">
        <f>上年PL审定!F8</f>
        <v>0</v>
      </c>
      <c r="D9" s="263">
        <f>审定合并PL!H8</f>
        <v>0</v>
      </c>
      <c r="E9" s="263">
        <f t="shared" ref="E9:E12" si="1">D9-C9</f>
        <v>0</v>
      </c>
      <c r="F9" s="255" t="str">
        <f t="shared" ref="F9:F12" si="2">IF(AND(C9=0,D9=0),"",IF(C9=0,100%,IF(D9=0,-100%,E9/C9)))</f>
        <v/>
      </c>
      <c r="G9" s="741" t="str">
        <f>IF(F9="","",IF(OR(ABS(F9)&gt;=30%,ABS(E9)&gt;=母已审横向BS!$D$60*5%,ABS(E9)&gt;=$D$39*10%),"显著",IF(ABS(F9)&gt;=10%,"关注","")))</f>
        <v/>
      </c>
      <c r="H9" s="608"/>
    </row>
    <row r="10" spans="1:9" s="177" customFormat="1" ht="13.5">
      <c r="A10" s="1100" t="str">
        <f>报表格式!L8</f>
        <v xml:space="preserve">              已赚保费</v>
      </c>
      <c r="B10" s="1094">
        <f t="shared" si="0"/>
        <v>4</v>
      </c>
      <c r="C10" s="263">
        <f>上年PL审定!F9</f>
        <v>0</v>
      </c>
      <c r="D10" s="263">
        <f>审定合并PL!H9</f>
        <v>0</v>
      </c>
      <c r="E10" s="263">
        <f t="shared" si="1"/>
        <v>0</v>
      </c>
      <c r="F10" s="255" t="str">
        <f t="shared" si="2"/>
        <v/>
      </c>
      <c r="G10" s="741" t="str">
        <f>IF(F10="","",IF(OR(ABS(F10)&gt;=30%,ABS(E10)&gt;=母已审横向BS!$D$60*5%,ABS(E10)&gt;=$D$39*10%),"显著",IF(ABS(F10)&gt;=10%,"关注","")))</f>
        <v/>
      </c>
      <c r="H10" s="608"/>
    </row>
    <row r="11" spans="1:9" s="177" customFormat="1" ht="13.5">
      <c r="A11" s="1100" t="str">
        <f>报表格式!L9</f>
        <v xml:space="preserve">              手续费及佣金收入</v>
      </c>
      <c r="B11" s="1094">
        <f t="shared" si="0"/>
        <v>5</v>
      </c>
      <c r="C11" s="263">
        <f>上年PL审定!F10</f>
        <v>0</v>
      </c>
      <c r="D11" s="263">
        <f>审定合并PL!H10</f>
        <v>0</v>
      </c>
      <c r="E11" s="263">
        <f t="shared" si="1"/>
        <v>0</v>
      </c>
      <c r="F11" s="255" t="str">
        <f t="shared" si="2"/>
        <v/>
      </c>
      <c r="G11" s="741" t="str">
        <f>IF(F11="","",IF(OR(ABS(F11)&gt;=30%,ABS(E11)&gt;=母已审横向BS!$D$60*5%,ABS(E11)&gt;=$D$39*10%),"显著",IF(ABS(F11)&gt;=10%,"关注","")))</f>
        <v/>
      </c>
      <c r="H11" s="608"/>
    </row>
    <row r="12" spans="1:9" s="177" customFormat="1" ht="13.5">
      <c r="A12" s="1100" t="str">
        <f>报表格式!L10</f>
        <v xml:space="preserve">              其他业务收入</v>
      </c>
      <c r="B12" s="1094">
        <f t="shared" si="0"/>
        <v>6</v>
      </c>
      <c r="C12" s="263">
        <f>上年PL审定!F11</f>
        <v>0</v>
      </c>
      <c r="D12" s="263">
        <f>审定合并PL!H11</f>
        <v>0</v>
      </c>
      <c r="E12" s="263">
        <f t="shared" si="1"/>
        <v>0</v>
      </c>
      <c r="F12" s="255" t="str">
        <f t="shared" si="2"/>
        <v/>
      </c>
      <c r="G12" s="741" t="str">
        <f>IF(F12="","",IF(OR(ABS(F12)&gt;=30%,ABS(E12)&gt;=母已审横向BS!$D$60*5%,ABS(E12)&gt;=$D$39*10%),"显著",IF(ABS(F12)&gt;=10%,"关注","")))</f>
        <v/>
      </c>
      <c r="H12" s="608"/>
    </row>
    <row r="13" spans="1:9" s="177" customFormat="1" ht="13.5">
      <c r="A13" s="1100" t="str">
        <f>报表格式!L11</f>
        <v xml:space="preserve">    减：营业成本</v>
      </c>
      <c r="B13" s="1094">
        <f t="shared" ref="B13:B78" si="3">B12+1</f>
        <v>7</v>
      </c>
      <c r="C13" s="263">
        <f>上年PL审定!F12</f>
        <v>0</v>
      </c>
      <c r="D13" s="263">
        <f>审定合并PL!H12</f>
        <v>0</v>
      </c>
      <c r="E13" s="263">
        <f t="shared" ref="E13:E50" si="4">D13-C13</f>
        <v>0</v>
      </c>
      <c r="F13" s="255" t="str">
        <f t="shared" ref="F13:F50" si="5">IF(AND(C13=0,D13=0),"",IF(C13=0,100%,IF(D13=0,-100%,E13/C13)))</f>
        <v/>
      </c>
      <c r="G13" s="741" t="str">
        <f>IF(F13="","",IF(OR(ABS(F13)&gt;=30%,ABS(E13)&gt;=母已审横向BS!$D$60*5%,ABS(E13)&gt;=$D$39*10%),"显著",IF(ABS(F13)&gt;=10%,"关注","")))</f>
        <v/>
      </c>
      <c r="H13" s="609"/>
    </row>
    <row r="14" spans="1:9" s="177" customFormat="1" ht="13.5">
      <c r="A14" s="1100" t="str">
        <f>报表格式!L12</f>
        <v xml:space="preserve">        其中：主营业务成本</v>
      </c>
      <c r="B14" s="1094">
        <f t="shared" si="3"/>
        <v>8</v>
      </c>
      <c r="C14" s="263">
        <f>上年PL审定!F13</f>
        <v>0</v>
      </c>
      <c r="D14" s="263">
        <f>审定合并PL!H13</f>
        <v>0</v>
      </c>
      <c r="E14" s="263">
        <f t="shared" si="4"/>
        <v>0</v>
      </c>
      <c r="F14" s="255" t="str">
        <f t="shared" si="5"/>
        <v/>
      </c>
      <c r="G14" s="741" t="str">
        <f>IF(F14="","",IF(OR(ABS(F14)&gt;=30%,ABS(E14)&gt;=母已审横向BS!$D$60*5%,ABS(E14)&gt;=$D$39*10%),"显著",IF(ABS(F14)&gt;=10%,"关注","")))</f>
        <v/>
      </c>
      <c r="H14" s="609"/>
    </row>
    <row r="15" spans="1:9" s="177" customFormat="1" ht="13.5">
      <c r="A15" s="1100" t="str">
        <f>报表格式!L13</f>
        <v xml:space="preserve">              利息支出</v>
      </c>
      <c r="B15" s="1094">
        <f t="shared" si="3"/>
        <v>9</v>
      </c>
      <c r="C15" s="263">
        <f>上年PL审定!F14</f>
        <v>0</v>
      </c>
      <c r="D15" s="263">
        <f>审定合并PL!H14</f>
        <v>0</v>
      </c>
      <c r="E15" s="263">
        <f t="shared" ref="E15:E22" si="6">D15-C15</f>
        <v>0</v>
      </c>
      <c r="F15" s="255" t="str">
        <f t="shared" ref="F15:F22" si="7">IF(AND(C15=0,D15=0),"",IF(C15=0,100%,IF(D15=0,-100%,E15/C15)))</f>
        <v/>
      </c>
      <c r="G15" s="741" t="str">
        <f>IF(F15="","",IF(OR(ABS(F15)&gt;=30%,ABS(E15)&gt;=母已审横向BS!$D$60*5%,ABS(E15)&gt;=$D$39*10%),"显著",IF(ABS(F15)&gt;=10%,"关注","")))</f>
        <v/>
      </c>
      <c r="H15" s="609"/>
    </row>
    <row r="16" spans="1:9" s="177" customFormat="1" ht="13.5">
      <c r="A16" s="1100" t="str">
        <f>报表格式!L14</f>
        <v xml:space="preserve">              手续费及佣金支出</v>
      </c>
      <c r="B16" s="1094">
        <f t="shared" si="3"/>
        <v>10</v>
      </c>
      <c r="C16" s="263">
        <f>上年PL审定!F15</f>
        <v>0</v>
      </c>
      <c r="D16" s="263">
        <f>审定合并PL!H15</f>
        <v>0</v>
      </c>
      <c r="E16" s="263">
        <f t="shared" si="6"/>
        <v>0</v>
      </c>
      <c r="F16" s="255" t="str">
        <f t="shared" si="7"/>
        <v/>
      </c>
      <c r="G16" s="741" t="str">
        <f>IF(F16="","",IF(OR(ABS(F16)&gt;=30%,ABS(E16)&gt;=母已审横向BS!$D$60*5%,ABS(E16)&gt;=$D$39*10%),"显著",IF(ABS(F16)&gt;=10%,"关注","")))</f>
        <v/>
      </c>
      <c r="H16" s="609"/>
    </row>
    <row r="17" spans="1:8" s="177" customFormat="1" ht="13.5">
      <c r="A17" s="1100" t="str">
        <f>报表格式!L15</f>
        <v xml:space="preserve">              退保金</v>
      </c>
      <c r="B17" s="1094">
        <f t="shared" si="3"/>
        <v>11</v>
      </c>
      <c r="C17" s="263">
        <f>上年PL审定!F16</f>
        <v>0</v>
      </c>
      <c r="D17" s="263">
        <f>审定合并PL!H16</f>
        <v>0</v>
      </c>
      <c r="E17" s="263">
        <f t="shared" si="6"/>
        <v>0</v>
      </c>
      <c r="F17" s="255" t="str">
        <f t="shared" si="7"/>
        <v/>
      </c>
      <c r="G17" s="741" t="str">
        <f>IF(F17="","",IF(OR(ABS(F17)&gt;=30%,ABS(E17)&gt;=母已审横向BS!$D$60*5%,ABS(E17)&gt;=$D$39*10%),"显著",IF(ABS(F17)&gt;=10%,"关注","")))</f>
        <v/>
      </c>
      <c r="H17" s="609"/>
    </row>
    <row r="18" spans="1:8" s="177" customFormat="1" ht="13.5">
      <c r="A18" s="1100" t="str">
        <f>报表格式!L16</f>
        <v xml:space="preserve">              赔付支出净额</v>
      </c>
      <c r="B18" s="1094">
        <f t="shared" si="3"/>
        <v>12</v>
      </c>
      <c r="C18" s="263">
        <f>上年PL审定!F17</f>
        <v>0</v>
      </c>
      <c r="D18" s="263">
        <f>审定合并PL!H17</f>
        <v>0</v>
      </c>
      <c r="E18" s="263">
        <f t="shared" si="6"/>
        <v>0</v>
      </c>
      <c r="F18" s="255" t="str">
        <f t="shared" si="7"/>
        <v/>
      </c>
      <c r="G18" s="741" t="str">
        <f>IF(F18="","",IF(OR(ABS(F18)&gt;=30%,ABS(E18)&gt;=母已审横向BS!$D$60*5%,ABS(E18)&gt;=$D$39*10%),"显著",IF(ABS(F18)&gt;=10%,"关注","")))</f>
        <v/>
      </c>
      <c r="H18" s="609"/>
    </row>
    <row r="19" spans="1:8" s="177" customFormat="1" ht="13.5">
      <c r="A19" s="1100" t="str">
        <f>报表格式!L17</f>
        <v xml:space="preserve">              提取保险合同准备金净额</v>
      </c>
      <c r="B19" s="1094">
        <f t="shared" si="3"/>
        <v>13</v>
      </c>
      <c r="C19" s="263">
        <f>上年PL审定!F18</f>
        <v>0</v>
      </c>
      <c r="D19" s="263">
        <f>审定合并PL!H18</f>
        <v>0</v>
      </c>
      <c r="E19" s="263">
        <f t="shared" si="6"/>
        <v>0</v>
      </c>
      <c r="F19" s="255" t="str">
        <f t="shared" si="7"/>
        <v/>
      </c>
      <c r="G19" s="741" t="str">
        <f>IF(F19="","",IF(OR(ABS(F19)&gt;=30%,ABS(E19)&gt;=母已审横向BS!$D$60*5%,ABS(E19)&gt;=$D$39*10%),"显著",IF(ABS(F19)&gt;=10%,"关注","")))</f>
        <v/>
      </c>
      <c r="H19" s="609"/>
    </row>
    <row r="20" spans="1:8" s="177" customFormat="1" ht="13.5">
      <c r="A20" s="1100" t="str">
        <f>报表格式!L18</f>
        <v xml:space="preserve">              保单红利支出</v>
      </c>
      <c r="B20" s="1094">
        <f t="shared" si="3"/>
        <v>14</v>
      </c>
      <c r="C20" s="263">
        <f>上年PL审定!F19</f>
        <v>0</v>
      </c>
      <c r="D20" s="263">
        <f>审定合并PL!H19</f>
        <v>0</v>
      </c>
      <c r="E20" s="263">
        <f t="shared" si="6"/>
        <v>0</v>
      </c>
      <c r="F20" s="255" t="str">
        <f t="shared" si="7"/>
        <v/>
      </c>
      <c r="G20" s="741" t="str">
        <f>IF(F20="","",IF(OR(ABS(F20)&gt;=30%,ABS(E20)&gt;=母已审横向BS!$D$60*5%,ABS(E20)&gt;=$D$39*10%),"显著",IF(ABS(F20)&gt;=10%,"关注","")))</f>
        <v/>
      </c>
      <c r="H20" s="609"/>
    </row>
    <row r="21" spans="1:8" s="177" customFormat="1" ht="13.5">
      <c r="A21" s="1100" t="str">
        <f>报表格式!L19</f>
        <v xml:space="preserve">              分保费用</v>
      </c>
      <c r="B21" s="1094">
        <f t="shared" si="3"/>
        <v>15</v>
      </c>
      <c r="C21" s="263">
        <f>上年PL审定!F20</f>
        <v>0</v>
      </c>
      <c r="D21" s="263">
        <f>审定合并PL!H20</f>
        <v>0</v>
      </c>
      <c r="E21" s="263">
        <f t="shared" si="6"/>
        <v>0</v>
      </c>
      <c r="F21" s="255" t="str">
        <f t="shared" si="7"/>
        <v/>
      </c>
      <c r="G21" s="741" t="str">
        <f>IF(F21="","",IF(OR(ABS(F21)&gt;=30%,ABS(E21)&gt;=母已审横向BS!$D$60*5%,ABS(E21)&gt;=$D$39*10%),"显著",IF(ABS(F21)&gt;=10%,"关注","")))</f>
        <v/>
      </c>
      <c r="H21" s="609"/>
    </row>
    <row r="22" spans="1:8" s="177" customFormat="1" ht="13.5">
      <c r="A22" s="1100" t="str">
        <f>报表格式!L20</f>
        <v xml:space="preserve">              其他业务成本</v>
      </c>
      <c r="B22" s="1094">
        <f t="shared" si="3"/>
        <v>16</v>
      </c>
      <c r="C22" s="263">
        <f>上年PL审定!F21</f>
        <v>0</v>
      </c>
      <c r="D22" s="263">
        <f>审定合并PL!H21</f>
        <v>0</v>
      </c>
      <c r="E22" s="263">
        <f t="shared" si="6"/>
        <v>0</v>
      </c>
      <c r="F22" s="255" t="str">
        <f t="shared" si="7"/>
        <v/>
      </c>
      <c r="G22" s="741" t="str">
        <f>IF(F22="","",IF(OR(ABS(F22)&gt;=30%,ABS(E22)&gt;=母已审横向BS!$D$60*5%,ABS(E22)&gt;=$D$39*10%),"显著",IF(ABS(F22)&gt;=10%,"关注","")))</f>
        <v/>
      </c>
      <c r="H22" s="609"/>
    </row>
    <row r="23" spans="1:8" s="177" customFormat="1" ht="13.5">
      <c r="A23" s="1100" t="str">
        <f>报表格式!L21</f>
        <v xml:space="preserve">        税金及附加</v>
      </c>
      <c r="B23" s="1094">
        <f t="shared" si="3"/>
        <v>17</v>
      </c>
      <c r="C23" s="263">
        <f>上年PL审定!F22</f>
        <v>0</v>
      </c>
      <c r="D23" s="263">
        <f>审定合并PL!H22</f>
        <v>0</v>
      </c>
      <c r="E23" s="263">
        <f t="shared" si="4"/>
        <v>0</v>
      </c>
      <c r="F23" s="255" t="str">
        <f t="shared" si="5"/>
        <v/>
      </c>
      <c r="G23" s="741" t="str">
        <f>IF(F23="","",IF(OR(ABS(F23)&gt;=30%,ABS(E23)&gt;=母已审横向BS!$D$60*5%,ABS(E23)&gt;=$D$39*10%),"显著",IF(ABS(F23)&gt;=10%,"关注","")))</f>
        <v/>
      </c>
      <c r="H23" s="609"/>
    </row>
    <row r="24" spans="1:8" s="177" customFormat="1" ht="13.5">
      <c r="A24" s="1100" t="str">
        <f>报表格式!L22</f>
        <v xml:space="preserve">        销售费用</v>
      </c>
      <c r="B24" s="1094">
        <f t="shared" si="3"/>
        <v>18</v>
      </c>
      <c r="C24" s="263">
        <f>上年PL审定!F23</f>
        <v>0</v>
      </c>
      <c r="D24" s="263">
        <f>审定合并PL!H23</f>
        <v>0</v>
      </c>
      <c r="E24" s="263">
        <f t="shared" si="4"/>
        <v>0</v>
      </c>
      <c r="F24" s="255" t="str">
        <f t="shared" si="5"/>
        <v/>
      </c>
      <c r="G24" s="741" t="str">
        <f>IF(F24="","",IF(OR(ABS(F24)&gt;=30%,ABS(E24)&gt;=母已审横向BS!$D$60*5%,ABS(E24)&gt;=$D$39*10%),"显著",IF(ABS(F24)&gt;=10%,"关注","")))</f>
        <v/>
      </c>
      <c r="H24" s="609"/>
    </row>
    <row r="25" spans="1:8" s="177" customFormat="1" ht="13.5">
      <c r="A25" s="1100" t="str">
        <f>报表格式!L23</f>
        <v xml:space="preserve">        管理费用</v>
      </c>
      <c r="B25" s="1094">
        <f t="shared" si="3"/>
        <v>19</v>
      </c>
      <c r="C25" s="263">
        <f>上年PL审定!F24</f>
        <v>0</v>
      </c>
      <c r="D25" s="263">
        <f>审定合并PL!H24</f>
        <v>0</v>
      </c>
      <c r="E25" s="263">
        <f t="shared" si="4"/>
        <v>0</v>
      </c>
      <c r="F25" s="255" t="str">
        <f t="shared" si="5"/>
        <v/>
      </c>
      <c r="G25" s="741" t="str">
        <f>IF(F25="","",IF(OR(ABS(F25)&gt;=30%,ABS(E25)&gt;=母已审横向BS!$D$60*5%,ABS(E25)&gt;=$D$39*10%),"显著",IF(ABS(F25)&gt;=10%,"关注","")))</f>
        <v/>
      </c>
      <c r="H25" s="609"/>
    </row>
    <row r="26" spans="1:8" s="177" customFormat="1" ht="13.5">
      <c r="A26" s="1100" t="str">
        <f>报表格式!L24</f>
        <v xml:space="preserve">        研发费用</v>
      </c>
      <c r="B26" s="1094">
        <f t="shared" si="3"/>
        <v>20</v>
      </c>
      <c r="C26" s="263">
        <f>上年PL审定!F25</f>
        <v>0</v>
      </c>
      <c r="D26" s="263">
        <f>审定合并PL!H25</f>
        <v>0</v>
      </c>
      <c r="E26" s="263">
        <f t="shared" si="4"/>
        <v>0</v>
      </c>
      <c r="F26" s="255" t="str">
        <f t="shared" si="5"/>
        <v/>
      </c>
      <c r="G26" s="741" t="str">
        <f>IF(F26="","",IF(OR(ABS(F26)&gt;=30%,ABS(E26)&gt;=母已审横向BS!$D$60*5%,ABS(E26)&gt;=$D$39*10%),"显著",IF(ABS(F26)&gt;=10%,"关注","")))</f>
        <v/>
      </c>
      <c r="H26" s="609"/>
    </row>
    <row r="27" spans="1:8" s="177" customFormat="1" ht="13.5">
      <c r="A27" s="1100" t="str">
        <f>报表格式!L25</f>
        <v xml:space="preserve">        财务费用</v>
      </c>
      <c r="B27" s="1094">
        <f t="shared" si="3"/>
        <v>21</v>
      </c>
      <c r="C27" s="263">
        <f>上年PL审定!F26</f>
        <v>0</v>
      </c>
      <c r="D27" s="263">
        <f>审定合并PL!H26</f>
        <v>0</v>
      </c>
      <c r="E27" s="263">
        <f t="shared" si="4"/>
        <v>0</v>
      </c>
      <c r="F27" s="255" t="str">
        <f t="shared" si="5"/>
        <v/>
      </c>
      <c r="G27" s="741" t="str">
        <f>IF(F27="","",IF(OR(ABS(F27)&gt;=30%,ABS(E27)&gt;=母已审横向BS!$D$60*5%,ABS(E27)&gt;=$D$39*10%),"显著",IF(ABS(F27)&gt;=10%,"关注","")))</f>
        <v/>
      </c>
      <c r="H27" s="609"/>
    </row>
    <row r="28" spans="1:8" s="177" customFormat="1" ht="13.5">
      <c r="A28" s="1100" t="str">
        <f>报表格式!L26</f>
        <v xml:space="preserve">        其中：利息费用</v>
      </c>
      <c r="B28" s="1094">
        <f t="shared" si="3"/>
        <v>22</v>
      </c>
      <c r="C28" s="263">
        <f>上年PL审定!F27</f>
        <v>0</v>
      </c>
      <c r="D28" s="263">
        <f>审定合并PL!H27</f>
        <v>0</v>
      </c>
      <c r="E28" s="263">
        <f t="shared" si="4"/>
        <v>0</v>
      </c>
      <c r="F28" s="255" t="str">
        <f t="shared" si="5"/>
        <v/>
      </c>
      <c r="G28" s="741" t="str">
        <f>IF(F28="","",IF(OR(ABS(F28)&gt;=30%,ABS(E28)&gt;=母已审横向BS!$D$60*5%,ABS(E28)&gt;=$D$39*10%),"显著",IF(ABS(F28)&gt;=10%,"关注","")))</f>
        <v/>
      </c>
      <c r="H28" s="609"/>
    </row>
    <row r="29" spans="1:8" s="177" customFormat="1" ht="13.5">
      <c r="A29" s="1100" t="str">
        <f>报表格式!L27</f>
        <v xml:space="preserve">              利息收入</v>
      </c>
      <c r="B29" s="1094">
        <f t="shared" si="3"/>
        <v>23</v>
      </c>
      <c r="C29" s="263">
        <f>上年PL审定!F28</f>
        <v>0</v>
      </c>
      <c r="D29" s="263">
        <f>审定合并PL!H28</f>
        <v>0</v>
      </c>
      <c r="E29" s="263">
        <f t="shared" si="4"/>
        <v>0</v>
      </c>
      <c r="F29" s="255" t="str">
        <f t="shared" si="5"/>
        <v/>
      </c>
      <c r="G29" s="741" t="str">
        <f>IF(F29="","",IF(OR(ABS(F29)&gt;=30%,ABS(E29)&gt;=母已审横向BS!$D$60*5%,ABS(E29)&gt;=$D$39*10%),"显著",IF(ABS(F29)&gt;=10%,"关注","")))</f>
        <v/>
      </c>
      <c r="H29" s="609"/>
    </row>
    <row r="30" spans="1:8" s="177" customFormat="1" ht="13.5">
      <c r="A30" s="1100" t="str">
        <f>报表格式!L28</f>
        <v xml:space="preserve">    加：其他收益</v>
      </c>
      <c r="B30" s="1094">
        <f t="shared" si="3"/>
        <v>24</v>
      </c>
      <c r="C30" s="263">
        <f>上年PL审定!F29</f>
        <v>0</v>
      </c>
      <c r="D30" s="263">
        <f>审定合并PL!H29</f>
        <v>0</v>
      </c>
      <c r="E30" s="263">
        <f t="shared" ref="E30:E38" si="8">D30-C30</f>
        <v>0</v>
      </c>
      <c r="F30" s="255" t="str">
        <f t="shared" ref="F30:F38" si="9">IF(AND(C30=0,D30=0),"",IF(C30=0,100%,IF(D30=0,-100%,E30/C30)))</f>
        <v/>
      </c>
      <c r="G30" s="741" t="str">
        <f>IF(F30="","",IF(OR(ABS(F30)&gt;=30%,ABS(E30)&gt;=母已审横向BS!$D$60*5%,ABS(E30)&gt;=$D$39*10%),"显著",IF(ABS(F30)&gt;=10%,"关注","")))</f>
        <v/>
      </c>
      <c r="H30" s="609"/>
    </row>
    <row r="31" spans="1:8" s="177" customFormat="1" ht="13.5">
      <c r="A31" s="1100" t="str">
        <f>报表格式!L29</f>
        <v xml:space="preserve">        投资收益（损失以“－”号填列）</v>
      </c>
      <c r="B31" s="1094">
        <f t="shared" si="3"/>
        <v>25</v>
      </c>
      <c r="C31" s="263">
        <f>上年PL审定!F30</f>
        <v>0</v>
      </c>
      <c r="D31" s="263">
        <f>审定合并PL!H30</f>
        <v>0</v>
      </c>
      <c r="E31" s="263">
        <f t="shared" si="8"/>
        <v>0</v>
      </c>
      <c r="F31" s="255" t="str">
        <f t="shared" si="9"/>
        <v/>
      </c>
      <c r="G31" s="741" t="str">
        <f>IF(F31="","",IF(OR(ABS(F31)&gt;=30%,ABS(E31)&gt;=母已审横向BS!$D$60*5%,ABS(E31)&gt;=$D$39*10%),"显著",IF(ABS(F31)&gt;=10%,"关注","")))</f>
        <v/>
      </c>
      <c r="H31" s="609"/>
    </row>
    <row r="32" spans="1:8" s="177" customFormat="1" ht="13.5">
      <c r="A32" s="1100" t="str">
        <f>报表格式!L30</f>
        <v xml:space="preserve">        其中：对联营企业和合营企业的投资收益</v>
      </c>
      <c r="B32" s="1094">
        <f t="shared" si="3"/>
        <v>26</v>
      </c>
      <c r="C32" s="263">
        <f>上年PL审定!F31</f>
        <v>0</v>
      </c>
      <c r="D32" s="263">
        <f>审定合并PL!H31</f>
        <v>0</v>
      </c>
      <c r="E32" s="263">
        <f t="shared" si="8"/>
        <v>0</v>
      </c>
      <c r="F32" s="255" t="str">
        <f t="shared" si="9"/>
        <v/>
      </c>
      <c r="G32" s="741" t="str">
        <f>IF(F32="","",IF(OR(ABS(F32)&gt;=30%,ABS(E32)&gt;=母已审横向BS!$D$60*5%,ABS(E32)&gt;=$D$39*10%),"显著",IF(ABS(F32)&gt;=10%,"关注","")))</f>
        <v/>
      </c>
      <c r="H32" s="609"/>
    </row>
    <row r="33" spans="1:8" s="177" customFormat="1" ht="13.5">
      <c r="A33" s="1100" t="str">
        <f>报表格式!L31</f>
        <v xml:space="preserve">              以摊余成本计量的金融资产终止确认收益（损失以“-”号填列）</v>
      </c>
      <c r="B33" s="1094">
        <f t="shared" si="3"/>
        <v>27</v>
      </c>
      <c r="C33" s="263">
        <f>上年PL审定!F32</f>
        <v>0</v>
      </c>
      <c r="D33" s="263">
        <f>审定合并PL!H32</f>
        <v>0</v>
      </c>
      <c r="E33" s="263">
        <f t="shared" si="8"/>
        <v>0</v>
      </c>
      <c r="F33" s="255" t="str">
        <f t="shared" si="9"/>
        <v/>
      </c>
      <c r="G33" s="741" t="str">
        <f>IF(F33="","",IF(OR(ABS(F33)&gt;=30%,ABS(E33)&gt;=母已审横向BS!$D$60*5%,ABS(E33)&gt;=$D$39*10%),"显著",IF(ABS(F33)&gt;=10%,"关注","")))</f>
        <v/>
      </c>
      <c r="H33" s="609"/>
    </row>
    <row r="34" spans="1:8" s="177" customFormat="1" ht="13.5">
      <c r="A34" s="1100" t="str">
        <f>报表格式!L32</f>
        <v xml:space="preserve">        净敞口套期收益（损失以“-”号填列）</v>
      </c>
      <c r="B34" s="1094">
        <f t="shared" si="3"/>
        <v>28</v>
      </c>
      <c r="C34" s="263">
        <f>上年PL审定!F33</f>
        <v>0</v>
      </c>
      <c r="D34" s="263">
        <f>审定合并PL!H33</f>
        <v>0</v>
      </c>
      <c r="E34" s="263">
        <f t="shared" si="8"/>
        <v>0</v>
      </c>
      <c r="F34" s="255" t="str">
        <f t="shared" si="9"/>
        <v/>
      </c>
      <c r="G34" s="741" t="str">
        <f>IF(F34="","",IF(OR(ABS(F34)&gt;=30%,ABS(E34)&gt;=母已审横向BS!$D$60*5%,ABS(E34)&gt;=$D$39*10%),"显著",IF(ABS(F34)&gt;=10%,"关注","")))</f>
        <v/>
      </c>
      <c r="H34" s="609"/>
    </row>
    <row r="35" spans="1:8" s="177" customFormat="1" ht="13.5">
      <c r="A35" s="1100" t="str">
        <f>报表格式!L33</f>
        <v xml:space="preserve">        公允价值变动收益（损失以“－”号填列）</v>
      </c>
      <c r="B35" s="1094">
        <f t="shared" si="3"/>
        <v>29</v>
      </c>
      <c r="C35" s="263">
        <f>上年PL审定!F34</f>
        <v>0</v>
      </c>
      <c r="D35" s="263">
        <f>审定合并PL!H34</f>
        <v>0</v>
      </c>
      <c r="E35" s="263">
        <f t="shared" si="8"/>
        <v>0</v>
      </c>
      <c r="F35" s="255" t="str">
        <f t="shared" si="9"/>
        <v/>
      </c>
      <c r="G35" s="741" t="str">
        <f>IF(F35="","",IF(OR(ABS(F35)&gt;=30%,ABS(E35)&gt;=母已审横向BS!$D$60*5%,ABS(E35)&gt;=$D$39*10%),"显著",IF(ABS(F35)&gt;=10%,"关注","")))</f>
        <v/>
      </c>
      <c r="H35" s="609"/>
    </row>
    <row r="36" spans="1:8" s="177" customFormat="1" ht="13.5">
      <c r="A36" s="1100" t="str">
        <f>报表格式!L34</f>
        <v xml:space="preserve">        信用减值损失(损失以“-”号填列）</v>
      </c>
      <c r="B36" s="1094">
        <f t="shared" si="3"/>
        <v>30</v>
      </c>
      <c r="C36" s="263">
        <f>上年PL审定!F35</f>
        <v>0</v>
      </c>
      <c r="D36" s="263">
        <f>审定合并PL!H35</f>
        <v>0</v>
      </c>
      <c r="E36" s="263">
        <f t="shared" si="8"/>
        <v>0</v>
      </c>
      <c r="F36" s="255" t="str">
        <f t="shared" si="9"/>
        <v/>
      </c>
      <c r="G36" s="741" t="str">
        <f>IF(F36="","",IF(OR(ABS(F36)&gt;=30%,ABS(E36)&gt;=母已审横向BS!$D$60*5%,ABS(E36)&gt;=$D$39*10%),"显著",IF(ABS(F36)&gt;=10%,"关注","")))</f>
        <v/>
      </c>
      <c r="H36" s="609"/>
    </row>
    <row r="37" spans="1:8" s="177" customFormat="1" ht="13.5">
      <c r="A37" s="1100" t="str">
        <f>报表格式!L35</f>
        <v xml:space="preserve">        资产减值损失(损失以“-”号填列）</v>
      </c>
      <c r="B37" s="1094">
        <f t="shared" si="3"/>
        <v>31</v>
      </c>
      <c r="C37" s="263">
        <f>上年PL审定!F36</f>
        <v>0</v>
      </c>
      <c r="D37" s="263">
        <f>审定合并PL!H36</f>
        <v>0</v>
      </c>
      <c r="E37" s="263">
        <f t="shared" si="8"/>
        <v>0</v>
      </c>
      <c r="F37" s="255" t="str">
        <f t="shared" si="9"/>
        <v/>
      </c>
      <c r="G37" s="741" t="str">
        <f>IF(F37="","",IF(OR(ABS(F37)&gt;=30%,ABS(E37)&gt;=母已审横向BS!$D$60*5%,ABS(E37)&gt;=$D$39*10%),"显著",IF(ABS(F37)&gt;=10%,"关注","")))</f>
        <v/>
      </c>
      <c r="H37" s="609"/>
    </row>
    <row r="38" spans="1:8" s="177" customFormat="1" ht="13.5">
      <c r="A38" s="1100" t="str">
        <f>报表格式!L36</f>
        <v xml:space="preserve">        资产处置收益(损失以“-”号填列）</v>
      </c>
      <c r="B38" s="1094">
        <f t="shared" si="3"/>
        <v>32</v>
      </c>
      <c r="C38" s="263">
        <f>上年PL审定!F37</f>
        <v>0</v>
      </c>
      <c r="D38" s="263">
        <f>审定合并PL!H37</f>
        <v>0</v>
      </c>
      <c r="E38" s="263">
        <f t="shared" si="8"/>
        <v>0</v>
      </c>
      <c r="F38" s="255" t="str">
        <f t="shared" si="9"/>
        <v/>
      </c>
      <c r="G38" s="741" t="str">
        <f>IF(F38="","",IF(OR(ABS(F38)&gt;=30%,ABS(E38)&gt;=母已审横向BS!$D$60*5%,ABS(E38)&gt;=$D$39*10%),"显著",IF(ABS(F38)&gt;=10%,"关注","")))</f>
        <v/>
      </c>
      <c r="H38" s="609"/>
    </row>
    <row r="39" spans="1:8" s="177" customFormat="1" ht="13.5">
      <c r="A39" s="1101" t="str">
        <f>报表格式!L37</f>
        <v>二、营业利润（亏损以“－”号填列）</v>
      </c>
      <c r="B39" s="1094">
        <f t="shared" si="3"/>
        <v>33</v>
      </c>
      <c r="C39" s="697">
        <f>上年PL审定!F38</f>
        <v>0</v>
      </c>
      <c r="D39" s="697">
        <f>审定合并PL!H38</f>
        <v>0</v>
      </c>
      <c r="E39" s="320">
        <f t="shared" si="4"/>
        <v>0</v>
      </c>
      <c r="F39" s="322" t="str">
        <f t="shared" si="5"/>
        <v/>
      </c>
      <c r="G39" s="742" t="str">
        <f>IF(F39="","",IF(OR(ABS(F39)&gt;=30%,ABS(E39)&gt;=母已审横向BS!$D$60*5%,ABS(E39)&gt;=$D$39*10%),"显著",IF(ABS(F39)&gt;=10%,"关注","")))</f>
        <v/>
      </c>
      <c r="H39" s="698"/>
    </row>
    <row r="40" spans="1:8" s="177" customFormat="1" ht="13.5">
      <c r="A40" s="1100" t="str">
        <f>报表格式!L38</f>
        <v xml:space="preserve">    加：营业外收入</v>
      </c>
      <c r="B40" s="1094">
        <f t="shared" si="3"/>
        <v>34</v>
      </c>
      <c r="C40" s="263">
        <f>上年PL审定!F39</f>
        <v>0</v>
      </c>
      <c r="D40" s="263">
        <f>审定合并PL!H39</f>
        <v>0</v>
      </c>
      <c r="E40" s="263">
        <f t="shared" si="4"/>
        <v>0</v>
      </c>
      <c r="F40" s="255" t="str">
        <f t="shared" si="5"/>
        <v/>
      </c>
      <c r="G40" s="741" t="str">
        <f>IF(F40="","",IF(OR(ABS(F40)&gt;=30%,ABS(E40)&gt;=母已审横向BS!$D$60*5%,ABS(E40)&gt;=$D$39*10%),"显著",IF(ABS(F40)&gt;=10%,"关注","")))</f>
        <v/>
      </c>
      <c r="H40" s="609"/>
    </row>
    <row r="41" spans="1:8" s="177" customFormat="1" ht="13.5">
      <c r="A41" s="1100" t="str">
        <f>报表格式!L39</f>
        <v xml:space="preserve">    减：营业外支出</v>
      </c>
      <c r="B41" s="1094">
        <f t="shared" si="3"/>
        <v>35</v>
      </c>
      <c r="C41" s="263">
        <f>上年PL审定!F40</f>
        <v>0</v>
      </c>
      <c r="D41" s="263">
        <f>审定合并PL!H40</f>
        <v>0</v>
      </c>
      <c r="E41" s="263">
        <f t="shared" si="4"/>
        <v>0</v>
      </c>
      <c r="F41" s="255" t="str">
        <f t="shared" si="5"/>
        <v/>
      </c>
      <c r="G41" s="741" t="str">
        <f>IF(F41="","",IF(OR(ABS(F41)&gt;=30%,ABS(E41)&gt;=母已审横向BS!$D$60*5%,ABS(E41)&gt;=$D$39*10%),"显著",IF(ABS(F41)&gt;=10%,"关注","")))</f>
        <v/>
      </c>
      <c r="H41" s="609"/>
    </row>
    <row r="42" spans="1:8" s="177" customFormat="1" ht="13.5">
      <c r="A42" s="1101" t="str">
        <f>报表格式!L40</f>
        <v>三、利润总额（亏损总额以“－”号填列）</v>
      </c>
      <c r="B42" s="1094">
        <f t="shared" si="3"/>
        <v>36</v>
      </c>
      <c r="C42" s="320">
        <f>上年PL审定!F41</f>
        <v>0</v>
      </c>
      <c r="D42" s="320">
        <f>审定合并PL!H41</f>
        <v>0</v>
      </c>
      <c r="E42" s="320">
        <f t="shared" si="4"/>
        <v>0</v>
      </c>
      <c r="F42" s="322" t="str">
        <f t="shared" si="5"/>
        <v/>
      </c>
      <c r="G42" s="742" t="str">
        <f>IF(F42="","",IF(OR(ABS(F42)&gt;=30%,ABS(E42)&gt;=母已审横向BS!$D$60*5%,ABS(E42)&gt;=$D$39*10%),"显著",IF(ABS(F42)&gt;=10%,"关注","")))</f>
        <v/>
      </c>
      <c r="H42" s="698"/>
    </row>
    <row r="43" spans="1:8" s="177" customFormat="1" ht="13.5">
      <c r="A43" s="1100" t="str">
        <f>报表格式!L41</f>
        <v xml:space="preserve">    减：所得税费用</v>
      </c>
      <c r="B43" s="1094">
        <f t="shared" si="3"/>
        <v>37</v>
      </c>
      <c r="C43" s="263">
        <f>上年PL审定!F42</f>
        <v>0</v>
      </c>
      <c r="D43" s="263">
        <f>审定合并PL!H42</f>
        <v>0</v>
      </c>
      <c r="E43" s="263">
        <f t="shared" si="4"/>
        <v>0</v>
      </c>
      <c r="F43" s="255" t="str">
        <f t="shared" si="5"/>
        <v/>
      </c>
      <c r="G43" s="741" t="str">
        <f>IF(F43="","",IF(OR(ABS(F43)&gt;=30%,ABS(E43)&gt;=母已审横向BS!$D$60*5%,ABS(E43)&gt;=$D$39*10%),"显著",IF(ABS(F43)&gt;=10%,"关注","")))</f>
        <v/>
      </c>
      <c r="H43" s="609"/>
    </row>
    <row r="44" spans="1:8" s="177" customFormat="1" ht="13.5">
      <c r="A44" s="1100">
        <f>报表格式!L42</f>
        <v>0</v>
      </c>
      <c r="B44" s="1094">
        <f t="shared" si="3"/>
        <v>38</v>
      </c>
      <c r="C44" s="263">
        <f>上年PL审定!F43</f>
        <v>0</v>
      </c>
      <c r="D44" s="263">
        <f>审定合并PL!H43</f>
        <v>0</v>
      </c>
      <c r="E44" s="263">
        <f t="shared" si="4"/>
        <v>0</v>
      </c>
      <c r="F44" s="255" t="str">
        <f t="shared" si="5"/>
        <v/>
      </c>
      <c r="G44" s="741" t="str">
        <f>IF(F44="","",IF(OR(ABS(F44)&gt;=30%,ABS(E44)&gt;=母已审横向BS!$D$60*5%,ABS(E44)&gt;=$D$39*10%),"显著",IF(ABS(F44)&gt;=10%,"关注","")))</f>
        <v/>
      </c>
      <c r="H44" s="609"/>
    </row>
    <row r="45" spans="1:8" s="177" customFormat="1" ht="13.5">
      <c r="A45" s="1101" t="str">
        <f>报表格式!L43</f>
        <v>四、净利润（净亏损以“－”号填列）</v>
      </c>
      <c r="B45" s="1094">
        <f t="shared" si="3"/>
        <v>39</v>
      </c>
      <c r="C45" s="320">
        <f>上年PL审定!F44</f>
        <v>0</v>
      </c>
      <c r="D45" s="320">
        <f>审定合并PL!H44</f>
        <v>0</v>
      </c>
      <c r="E45" s="320">
        <f t="shared" si="4"/>
        <v>0</v>
      </c>
      <c r="F45" s="322" t="str">
        <f t="shared" si="5"/>
        <v/>
      </c>
      <c r="G45" s="742" t="str">
        <f>IF(F45="","",IF(OR(ABS(F45)&gt;=30%,ABS(E45)&gt;=母已审横向BS!$D$60*5%,ABS(E45)&gt;=$D$39*10%),"显著",IF(ABS(F45)&gt;=10%,"关注","")))</f>
        <v/>
      </c>
      <c r="H45" s="698"/>
    </row>
    <row r="46" spans="1:8" s="177" customFormat="1" ht="13.5">
      <c r="A46" s="1100" t="str">
        <f>报表格式!L44</f>
        <v xml:space="preserve"> （一）按经营持续性分类</v>
      </c>
      <c r="B46" s="1094">
        <f t="shared" si="3"/>
        <v>40</v>
      </c>
      <c r="C46" s="263"/>
      <c r="D46" s="263">
        <f>审定合并PL!H45</f>
        <v>0</v>
      </c>
      <c r="E46" s="263"/>
      <c r="F46" s="255"/>
      <c r="G46" s="741"/>
      <c r="H46" s="609"/>
    </row>
    <row r="47" spans="1:8" s="177" customFormat="1" ht="13.5">
      <c r="A47" s="1100" t="str">
        <f>报表格式!L45</f>
        <v xml:space="preserve">     其中：持续经营净利润（净亏损以“-”号填列）</v>
      </c>
      <c r="B47" s="1094">
        <f t="shared" si="3"/>
        <v>41</v>
      </c>
      <c r="C47" s="263">
        <f>上年PL审定!F46</f>
        <v>0</v>
      </c>
      <c r="D47" s="263">
        <f>审定合并PL!H46</f>
        <v>0</v>
      </c>
      <c r="E47" s="263">
        <f>D47-C47</f>
        <v>0</v>
      </c>
      <c r="F47" s="255" t="str">
        <f>IF(AND(C47=0,D47=0),"",IF(C47=0,100%,IF(D47=0,-100%,E47/C47)))</f>
        <v/>
      </c>
      <c r="G47" s="741" t="str">
        <f>IF(F47="","",IF(OR(ABS(F47)&gt;=30%,ABS(E47)&gt;=母已审横向BS!$D$60*5%,ABS(E47)&gt;=$D$39*10%),"显著",IF(ABS(F47)&gt;=10%,"关注","")))</f>
        <v/>
      </c>
      <c r="H47" s="609"/>
    </row>
    <row r="48" spans="1:8" s="177" customFormat="1" ht="13.5">
      <c r="A48" s="1100" t="str">
        <f>报表格式!L46</f>
        <v xml:space="preserve">                 终止经营净利润（净亏损以“-”号填列）</v>
      </c>
      <c r="B48" s="1094">
        <f t="shared" si="3"/>
        <v>42</v>
      </c>
      <c r="C48" s="263">
        <f>上年PL审定!F47</f>
        <v>0</v>
      </c>
      <c r="D48" s="263">
        <f>审定合并PL!H47</f>
        <v>0</v>
      </c>
      <c r="E48" s="263">
        <f>D48-C48</f>
        <v>0</v>
      </c>
      <c r="F48" s="255" t="str">
        <f>IF(AND(C48=0,D48=0),"",IF(C48=0,100%,IF(D48=0,-100%,E48/C48)))</f>
        <v/>
      </c>
      <c r="G48" s="741" t="str">
        <f>IF(F48="","",IF(OR(ABS(F48)&gt;=30%,ABS(E48)&gt;=母已审横向BS!$D$60*5%,ABS(E48)&gt;=$D$39*10%),"显著",IF(ABS(F48)&gt;=10%,"关注","")))</f>
        <v/>
      </c>
      <c r="H48" s="609"/>
    </row>
    <row r="49" spans="1:8" s="177" customFormat="1" ht="13.5">
      <c r="A49" s="1100" t="str">
        <f>报表格式!L47</f>
        <v xml:space="preserve"> （二）按所有权归属分类</v>
      </c>
      <c r="B49" s="1094">
        <f t="shared" si="3"/>
        <v>43</v>
      </c>
      <c r="C49" s="263"/>
      <c r="D49" s="263"/>
      <c r="E49" s="263"/>
      <c r="F49" s="255"/>
      <c r="G49" s="741"/>
      <c r="H49" s="609"/>
    </row>
    <row r="50" spans="1:8" s="177" customFormat="1" ht="13.5">
      <c r="A50" s="1100" t="str">
        <f>报表格式!L48</f>
        <v xml:space="preserve">     其中：归属于母公司股东的净利润（净亏损以“-”号填列）</v>
      </c>
      <c r="B50" s="1094">
        <f t="shared" si="3"/>
        <v>44</v>
      </c>
      <c r="C50" s="263">
        <f>上年PL审定!F49</f>
        <v>0</v>
      </c>
      <c r="D50" s="263">
        <f>审定合并PL!H49</f>
        <v>0</v>
      </c>
      <c r="E50" s="263">
        <f t="shared" si="4"/>
        <v>0</v>
      </c>
      <c r="F50" s="255" t="str">
        <f t="shared" si="5"/>
        <v/>
      </c>
      <c r="G50" s="741" t="str">
        <f>IF(F50="","",IF(OR(ABS(F50)&gt;=30%,ABS(E50)&gt;=母已审横向BS!$D$60*5%,ABS(E50)&gt;=$D$39*10%),"显著",IF(ABS(F50)&gt;=10%,"关注","")))</f>
        <v/>
      </c>
      <c r="H50" s="609"/>
    </row>
    <row r="51" spans="1:8" s="177" customFormat="1" ht="13.5">
      <c r="A51" s="1100" t="str">
        <f>报表格式!L49</f>
        <v xml:space="preserve">                少数股东损益（净亏损以“-”号填列）</v>
      </c>
      <c r="B51" s="1094">
        <f t="shared" si="3"/>
        <v>45</v>
      </c>
      <c r="C51" s="263">
        <f>上年PL审定!F50</f>
        <v>0</v>
      </c>
      <c r="D51" s="263">
        <f>审定合并PL!H50</f>
        <v>0</v>
      </c>
      <c r="E51" s="263">
        <f t="shared" ref="E51:E61" si="10">D51-C51</f>
        <v>0</v>
      </c>
      <c r="F51" s="255" t="str">
        <f t="shared" ref="F51:F61" si="11">IF(AND(C51=0,D51=0),"",IF(C51=0,100%,IF(D51=0,-100%,E51/C51)))</f>
        <v/>
      </c>
      <c r="G51" s="741" t="str">
        <f>IF(F51="","",IF(OR(ABS(F51)&gt;=30%,ABS(E51)&gt;=母已审横向BS!$D$60*5%,ABS(E51)&gt;=$D$39*10%),"显著",IF(ABS(F51)&gt;=10%,"关注","")))</f>
        <v/>
      </c>
      <c r="H51" s="609"/>
    </row>
    <row r="52" spans="1:8" s="177" customFormat="1" ht="13.5">
      <c r="A52" s="1101" t="str">
        <f>报表格式!L50</f>
        <v>五、其他综合收益的税后净额</v>
      </c>
      <c r="B52" s="1094">
        <f t="shared" si="3"/>
        <v>46</v>
      </c>
      <c r="C52" s="320">
        <f>上年PL审定!F51</f>
        <v>0</v>
      </c>
      <c r="D52" s="320">
        <f>审定合并PL!H51</f>
        <v>0</v>
      </c>
      <c r="E52" s="320">
        <f t="shared" si="10"/>
        <v>0</v>
      </c>
      <c r="F52" s="322" t="str">
        <f t="shared" si="11"/>
        <v/>
      </c>
      <c r="G52" s="741" t="str">
        <f>IF(F52="","",IF(OR(ABS(F52)&gt;=30%,ABS(E52)&gt;=母已审横向BS!$D$60*5%,ABS(E52)&gt;=$D$39*10%),"显著",IF(ABS(F52)&gt;=10%,"关注","")))</f>
        <v/>
      </c>
      <c r="H52" s="609"/>
    </row>
    <row r="53" spans="1:8" s="177" customFormat="1" ht="13.5">
      <c r="A53" s="1100" t="str">
        <f>报表格式!L51</f>
        <v>归属于母公司股东的其他综合收益的税后净额</v>
      </c>
      <c r="B53" s="1094">
        <f t="shared" si="3"/>
        <v>47</v>
      </c>
      <c r="C53" s="262">
        <f>上年PL审定!F52</f>
        <v>0</v>
      </c>
      <c r="D53" s="262">
        <f>审定合并PL!H52</f>
        <v>0</v>
      </c>
      <c r="E53" s="263">
        <f t="shared" si="10"/>
        <v>0</v>
      </c>
      <c r="F53" s="255" t="str">
        <f t="shared" si="11"/>
        <v/>
      </c>
      <c r="G53" s="741" t="str">
        <f>IF(F53="","",IF(OR(ABS(F53)&gt;=30%,ABS(E53)&gt;=母已审横向BS!$D$60*5%,ABS(E53)&gt;=$D$39*10%),"显著",IF(ABS(F53)&gt;=10%,"关注","")))</f>
        <v/>
      </c>
      <c r="H53" s="609"/>
    </row>
    <row r="54" spans="1:8" s="177" customFormat="1" ht="13.5">
      <c r="A54" s="1100" t="str">
        <f>报表格式!L52</f>
        <v xml:space="preserve">  （一）不能重分类进损益的其他综合收益</v>
      </c>
      <c r="B54" s="1094">
        <f t="shared" si="3"/>
        <v>48</v>
      </c>
      <c r="C54" s="262">
        <f>上年PL审定!F53</f>
        <v>0</v>
      </c>
      <c r="D54" s="262">
        <f>审定合并PL!H53</f>
        <v>0</v>
      </c>
      <c r="E54" s="263">
        <f t="shared" si="10"/>
        <v>0</v>
      </c>
      <c r="F54" s="255" t="str">
        <f t="shared" si="11"/>
        <v/>
      </c>
      <c r="G54" s="741" t="str">
        <f>IF(F54="","",IF(OR(ABS(F54)&gt;=30%,ABS(E54)&gt;=母已审横向BS!$D$60*5%,ABS(E54)&gt;=$D$39*10%),"显著",IF(ABS(F54)&gt;=10%,"关注","")))</f>
        <v/>
      </c>
      <c r="H54" s="609"/>
    </row>
    <row r="55" spans="1:8" s="177" customFormat="1" ht="13.5">
      <c r="A55" s="1102" t="str">
        <f>报表格式!L53</f>
        <v>1.重新计量设定受益计划变动额</v>
      </c>
      <c r="B55" s="1094">
        <f t="shared" si="3"/>
        <v>49</v>
      </c>
      <c r="C55" s="263">
        <f>上年PL审定!F54</f>
        <v>0</v>
      </c>
      <c r="D55" s="263">
        <f>审定合并PL!H54</f>
        <v>0</v>
      </c>
      <c r="E55" s="263">
        <f t="shared" si="10"/>
        <v>0</v>
      </c>
      <c r="F55" s="255" t="str">
        <f t="shared" si="11"/>
        <v/>
      </c>
      <c r="G55" s="741" t="str">
        <f>IF(F55="","",IF(OR(ABS(F55)&gt;=30%,ABS(E55)&gt;=母已审横向BS!$D$60*5%,ABS(E55)&gt;=$D$39*10%),"显著",IF(ABS(F55)&gt;=10%,"关注","")))</f>
        <v/>
      </c>
      <c r="H55" s="609"/>
    </row>
    <row r="56" spans="1:8" s="177" customFormat="1" ht="13.5">
      <c r="A56" s="1102" t="str">
        <f>报表格式!L54</f>
        <v>2.权益法下不能转损益的其他综合收益</v>
      </c>
      <c r="B56" s="1094">
        <f t="shared" si="3"/>
        <v>50</v>
      </c>
      <c r="C56" s="263">
        <f>上年PL审定!F55</f>
        <v>0</v>
      </c>
      <c r="D56" s="263">
        <f>审定合并PL!H55</f>
        <v>0</v>
      </c>
      <c r="E56" s="263">
        <f t="shared" si="10"/>
        <v>0</v>
      </c>
      <c r="F56" s="255" t="str">
        <f t="shared" si="11"/>
        <v/>
      </c>
      <c r="G56" s="741" t="str">
        <f>IF(F56="","",IF(OR(ABS(F56)&gt;=30%,ABS(E56)&gt;=母已审横向BS!$D$60*5%,ABS(E56)&gt;=$D$39*10%),"显著",IF(ABS(F56)&gt;=10%,"关注","")))</f>
        <v/>
      </c>
      <c r="H56" s="609"/>
    </row>
    <row r="57" spans="1:8" s="177" customFormat="1" ht="13.5">
      <c r="A57" s="1102" t="str">
        <f>报表格式!L55</f>
        <v xml:space="preserve">3.其他权益工具投资公允价值变动 </v>
      </c>
      <c r="B57" s="1094">
        <f t="shared" si="3"/>
        <v>51</v>
      </c>
      <c r="C57" s="263">
        <f>上年PL审定!F56</f>
        <v>0</v>
      </c>
      <c r="D57" s="263">
        <f>审定合并PL!H56</f>
        <v>0</v>
      </c>
      <c r="E57" s="263">
        <f t="shared" ref="E57:E58" si="12">D57-C57</f>
        <v>0</v>
      </c>
      <c r="F57" s="255" t="str">
        <f t="shared" ref="F57:F58" si="13">IF(AND(C57=0,D57=0),"",IF(C57=0,100%,IF(D57=0,-100%,E57/C57)))</f>
        <v/>
      </c>
      <c r="G57" s="741" t="str">
        <f>IF(F57="","",IF(OR(ABS(F57)&gt;=30%,ABS(E57)&gt;=母已审横向BS!$D$60*5%,ABS(E57)&gt;=$D$39*10%),"显著",IF(ABS(F57)&gt;=10%,"关注","")))</f>
        <v/>
      </c>
      <c r="H57" s="609"/>
    </row>
    <row r="58" spans="1:8" s="177" customFormat="1" ht="13.5">
      <c r="A58" s="1102" t="str">
        <f>报表格式!L56</f>
        <v xml:space="preserve">4.企业自身信用风险公允价值变动 </v>
      </c>
      <c r="B58" s="1094">
        <f t="shared" si="3"/>
        <v>52</v>
      </c>
      <c r="C58" s="263">
        <f>上年PL审定!F57</f>
        <v>0</v>
      </c>
      <c r="D58" s="263">
        <f>审定合并PL!H57</f>
        <v>0</v>
      </c>
      <c r="E58" s="263">
        <f t="shared" si="12"/>
        <v>0</v>
      </c>
      <c r="F58" s="255" t="str">
        <f t="shared" si="13"/>
        <v/>
      </c>
      <c r="G58" s="741" t="str">
        <f>IF(F58="","",IF(OR(ABS(F58)&gt;=30%,ABS(E58)&gt;=母已审横向BS!$D$60*5%,ABS(E58)&gt;=$D$39*10%),"显著",IF(ABS(F58)&gt;=10%,"关注","")))</f>
        <v/>
      </c>
      <c r="H58" s="609"/>
    </row>
    <row r="59" spans="1:8" s="177" customFormat="1" ht="13.5">
      <c r="A59" s="1102" t="str">
        <f>报表格式!L57</f>
        <v>5.其他</v>
      </c>
      <c r="B59" s="1094">
        <f t="shared" si="3"/>
        <v>53</v>
      </c>
      <c r="C59" s="263">
        <f>上年PL审定!F58</f>
        <v>0</v>
      </c>
      <c r="D59" s="263">
        <f>审定合并PL!H58</f>
        <v>0</v>
      </c>
      <c r="E59" s="263">
        <f t="shared" si="10"/>
        <v>0</v>
      </c>
      <c r="F59" s="255" t="str">
        <f t="shared" si="11"/>
        <v/>
      </c>
      <c r="G59" s="741" t="str">
        <f>IF(F59="","",IF(OR(ABS(F59)&gt;=30%,ABS(E59)&gt;=母已审横向BS!$D$60*5%,ABS(E59)&gt;=$D$39*10%),"显著",IF(ABS(F59)&gt;=10%,"关注","")))</f>
        <v/>
      </c>
      <c r="H59" s="609"/>
    </row>
    <row r="60" spans="1:8" s="177" customFormat="1" ht="13.5">
      <c r="A60" s="1100" t="str">
        <f>报表格式!L58</f>
        <v xml:space="preserve">  （二）将重分类进损益的其他综合收益</v>
      </c>
      <c r="B60" s="1094">
        <f t="shared" si="3"/>
        <v>54</v>
      </c>
      <c r="C60" s="262">
        <f>上年PL审定!F59</f>
        <v>0</v>
      </c>
      <c r="D60" s="262">
        <f>审定合并PL!H59</f>
        <v>0</v>
      </c>
      <c r="E60" s="263">
        <f t="shared" si="10"/>
        <v>0</v>
      </c>
      <c r="F60" s="255" t="str">
        <f t="shared" si="11"/>
        <v/>
      </c>
      <c r="G60" s="741" t="str">
        <f>IF(F60="","",IF(OR(ABS(F60)&gt;=30%,ABS(E60)&gt;=母已审横向BS!$D$60*5%,ABS(E60)&gt;=$D$39*10%),"显著",IF(ABS(F60)&gt;=10%,"关注","")))</f>
        <v/>
      </c>
      <c r="H60" s="609"/>
    </row>
    <row r="61" spans="1:8" s="177" customFormat="1" ht="13.5">
      <c r="A61" s="1102" t="str">
        <f>报表格式!L59</f>
        <v>1.权益法下可转损益的其他综合收益</v>
      </c>
      <c r="B61" s="1094">
        <f t="shared" si="3"/>
        <v>55</v>
      </c>
      <c r="C61" s="263">
        <f>上年PL审定!F60</f>
        <v>0</v>
      </c>
      <c r="D61" s="263">
        <f>审定合并PL!H60</f>
        <v>0</v>
      </c>
      <c r="E61" s="263">
        <f t="shared" si="10"/>
        <v>0</v>
      </c>
      <c r="F61" s="255" t="str">
        <f t="shared" si="11"/>
        <v/>
      </c>
      <c r="G61" s="741" t="str">
        <f>IF(F61="","",IF(OR(ABS(F61)&gt;=30%,ABS(E61)&gt;=母已审横向BS!$D$60*5%,ABS(E61)&gt;=$D$39*10%),"显著",IF(ABS(F61)&gt;=10%,"关注","")))</f>
        <v/>
      </c>
      <c r="H61" s="609"/>
    </row>
    <row r="62" spans="1:8" s="177" customFormat="1" ht="13.5">
      <c r="A62" s="1102" t="str">
        <f>报表格式!L60</f>
        <v xml:space="preserve">2.其他债权投资公允价值变动 </v>
      </c>
      <c r="B62" s="1094">
        <f t="shared" si="3"/>
        <v>56</v>
      </c>
      <c r="C62" s="263">
        <f>上年PL审定!F61</f>
        <v>0</v>
      </c>
      <c r="D62" s="263">
        <f>审定合并PL!H61</f>
        <v>0</v>
      </c>
      <c r="E62" s="263">
        <f t="shared" ref="E62:E71" si="14">D62-C62</f>
        <v>0</v>
      </c>
      <c r="F62" s="255" t="str">
        <f t="shared" ref="F62:F71" si="15">IF(AND(C62=0,D62=0),"",IF(C62=0,100%,IF(D62=0,-100%,E62/C62)))</f>
        <v/>
      </c>
      <c r="G62" s="741" t="str">
        <f>IF(F62="","",IF(OR(ABS(F62)&gt;=30%,ABS(E62)&gt;=母已审横向BS!$D$60*5%,ABS(E62)&gt;=$D$39*10%),"显著",IF(ABS(F62)&gt;=10%,"关注","")))</f>
        <v/>
      </c>
      <c r="H62" s="609"/>
    </row>
    <row r="63" spans="1:8" s="177" customFormat="1" ht="13.5">
      <c r="A63" s="1102" t="str">
        <f>报表格式!L61</f>
        <v>3.可供出售金融资产公允价值变动损益</v>
      </c>
      <c r="B63" s="1094">
        <f t="shared" si="3"/>
        <v>57</v>
      </c>
      <c r="C63" s="263">
        <f>上年PL审定!F62</f>
        <v>0</v>
      </c>
      <c r="D63" s="263">
        <f>审定合并PL!H62</f>
        <v>0</v>
      </c>
      <c r="E63" s="263">
        <f t="shared" si="14"/>
        <v>0</v>
      </c>
      <c r="F63" s="255" t="str">
        <f t="shared" si="15"/>
        <v/>
      </c>
      <c r="G63" s="741" t="str">
        <f>IF(F63="","",IF(OR(ABS(F63)&gt;=30%,ABS(E63)&gt;=母已审横向BS!$D$60*5%,ABS(E63)&gt;=$D$39*10%),"显著",IF(ABS(F63)&gt;=10%,"关注","")))</f>
        <v/>
      </c>
      <c r="H63" s="609"/>
    </row>
    <row r="64" spans="1:8" s="177" customFormat="1" ht="13.5">
      <c r="A64" s="1102" t="str">
        <f>报表格式!L62</f>
        <v xml:space="preserve">4.金融资产重分类计入其他综合收益的金额 </v>
      </c>
      <c r="B64" s="1094">
        <f t="shared" si="3"/>
        <v>58</v>
      </c>
      <c r="C64" s="263">
        <f>上年PL审定!F63</f>
        <v>0</v>
      </c>
      <c r="D64" s="263">
        <f>审定合并PL!H63</f>
        <v>0</v>
      </c>
      <c r="E64" s="263">
        <f t="shared" si="14"/>
        <v>0</v>
      </c>
      <c r="F64" s="255" t="str">
        <f t="shared" si="15"/>
        <v/>
      </c>
      <c r="G64" s="741" t="str">
        <f>IF(F64="","",IF(OR(ABS(F64)&gt;=30%,ABS(E64)&gt;=母已审横向BS!$D$60*5%,ABS(E64)&gt;=$D$39*10%),"显著",IF(ABS(F64)&gt;=10%,"关注","")))</f>
        <v/>
      </c>
      <c r="H64" s="609"/>
    </row>
    <row r="65" spans="1:8" s="177" customFormat="1" ht="13.5">
      <c r="A65" s="1102" t="str">
        <f>报表格式!L63</f>
        <v>5.持有至到期投资重分类为可供出售金融资产损益</v>
      </c>
      <c r="B65" s="1094">
        <f t="shared" si="3"/>
        <v>59</v>
      </c>
      <c r="C65" s="263">
        <f>上年PL审定!F64</f>
        <v>0</v>
      </c>
      <c r="D65" s="263">
        <f>审定合并PL!H64</f>
        <v>0</v>
      </c>
      <c r="E65" s="263">
        <f t="shared" si="14"/>
        <v>0</v>
      </c>
      <c r="F65" s="255" t="str">
        <f t="shared" si="15"/>
        <v/>
      </c>
      <c r="G65" s="741" t="str">
        <f>IF(F65="","",IF(OR(ABS(F65)&gt;=30%,ABS(E65)&gt;=母已审横向BS!$D$60*5%,ABS(E65)&gt;=$D$39*10%),"显著",IF(ABS(F65)&gt;=10%,"关注","")))</f>
        <v/>
      </c>
      <c r="H65" s="609"/>
    </row>
    <row r="66" spans="1:8" s="177" customFormat="1" ht="13.5">
      <c r="A66" s="1102" t="str">
        <f>报表格式!L64</f>
        <v>6.其他债权投资信用减值准备</v>
      </c>
      <c r="B66" s="1094">
        <f t="shared" si="3"/>
        <v>60</v>
      </c>
      <c r="C66" s="263">
        <f>上年PL审定!F65</f>
        <v>0</v>
      </c>
      <c r="D66" s="263">
        <f>审定合并PL!H65</f>
        <v>0</v>
      </c>
      <c r="E66" s="263">
        <f t="shared" si="14"/>
        <v>0</v>
      </c>
      <c r="F66" s="255" t="str">
        <f t="shared" si="15"/>
        <v/>
      </c>
      <c r="G66" s="741" t="str">
        <f>IF(F66="","",IF(OR(ABS(F66)&gt;=30%,ABS(E66)&gt;=母已审横向BS!$D$60*5%,ABS(E66)&gt;=$D$39*10%),"显著",IF(ABS(F66)&gt;=10%,"关注","")))</f>
        <v/>
      </c>
      <c r="H66" s="609"/>
    </row>
    <row r="67" spans="1:8" s="177" customFormat="1" ht="13.5">
      <c r="A67" s="1102" t="str">
        <f>报表格式!L65</f>
        <v>7.现金流量套期储备</v>
      </c>
      <c r="B67" s="1094">
        <f t="shared" si="3"/>
        <v>61</v>
      </c>
      <c r="C67" s="263">
        <f>上年PL审定!F66</f>
        <v>0</v>
      </c>
      <c r="D67" s="263">
        <f>审定合并PL!H66</f>
        <v>0</v>
      </c>
      <c r="E67" s="263">
        <f t="shared" si="14"/>
        <v>0</v>
      </c>
      <c r="F67" s="255" t="str">
        <f t="shared" si="15"/>
        <v/>
      </c>
      <c r="G67" s="741" t="str">
        <f>IF(F67="","",IF(OR(ABS(F67)&gt;=30%,ABS(E67)&gt;=母已审横向BS!$D$60*5%,ABS(E67)&gt;=$D$39*10%),"显著",IF(ABS(F67)&gt;=10%,"关注","")))</f>
        <v/>
      </c>
      <c r="H67" s="609"/>
    </row>
    <row r="68" spans="1:8">
      <c r="A68" s="1102" t="str">
        <f>报表格式!L66</f>
        <v>8.外币财务报表折算差额</v>
      </c>
      <c r="B68" s="1094">
        <f t="shared" si="3"/>
        <v>62</v>
      </c>
      <c r="C68" s="263">
        <f>上年PL审定!F67</f>
        <v>0</v>
      </c>
      <c r="D68" s="263">
        <f>审定合并PL!H67</f>
        <v>0</v>
      </c>
      <c r="E68" s="263">
        <f t="shared" si="14"/>
        <v>0</v>
      </c>
      <c r="F68" s="255" t="str">
        <f t="shared" si="15"/>
        <v/>
      </c>
      <c r="G68" s="741" t="str">
        <f>IF(F68="","",IF(OR(ABS(F68)&gt;=30%,ABS(E68)&gt;=母已审横向BS!$D$60*5%,ABS(E68)&gt;=$D$39*10%),"显著",IF(ABS(F68)&gt;=10%,"关注","")))</f>
        <v/>
      </c>
      <c r="H68" s="609"/>
    </row>
    <row r="69" spans="1:8">
      <c r="A69" s="1102" t="str">
        <f>报表格式!L67</f>
        <v>9.自用房地产或作为存货的房地产转换为以公允价值计量的投资性房地产在转换日公允价值大于账面价值部分</v>
      </c>
      <c r="B69" s="1094">
        <f t="shared" si="3"/>
        <v>63</v>
      </c>
      <c r="C69" s="263">
        <f>上年PL审定!F68</f>
        <v>0</v>
      </c>
      <c r="D69" s="263">
        <f>审定合并PL!H68</f>
        <v>0</v>
      </c>
      <c r="E69" s="263">
        <f t="shared" si="14"/>
        <v>0</v>
      </c>
      <c r="F69" s="255" t="str">
        <f t="shared" si="15"/>
        <v/>
      </c>
      <c r="G69" s="741" t="str">
        <f>IF(F69="","",IF(OR(ABS(F69)&gt;=30%,ABS(E69)&gt;=母已审横向BS!$D$60*5%,ABS(E69)&gt;=$D$39*10%),"显著",IF(ABS(F69)&gt;=10%,"关注","")))</f>
        <v/>
      </c>
      <c r="H69" s="609"/>
    </row>
    <row r="70" spans="1:8">
      <c r="A70" s="1102" t="str">
        <f>报表格式!L68</f>
        <v>10.多次交易分步处置子公司股权构成一揽子交易的，丧失控制权之前各次交易处置价款与对应净资产账面价值份额的差额</v>
      </c>
      <c r="B70" s="1094">
        <f t="shared" si="3"/>
        <v>64</v>
      </c>
      <c r="C70" s="263">
        <f>上年PL审定!F69</f>
        <v>0</v>
      </c>
      <c r="D70" s="263">
        <f>审定合并PL!H69</f>
        <v>0</v>
      </c>
      <c r="E70" s="263">
        <f t="shared" si="14"/>
        <v>0</v>
      </c>
      <c r="F70" s="255" t="str">
        <f t="shared" si="15"/>
        <v/>
      </c>
      <c r="G70" s="741" t="str">
        <f>IF(F70="","",IF(OR(ABS(F70)&gt;=30%,ABS(E70)&gt;=母已审横向BS!$D$60*5%,ABS(E70)&gt;=$D$39*10%),"显著",IF(ABS(F70)&gt;=10%,"关注","")))</f>
        <v/>
      </c>
      <c r="H70" s="609"/>
    </row>
    <row r="71" spans="1:8">
      <c r="A71" s="1102" t="str">
        <f>报表格式!L69</f>
        <v>11.其他</v>
      </c>
      <c r="B71" s="1094">
        <f t="shared" si="3"/>
        <v>65</v>
      </c>
      <c r="C71" s="263">
        <f>上年PL审定!F70</f>
        <v>0</v>
      </c>
      <c r="D71" s="263">
        <f>审定合并PL!H70</f>
        <v>0</v>
      </c>
      <c r="E71" s="263">
        <f t="shared" si="14"/>
        <v>0</v>
      </c>
      <c r="F71" s="255" t="str">
        <f t="shared" si="15"/>
        <v/>
      </c>
      <c r="G71" s="741" t="str">
        <f>IF(F71="","",IF(OR(ABS(F71)&gt;=30%,ABS(E71)&gt;=母已审横向BS!$D$60*5%,ABS(E71)&gt;=$D$39*10%),"显著",IF(ABS(F71)&gt;=10%,"关注","")))</f>
        <v/>
      </c>
      <c r="H71" s="609"/>
    </row>
    <row r="72" spans="1:8">
      <c r="A72" s="1100" t="str">
        <f>报表格式!L70</f>
        <v>归属于少数股东的其他综合收益的税后净额</v>
      </c>
      <c r="B72" s="1094">
        <f t="shared" si="3"/>
        <v>66</v>
      </c>
      <c r="C72" s="263">
        <f>上年PL审定!F71</f>
        <v>0</v>
      </c>
      <c r="D72" s="263">
        <f>审定合并PL!H71</f>
        <v>0</v>
      </c>
      <c r="E72" s="263">
        <f t="shared" ref="E72:E78" si="16">D72-C72</f>
        <v>0</v>
      </c>
      <c r="F72" s="255" t="str">
        <f t="shared" ref="F72:F78" si="17">IF(AND(C72=0,D72=0),"",IF(C72=0,100%,IF(D72=0,-100%,E72/C72)))</f>
        <v/>
      </c>
      <c r="G72" s="741" t="str">
        <f>IF(F72="","",IF(OR(ABS(F72)&gt;=30%,ABS(E72)&gt;=母已审横向BS!$D$60*5%,ABS(E72)&gt;=$D$39*10%),"显著",IF(ABS(F72)&gt;=10%,"关注","")))</f>
        <v/>
      </c>
      <c r="H72" s="609"/>
    </row>
    <row r="73" spans="1:8">
      <c r="A73" s="1101" t="str">
        <f>报表格式!L71</f>
        <v>六、综合收益总额</v>
      </c>
      <c r="B73" s="1094">
        <f t="shared" si="3"/>
        <v>67</v>
      </c>
      <c r="C73" s="320">
        <f>上年PL审定!F72</f>
        <v>0</v>
      </c>
      <c r="D73" s="320">
        <f>审定合并PL!H72</f>
        <v>0</v>
      </c>
      <c r="E73" s="320">
        <f t="shared" si="16"/>
        <v>0</v>
      </c>
      <c r="F73" s="322" t="str">
        <f t="shared" si="17"/>
        <v/>
      </c>
      <c r="G73" s="741" t="str">
        <f>IF(F73="","",IF(OR(ABS(F73)&gt;=30%,ABS(E73)&gt;=母已审横向BS!$D$60*5%,ABS(E73)&gt;=$D$39*10%),"显著",IF(ABS(F73)&gt;=10%,"关注","")))</f>
        <v/>
      </c>
      <c r="H73" s="609"/>
    </row>
    <row r="74" spans="1:8">
      <c r="A74" s="1100" t="str">
        <f>报表格式!L72</f>
        <v xml:space="preserve">     归属于母公司股东的综合收益总额</v>
      </c>
      <c r="B74" s="1094">
        <f t="shared" si="3"/>
        <v>68</v>
      </c>
      <c r="C74" s="262">
        <f>上年PL审定!F73</f>
        <v>0</v>
      </c>
      <c r="D74" s="262">
        <f>审定合并PL!H73</f>
        <v>0</v>
      </c>
      <c r="E74" s="263">
        <f t="shared" si="16"/>
        <v>0</v>
      </c>
      <c r="F74" s="255" t="str">
        <f t="shared" si="17"/>
        <v/>
      </c>
      <c r="G74" s="741" t="str">
        <f>IF(F74="","",IF(OR(ABS(F74)&gt;=30%,ABS(E74)&gt;=母已审横向BS!$D$60*5%,ABS(E74)&gt;=$D$39*10%),"显著",IF(ABS(F74)&gt;=10%,"关注","")))</f>
        <v/>
      </c>
      <c r="H74" s="609"/>
    </row>
    <row r="75" spans="1:8">
      <c r="A75" s="1100" t="str">
        <f>报表格式!L73</f>
        <v xml:space="preserve">     归属于少数股东的综合收益总额</v>
      </c>
      <c r="B75" s="1094">
        <f t="shared" si="3"/>
        <v>69</v>
      </c>
      <c r="C75" s="262">
        <f>上年PL审定!F74</f>
        <v>0</v>
      </c>
      <c r="D75" s="262">
        <f>审定合并PL!H74</f>
        <v>0</v>
      </c>
      <c r="E75" s="263">
        <f t="shared" si="16"/>
        <v>0</v>
      </c>
      <c r="F75" s="255" t="str">
        <f t="shared" si="17"/>
        <v/>
      </c>
      <c r="G75" s="741" t="str">
        <f>IF(F75="","",IF(OR(ABS(F75)&gt;=30%,ABS(E75)&gt;=母已审横向BS!$D$60*5%,ABS(E75)&gt;=$D$39*10%),"显著",IF(ABS(F75)&gt;=10%,"关注","")))</f>
        <v/>
      </c>
      <c r="H75" s="609"/>
    </row>
    <row r="76" spans="1:8">
      <c r="A76" s="1101" t="str">
        <f>报表格式!L74</f>
        <v>七、每股收益</v>
      </c>
      <c r="B76" s="1094">
        <f t="shared" si="3"/>
        <v>70</v>
      </c>
      <c r="C76" s="263"/>
      <c r="D76" s="263"/>
      <c r="E76" s="263"/>
      <c r="F76" s="255"/>
      <c r="G76" s="741"/>
      <c r="H76" s="609"/>
    </row>
    <row r="77" spans="1:8">
      <c r="A77" s="1100" t="str">
        <f>报表格式!L75</f>
        <v xml:space="preserve">   （一）基本每股收益</v>
      </c>
      <c r="B77" s="1095">
        <f t="shared" si="3"/>
        <v>71</v>
      </c>
      <c r="C77" s="263">
        <f>上年PL审定!F76</f>
        <v>0</v>
      </c>
      <c r="D77" s="263">
        <f>审定合并PL!H76</f>
        <v>0</v>
      </c>
      <c r="E77" s="263">
        <f t="shared" si="16"/>
        <v>0</v>
      </c>
      <c r="F77" s="255" t="str">
        <f t="shared" si="17"/>
        <v/>
      </c>
      <c r="G77" s="741" t="str">
        <f>IF(F77="","",IF(OR(ABS(F77)&gt;=30%,ABS(E77)&gt;=母已审横向BS!$D$60*5%,ABS(E77)&gt;=$D$39*10%),"显著",IF(ABS(F77)&gt;=10%,"关注","")))</f>
        <v/>
      </c>
      <c r="H77" s="609"/>
    </row>
    <row r="78" spans="1:8" ht="15" thickBot="1">
      <c r="A78" s="1104" t="str">
        <f>报表格式!L76</f>
        <v xml:space="preserve">   （二）稀释每股收益</v>
      </c>
      <c r="B78" s="1110">
        <f t="shared" si="3"/>
        <v>72</v>
      </c>
      <c r="C78" s="785">
        <f>上年PL审定!F77</f>
        <v>0</v>
      </c>
      <c r="D78" s="785">
        <f>审定合并PL!H77</f>
        <v>0</v>
      </c>
      <c r="E78" s="785">
        <f t="shared" si="16"/>
        <v>0</v>
      </c>
      <c r="F78" s="793" t="str">
        <f t="shared" si="17"/>
        <v/>
      </c>
      <c r="G78" s="794" t="str">
        <f>IF(F78="","",IF(OR(ABS(F78)&gt;=30%,ABS(E78)&gt;=母已审横向BS!$D$60*5%,ABS(E78)&gt;=$D$39*10%),"显著",IF(ABS(F78)&gt;=10%,"关注","")))</f>
        <v/>
      </c>
      <c r="H78" s="795"/>
    </row>
    <row r="81" spans="6:6">
      <c r="F81" s="178"/>
    </row>
    <row r="82" spans="6:6">
      <c r="F82" s="179"/>
    </row>
  </sheetData>
  <sheetProtection insertRows="0"/>
  <mergeCells count="7">
    <mergeCell ref="A4:A6"/>
    <mergeCell ref="B4:B6"/>
    <mergeCell ref="A1:H1"/>
    <mergeCell ref="C4:C5"/>
    <mergeCell ref="D4:D5"/>
    <mergeCell ref="G4:G6"/>
    <mergeCell ref="H4:H6"/>
  </mergeCells>
  <phoneticPr fontId="3" type="noConversion"/>
  <conditionalFormatting sqref="H8:H12">
    <cfRule type="cellIs" dxfId="5" priority="1" stopIfTrue="1" operator="equal">
      <formula>"异常"</formula>
    </cfRule>
  </conditionalFormatting>
  <conditionalFormatting sqref="G7:G78">
    <cfRule type="cellIs" dxfId="4" priority="2" stopIfTrue="1" operator="equal">
      <formula>"显著"</formula>
    </cfRule>
  </conditionalFormatting>
  <printOptions horizontalCentered="1"/>
  <pageMargins left="0.67" right="0.23622047244094491" top="0.91" bottom="0.25" header="0.43" footer="0.2"/>
  <pageSetup paperSize="9" scale="81" orientation="portrait" blackAndWhite="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indexed="39"/>
    <pageSetUpPr fitToPage="1"/>
  </sheetPr>
  <dimension ref="A1:J82"/>
  <sheetViews>
    <sheetView showZeros="0" workbookViewId="0">
      <pane xSplit="2" ySplit="6" topLeftCell="C7" activePane="bottomRight" state="frozen"/>
      <selection activeCell="H6" sqref="H6"/>
      <selection pane="topRight" activeCell="H6" sqref="H6"/>
      <selection pane="bottomLeft" activeCell="H6" sqref="H6"/>
      <selection pane="bottomRight" activeCell="J16" sqref="J16"/>
    </sheetView>
  </sheetViews>
  <sheetFormatPr defaultColWidth="9" defaultRowHeight="14.25"/>
  <cols>
    <col min="1" max="1" width="42.625" style="913" customWidth="1"/>
    <col min="2" max="2" width="4.5" style="996" customWidth="1"/>
    <col min="3" max="3" width="10.875" style="78" customWidth="1"/>
    <col min="4" max="4" width="9.625" style="78" customWidth="1"/>
    <col min="5" max="5" width="10.75" style="78" customWidth="1"/>
    <col min="6" max="6" width="9.625" style="78" customWidth="1"/>
    <col min="7" max="7" width="9.375" style="78" customWidth="1"/>
    <col min="8" max="8" width="7.625" style="78" customWidth="1"/>
    <col min="9" max="9" width="12.875" style="78" customWidth="1"/>
    <col min="10" max="16384" width="9" style="78"/>
  </cols>
  <sheetData>
    <row r="1" spans="1:10" ht="18.75">
      <c r="A1" s="1219" t="s">
        <v>939</v>
      </c>
      <c r="B1" s="1219"/>
      <c r="C1" s="1219"/>
      <c r="D1" s="1219"/>
      <c r="E1" s="1219"/>
      <c r="F1" s="1219"/>
      <c r="G1" s="1219"/>
      <c r="H1" s="1219"/>
      <c r="I1" s="1219"/>
    </row>
    <row r="2" spans="1:10" s="32" customFormat="1" ht="15" customHeight="1">
      <c r="A2" s="966" t="str">
        <f>CONCATENATE("客户名称：",说明!E23)</f>
        <v>客户名称：</v>
      </c>
      <c r="B2" s="1105" t="str">
        <f>CONCATENATE("编制：",说明!E36)</f>
        <v>编制：</v>
      </c>
      <c r="F2" s="88" t="str">
        <f>CONCATENATE("复核：",说明!E37)</f>
        <v>复核：</v>
      </c>
      <c r="I2" s="806" t="s">
        <v>960</v>
      </c>
      <c r="J2" s="91"/>
    </row>
    <row r="3" spans="1:10" s="32" customFormat="1" ht="17.25" customHeight="1" thickBot="1">
      <c r="A3" s="967" t="str">
        <f>CONCATENATE("会计期间：",TEXT(说明!E30,"yyyy.mm.dd"))</f>
        <v>会计期间：2019年度</v>
      </c>
      <c r="B3" s="1106" t="str">
        <f ca="1">CONCATENATE("日期：",TEXT(NOW(),"yyyy.mm.dd"))</f>
        <v>日期：2019.12.31</v>
      </c>
      <c r="F3" s="89" t="s">
        <v>717</v>
      </c>
      <c r="I3" s="89" t="s">
        <v>718</v>
      </c>
      <c r="J3" s="91"/>
    </row>
    <row r="4" spans="1:10" s="177" customFormat="1" ht="12" customHeight="1">
      <c r="A4" s="1264" t="s">
        <v>253</v>
      </c>
      <c r="B4" s="1244" t="s">
        <v>719</v>
      </c>
      <c r="C4" s="1223" t="s">
        <v>720</v>
      </c>
      <c r="D4" s="1223"/>
      <c r="E4" s="1223" t="s">
        <v>721</v>
      </c>
      <c r="F4" s="1223"/>
      <c r="G4" s="1248" t="s">
        <v>722</v>
      </c>
      <c r="H4" s="1228" t="s">
        <v>723</v>
      </c>
      <c r="I4" s="1234" t="s">
        <v>724</v>
      </c>
    </row>
    <row r="5" spans="1:10" s="177" customFormat="1" ht="12.75">
      <c r="A5" s="1265"/>
      <c r="B5" s="1245"/>
      <c r="C5" s="174" t="s">
        <v>376</v>
      </c>
      <c r="D5" s="174" t="s">
        <v>725</v>
      </c>
      <c r="E5" s="174" t="s">
        <v>726</v>
      </c>
      <c r="F5" s="174" t="s">
        <v>725</v>
      </c>
      <c r="G5" s="1224"/>
      <c r="H5" s="1229"/>
      <c r="I5" s="1235"/>
    </row>
    <row r="6" spans="1:10" s="177" customFormat="1" ht="12.75">
      <c r="A6" s="1266"/>
      <c r="B6" s="1246"/>
      <c r="C6" s="176" t="s">
        <v>727</v>
      </c>
      <c r="D6" s="184" t="s">
        <v>728</v>
      </c>
      <c r="E6" s="184" t="s">
        <v>729</v>
      </c>
      <c r="F6" s="184" t="s">
        <v>730</v>
      </c>
      <c r="G6" s="184" t="s">
        <v>731</v>
      </c>
      <c r="H6" s="1230"/>
      <c r="I6" s="1236"/>
    </row>
    <row r="7" spans="1:10" s="177" customFormat="1" ht="13.5">
      <c r="A7" s="960" t="str">
        <f>报表格式!L5</f>
        <v>一、营业收入</v>
      </c>
      <c r="B7" s="1093">
        <v>1</v>
      </c>
      <c r="C7" s="261">
        <f>母已审横向PL!C7</f>
        <v>0</v>
      </c>
      <c r="D7" s="752" t="str">
        <f t="shared" ref="D7:D43" si="0">IF(AND(C7&lt;&gt;0,$C$7&lt;&gt;0),C7/$C$7,"")</f>
        <v/>
      </c>
      <c r="E7" s="261">
        <f>母已审横向PL!D7</f>
        <v>0</v>
      </c>
      <c r="F7" s="752" t="str">
        <f t="shared" ref="F7:F43" si="1">IF(AND(E7&lt;&gt;0,$E$7&lt;&gt;0),E7/$E$7,"")</f>
        <v/>
      </c>
      <c r="G7" s="739" t="str">
        <f t="shared" ref="G7:G43" si="2">IF(AND(D7="",F7=""),"",IF(D7="",F7,IF(F7="",-D7,F7-D7)))</f>
        <v/>
      </c>
      <c r="H7" s="692" t="str">
        <f t="shared" ref="H7:H43" si="3">IF(G7="","",IF(ABS(G7)&gt;=30%,"显著",IF(ABS(G7)&gt;=10%,"关注","")))</f>
        <v/>
      </c>
      <c r="I7" s="607"/>
    </row>
    <row r="8" spans="1:10" s="177" customFormat="1" ht="13.5">
      <c r="A8" s="961" t="str">
        <f>报表格式!L6</f>
        <v xml:space="preserve">        其中：主营业务收入</v>
      </c>
      <c r="B8" s="1094">
        <f>B7+1</f>
        <v>2</v>
      </c>
      <c r="C8" s="263">
        <f>母已审横向PL!C8</f>
        <v>0</v>
      </c>
      <c r="D8" s="265" t="str">
        <f t="shared" si="0"/>
        <v/>
      </c>
      <c r="E8" s="263">
        <f>母已审横向PL!D8</f>
        <v>0</v>
      </c>
      <c r="F8" s="265" t="str">
        <f t="shared" si="1"/>
        <v/>
      </c>
      <c r="G8" s="255" t="str">
        <f t="shared" si="2"/>
        <v/>
      </c>
      <c r="H8" s="692" t="str">
        <f t="shared" si="3"/>
        <v/>
      </c>
      <c r="I8" s="608"/>
    </row>
    <row r="9" spans="1:10" s="177" customFormat="1" ht="13.5">
      <c r="A9" s="961" t="str">
        <f>报表格式!L7</f>
        <v xml:space="preserve">              利息收入</v>
      </c>
      <c r="B9" s="1094">
        <f t="shared" ref="B9:B13" si="4">B8+1</f>
        <v>3</v>
      </c>
      <c r="C9" s="263">
        <f>母已审横向PL!C9</f>
        <v>0</v>
      </c>
      <c r="D9" s="265" t="str">
        <f t="shared" ref="D9:D11" si="5">IF(AND(C9&lt;&gt;0,$C$7&lt;&gt;0),C9/$C$7,"")</f>
        <v/>
      </c>
      <c r="E9" s="263">
        <f>母已审横向PL!D9</f>
        <v>0</v>
      </c>
      <c r="F9" s="265" t="str">
        <f t="shared" ref="F9:F11" si="6">IF(AND(E9&lt;&gt;0,$E$7&lt;&gt;0),E9/$E$7,"")</f>
        <v/>
      </c>
      <c r="G9" s="255" t="str">
        <f t="shared" ref="G9:G11" si="7">IF(AND(D9="",F9=""),"",IF(D9="",F9,IF(F9="",-D9,F9-D9)))</f>
        <v/>
      </c>
      <c r="H9" s="692" t="str">
        <f t="shared" ref="H9:H11" si="8">IF(G9="","",IF(ABS(G9)&gt;=30%,"显著",IF(ABS(G9)&gt;=10%,"关注","")))</f>
        <v/>
      </c>
      <c r="I9" s="608"/>
    </row>
    <row r="10" spans="1:10" s="177" customFormat="1" ht="13.5">
      <c r="A10" s="961" t="str">
        <f>报表格式!L8</f>
        <v xml:space="preserve">              已赚保费</v>
      </c>
      <c r="B10" s="1094">
        <f t="shared" si="4"/>
        <v>4</v>
      </c>
      <c r="C10" s="263">
        <f>母已审横向PL!C10</f>
        <v>0</v>
      </c>
      <c r="D10" s="265" t="str">
        <f t="shared" si="5"/>
        <v/>
      </c>
      <c r="E10" s="263">
        <f>母已审横向PL!D10</f>
        <v>0</v>
      </c>
      <c r="F10" s="265" t="str">
        <f t="shared" si="6"/>
        <v/>
      </c>
      <c r="G10" s="255" t="str">
        <f t="shared" si="7"/>
        <v/>
      </c>
      <c r="H10" s="692" t="str">
        <f t="shared" si="8"/>
        <v/>
      </c>
      <c r="I10" s="608"/>
    </row>
    <row r="11" spans="1:10" s="177" customFormat="1" ht="13.5">
      <c r="A11" s="961" t="str">
        <f>报表格式!L9</f>
        <v xml:space="preserve">              手续费及佣金收入</v>
      </c>
      <c r="B11" s="1094">
        <f t="shared" si="4"/>
        <v>5</v>
      </c>
      <c r="C11" s="263">
        <f>母已审横向PL!C11</f>
        <v>0</v>
      </c>
      <c r="D11" s="265" t="str">
        <f t="shared" si="5"/>
        <v/>
      </c>
      <c r="E11" s="263">
        <f>母已审横向PL!D11</f>
        <v>0</v>
      </c>
      <c r="F11" s="265" t="str">
        <f t="shared" si="6"/>
        <v/>
      </c>
      <c r="G11" s="255" t="str">
        <f t="shared" si="7"/>
        <v/>
      </c>
      <c r="H11" s="692" t="str">
        <f t="shared" si="8"/>
        <v/>
      </c>
      <c r="I11" s="608"/>
    </row>
    <row r="12" spans="1:10" s="177" customFormat="1" ht="13.5">
      <c r="A12" s="961" t="str">
        <f>报表格式!L10</f>
        <v xml:space="preserve">              其他业务收入</v>
      </c>
      <c r="B12" s="1094">
        <f t="shared" si="4"/>
        <v>6</v>
      </c>
      <c r="C12" s="263">
        <f>母已审横向PL!C12</f>
        <v>0</v>
      </c>
      <c r="D12" s="265" t="str">
        <f t="shared" si="0"/>
        <v/>
      </c>
      <c r="E12" s="263">
        <f>母已审横向PL!D12</f>
        <v>0</v>
      </c>
      <c r="F12" s="265" t="str">
        <f t="shared" si="1"/>
        <v/>
      </c>
      <c r="G12" s="255" t="str">
        <f t="shared" si="2"/>
        <v/>
      </c>
      <c r="H12" s="692" t="str">
        <f t="shared" si="3"/>
        <v/>
      </c>
      <c r="I12" s="609"/>
    </row>
    <row r="13" spans="1:10" s="177" customFormat="1" ht="13.5">
      <c r="A13" s="961" t="str">
        <f>报表格式!L11</f>
        <v xml:space="preserve">    减：营业成本</v>
      </c>
      <c r="B13" s="1094">
        <f t="shared" si="4"/>
        <v>7</v>
      </c>
      <c r="C13" s="263">
        <f>母已审横向PL!C13</f>
        <v>0</v>
      </c>
      <c r="D13" s="265" t="str">
        <f t="shared" si="0"/>
        <v/>
      </c>
      <c r="E13" s="263">
        <f>母已审横向PL!D13</f>
        <v>0</v>
      </c>
      <c r="F13" s="265" t="str">
        <f t="shared" si="1"/>
        <v/>
      </c>
      <c r="G13" s="255" t="str">
        <f t="shared" si="2"/>
        <v/>
      </c>
      <c r="H13" s="692" t="str">
        <f t="shared" si="3"/>
        <v/>
      </c>
      <c r="I13" s="609"/>
    </row>
    <row r="14" spans="1:10" s="177" customFormat="1" ht="13.5">
      <c r="A14" s="961" t="str">
        <f>报表格式!L12</f>
        <v xml:space="preserve">        其中：主营业务成本</v>
      </c>
      <c r="B14" s="1094">
        <f t="shared" ref="B14:B78" si="9">B13+1</f>
        <v>8</v>
      </c>
      <c r="C14" s="263">
        <f>母已审横向PL!C14</f>
        <v>0</v>
      </c>
      <c r="D14" s="265" t="str">
        <f t="shared" si="0"/>
        <v/>
      </c>
      <c r="E14" s="263">
        <f>母已审横向PL!D14</f>
        <v>0</v>
      </c>
      <c r="F14" s="265" t="str">
        <f t="shared" si="1"/>
        <v/>
      </c>
      <c r="G14" s="255" t="str">
        <f t="shared" si="2"/>
        <v/>
      </c>
      <c r="H14" s="692" t="str">
        <f t="shared" si="3"/>
        <v/>
      </c>
      <c r="I14" s="609"/>
    </row>
    <row r="15" spans="1:10" s="177" customFormat="1" ht="13.5">
      <c r="A15" s="961" t="str">
        <f>报表格式!L13</f>
        <v xml:space="preserve">              利息支出</v>
      </c>
      <c r="B15" s="1094">
        <f t="shared" si="9"/>
        <v>9</v>
      </c>
      <c r="C15" s="263">
        <f>母已审横向PL!C15</f>
        <v>0</v>
      </c>
      <c r="D15" s="265" t="str">
        <f t="shared" ref="D15:D22" si="10">IF(AND(C15&lt;&gt;0,$C$7&lt;&gt;0),C15/$C$7,"")</f>
        <v/>
      </c>
      <c r="E15" s="263">
        <f>母已审横向PL!D15</f>
        <v>0</v>
      </c>
      <c r="F15" s="265" t="str">
        <f t="shared" ref="F15:F22" si="11">IF(AND(E15&lt;&gt;0,$E$7&lt;&gt;0),E15/$E$7,"")</f>
        <v/>
      </c>
      <c r="G15" s="255" t="str">
        <f t="shared" ref="G15:G22" si="12">IF(AND(D15="",F15=""),"",IF(D15="",F15,IF(F15="",-D15,F15-D15)))</f>
        <v/>
      </c>
      <c r="H15" s="692" t="str">
        <f t="shared" ref="H15:H22" si="13">IF(G15="","",IF(ABS(G15)&gt;=30%,"显著",IF(ABS(G15)&gt;=10%,"关注","")))</f>
        <v/>
      </c>
      <c r="I15" s="609"/>
    </row>
    <row r="16" spans="1:10" s="177" customFormat="1" ht="13.5">
      <c r="A16" s="961" t="str">
        <f>报表格式!L14</f>
        <v xml:space="preserve">              手续费及佣金支出</v>
      </c>
      <c r="B16" s="1094">
        <f t="shared" si="9"/>
        <v>10</v>
      </c>
      <c r="C16" s="263">
        <f>母已审横向PL!C16</f>
        <v>0</v>
      </c>
      <c r="D16" s="265" t="str">
        <f t="shared" si="10"/>
        <v/>
      </c>
      <c r="E16" s="263">
        <f>母已审横向PL!D16</f>
        <v>0</v>
      </c>
      <c r="F16" s="265" t="str">
        <f t="shared" si="11"/>
        <v/>
      </c>
      <c r="G16" s="255" t="str">
        <f t="shared" si="12"/>
        <v/>
      </c>
      <c r="H16" s="692" t="str">
        <f t="shared" si="13"/>
        <v/>
      </c>
      <c r="I16" s="609"/>
    </row>
    <row r="17" spans="1:9" s="177" customFormat="1" ht="13.5">
      <c r="A17" s="961" t="str">
        <f>报表格式!L15</f>
        <v xml:space="preserve">              退保金</v>
      </c>
      <c r="B17" s="1094">
        <f t="shared" si="9"/>
        <v>11</v>
      </c>
      <c r="C17" s="263">
        <f>母已审横向PL!C17</f>
        <v>0</v>
      </c>
      <c r="D17" s="265" t="str">
        <f t="shared" si="10"/>
        <v/>
      </c>
      <c r="E17" s="263">
        <f>母已审横向PL!D17</f>
        <v>0</v>
      </c>
      <c r="F17" s="265" t="str">
        <f t="shared" si="11"/>
        <v/>
      </c>
      <c r="G17" s="255" t="str">
        <f t="shared" si="12"/>
        <v/>
      </c>
      <c r="H17" s="692" t="str">
        <f t="shared" si="13"/>
        <v/>
      </c>
      <c r="I17" s="609"/>
    </row>
    <row r="18" spans="1:9" s="177" customFormat="1" ht="13.5">
      <c r="A18" s="961" t="str">
        <f>报表格式!L16</f>
        <v xml:space="preserve">              赔付支出净额</v>
      </c>
      <c r="B18" s="1094">
        <f t="shared" si="9"/>
        <v>12</v>
      </c>
      <c r="C18" s="263">
        <f>母已审横向PL!C18</f>
        <v>0</v>
      </c>
      <c r="D18" s="265" t="str">
        <f t="shared" si="10"/>
        <v/>
      </c>
      <c r="E18" s="263">
        <f>母已审横向PL!D18</f>
        <v>0</v>
      </c>
      <c r="F18" s="265" t="str">
        <f t="shared" si="11"/>
        <v/>
      </c>
      <c r="G18" s="255" t="str">
        <f t="shared" si="12"/>
        <v/>
      </c>
      <c r="H18" s="692" t="str">
        <f t="shared" si="13"/>
        <v/>
      </c>
      <c r="I18" s="609"/>
    </row>
    <row r="19" spans="1:9" s="177" customFormat="1" ht="13.5">
      <c r="A19" s="961" t="str">
        <f>报表格式!L17</f>
        <v xml:space="preserve">              提取保险合同准备金净额</v>
      </c>
      <c r="B19" s="1094">
        <f t="shared" si="9"/>
        <v>13</v>
      </c>
      <c r="C19" s="263">
        <f>母已审横向PL!C19</f>
        <v>0</v>
      </c>
      <c r="D19" s="265" t="str">
        <f t="shared" si="10"/>
        <v/>
      </c>
      <c r="E19" s="263">
        <f>母已审横向PL!D19</f>
        <v>0</v>
      </c>
      <c r="F19" s="265" t="str">
        <f t="shared" si="11"/>
        <v/>
      </c>
      <c r="G19" s="255" t="str">
        <f t="shared" si="12"/>
        <v/>
      </c>
      <c r="H19" s="692" t="str">
        <f t="shared" si="13"/>
        <v/>
      </c>
      <c r="I19" s="609"/>
    </row>
    <row r="20" spans="1:9" s="177" customFormat="1" ht="13.5">
      <c r="A20" s="961" t="str">
        <f>报表格式!L18</f>
        <v xml:space="preserve">              保单红利支出</v>
      </c>
      <c r="B20" s="1094">
        <f t="shared" si="9"/>
        <v>14</v>
      </c>
      <c r="C20" s="263">
        <f>母已审横向PL!C20</f>
        <v>0</v>
      </c>
      <c r="D20" s="265" t="str">
        <f t="shared" si="10"/>
        <v/>
      </c>
      <c r="E20" s="263">
        <f>母已审横向PL!D20</f>
        <v>0</v>
      </c>
      <c r="F20" s="265" t="str">
        <f t="shared" si="11"/>
        <v/>
      </c>
      <c r="G20" s="255" t="str">
        <f t="shared" si="12"/>
        <v/>
      </c>
      <c r="H20" s="692" t="str">
        <f t="shared" si="13"/>
        <v/>
      </c>
      <c r="I20" s="609"/>
    </row>
    <row r="21" spans="1:9" s="177" customFormat="1" ht="13.5">
      <c r="A21" s="961" t="str">
        <f>报表格式!L19</f>
        <v xml:space="preserve">              分保费用</v>
      </c>
      <c r="B21" s="1094">
        <f t="shared" si="9"/>
        <v>15</v>
      </c>
      <c r="C21" s="263">
        <f>母已审横向PL!C21</f>
        <v>0</v>
      </c>
      <c r="D21" s="265" t="str">
        <f t="shared" si="10"/>
        <v/>
      </c>
      <c r="E21" s="263">
        <f>母已审横向PL!D21</f>
        <v>0</v>
      </c>
      <c r="F21" s="265" t="str">
        <f t="shared" si="11"/>
        <v/>
      </c>
      <c r="G21" s="255" t="str">
        <f t="shared" si="12"/>
        <v/>
      </c>
      <c r="H21" s="692" t="str">
        <f t="shared" si="13"/>
        <v/>
      </c>
      <c r="I21" s="609"/>
    </row>
    <row r="22" spans="1:9" s="177" customFormat="1" ht="13.5">
      <c r="A22" s="961" t="str">
        <f>报表格式!L20</f>
        <v xml:space="preserve">              其他业务成本</v>
      </c>
      <c r="B22" s="1094">
        <f t="shared" si="9"/>
        <v>16</v>
      </c>
      <c r="C22" s="263">
        <f>母已审横向PL!C22</f>
        <v>0</v>
      </c>
      <c r="D22" s="265" t="str">
        <f t="shared" si="10"/>
        <v/>
      </c>
      <c r="E22" s="263">
        <f>母已审横向PL!D22</f>
        <v>0</v>
      </c>
      <c r="F22" s="265" t="str">
        <f t="shared" si="11"/>
        <v/>
      </c>
      <c r="G22" s="255" t="str">
        <f t="shared" si="12"/>
        <v/>
      </c>
      <c r="H22" s="692" t="str">
        <f t="shared" si="13"/>
        <v/>
      </c>
      <c r="I22" s="609"/>
    </row>
    <row r="23" spans="1:9" s="177" customFormat="1" ht="13.5">
      <c r="A23" s="961" t="str">
        <f>报表格式!L21</f>
        <v xml:space="preserve">        税金及附加</v>
      </c>
      <c r="B23" s="1094">
        <f t="shared" si="9"/>
        <v>17</v>
      </c>
      <c r="C23" s="263">
        <f>母已审横向PL!C23</f>
        <v>0</v>
      </c>
      <c r="D23" s="265" t="str">
        <f t="shared" si="0"/>
        <v/>
      </c>
      <c r="E23" s="263">
        <f>母已审横向PL!D23</f>
        <v>0</v>
      </c>
      <c r="F23" s="265" t="str">
        <f t="shared" si="1"/>
        <v/>
      </c>
      <c r="G23" s="255" t="str">
        <f t="shared" si="2"/>
        <v/>
      </c>
      <c r="H23" s="692" t="str">
        <f t="shared" si="3"/>
        <v/>
      </c>
      <c r="I23" s="609"/>
    </row>
    <row r="24" spans="1:9" s="177" customFormat="1" ht="13.5">
      <c r="A24" s="961" t="str">
        <f>报表格式!L22</f>
        <v xml:space="preserve">        销售费用</v>
      </c>
      <c r="B24" s="1094">
        <f t="shared" si="9"/>
        <v>18</v>
      </c>
      <c r="C24" s="263">
        <f>母已审横向PL!C24</f>
        <v>0</v>
      </c>
      <c r="D24" s="265" t="str">
        <f t="shared" si="0"/>
        <v/>
      </c>
      <c r="E24" s="263">
        <f>母已审横向PL!D24</f>
        <v>0</v>
      </c>
      <c r="F24" s="265" t="str">
        <f t="shared" si="1"/>
        <v/>
      </c>
      <c r="G24" s="255" t="str">
        <f t="shared" si="2"/>
        <v/>
      </c>
      <c r="H24" s="692" t="str">
        <f t="shared" si="3"/>
        <v/>
      </c>
      <c r="I24" s="609"/>
    </row>
    <row r="25" spans="1:9" s="177" customFormat="1" ht="13.5">
      <c r="A25" s="961" t="str">
        <f>报表格式!L23</f>
        <v xml:space="preserve">        管理费用</v>
      </c>
      <c r="B25" s="1094">
        <f t="shared" si="9"/>
        <v>19</v>
      </c>
      <c r="C25" s="263">
        <f>母已审横向PL!C25</f>
        <v>0</v>
      </c>
      <c r="D25" s="265" t="str">
        <f t="shared" si="0"/>
        <v/>
      </c>
      <c r="E25" s="263">
        <f>母已审横向PL!D25</f>
        <v>0</v>
      </c>
      <c r="F25" s="265" t="str">
        <f t="shared" si="1"/>
        <v/>
      </c>
      <c r="G25" s="255" t="str">
        <f t="shared" si="2"/>
        <v/>
      </c>
      <c r="H25" s="692" t="str">
        <f t="shared" si="3"/>
        <v/>
      </c>
      <c r="I25" s="609"/>
    </row>
    <row r="26" spans="1:9" s="177" customFormat="1" ht="13.5">
      <c r="A26" s="961" t="str">
        <f>报表格式!L24</f>
        <v xml:space="preserve">        研发费用</v>
      </c>
      <c r="B26" s="1094">
        <f t="shared" si="9"/>
        <v>20</v>
      </c>
      <c r="C26" s="263">
        <f>母已审横向PL!C26</f>
        <v>0</v>
      </c>
      <c r="D26" s="265" t="str">
        <f t="shared" si="0"/>
        <v/>
      </c>
      <c r="E26" s="263">
        <f>母已审横向PL!D26</f>
        <v>0</v>
      </c>
      <c r="F26" s="265" t="str">
        <f t="shared" si="1"/>
        <v/>
      </c>
      <c r="G26" s="255" t="str">
        <f t="shared" si="2"/>
        <v/>
      </c>
      <c r="H26" s="692" t="str">
        <f t="shared" si="3"/>
        <v/>
      </c>
      <c r="I26" s="609"/>
    </row>
    <row r="27" spans="1:9" s="177" customFormat="1" ht="13.5">
      <c r="A27" s="961" t="str">
        <f>报表格式!L25</f>
        <v xml:space="preserve">        财务费用</v>
      </c>
      <c r="B27" s="1094">
        <f t="shared" si="9"/>
        <v>21</v>
      </c>
      <c r="C27" s="263">
        <f>母已审横向PL!C27</f>
        <v>0</v>
      </c>
      <c r="D27" s="265" t="str">
        <f t="shared" si="0"/>
        <v/>
      </c>
      <c r="E27" s="263">
        <f>母已审横向PL!D27</f>
        <v>0</v>
      </c>
      <c r="F27" s="265" t="str">
        <f t="shared" si="1"/>
        <v/>
      </c>
      <c r="G27" s="255" t="str">
        <f t="shared" si="2"/>
        <v/>
      </c>
      <c r="H27" s="692" t="str">
        <f t="shared" si="3"/>
        <v/>
      </c>
      <c r="I27" s="609"/>
    </row>
    <row r="28" spans="1:9" s="177" customFormat="1" ht="13.5">
      <c r="A28" s="961" t="str">
        <f>报表格式!L26</f>
        <v xml:space="preserve">        其中：利息费用</v>
      </c>
      <c r="B28" s="1094">
        <f t="shared" si="9"/>
        <v>22</v>
      </c>
      <c r="C28" s="263">
        <f>母已审横向PL!C28</f>
        <v>0</v>
      </c>
      <c r="D28" s="265" t="str">
        <f t="shared" si="0"/>
        <v/>
      </c>
      <c r="E28" s="263">
        <f>母已审横向PL!D28</f>
        <v>0</v>
      </c>
      <c r="F28" s="265" t="str">
        <f t="shared" si="1"/>
        <v/>
      </c>
      <c r="G28" s="255" t="str">
        <f t="shared" si="2"/>
        <v/>
      </c>
      <c r="H28" s="692" t="str">
        <f t="shared" si="3"/>
        <v/>
      </c>
      <c r="I28" s="609"/>
    </row>
    <row r="29" spans="1:9" s="177" customFormat="1" ht="13.5">
      <c r="A29" s="961" t="str">
        <f>报表格式!L27</f>
        <v xml:space="preserve">              利息收入</v>
      </c>
      <c r="B29" s="1094">
        <f t="shared" si="9"/>
        <v>23</v>
      </c>
      <c r="C29" s="263">
        <f>母已审横向PL!C29</f>
        <v>0</v>
      </c>
      <c r="D29" s="265" t="str">
        <f>IF(AND(C29&lt;&gt;0,$C$7&lt;&gt;0),C29/$C$7,"")</f>
        <v/>
      </c>
      <c r="E29" s="263">
        <f>母已审横向PL!D29</f>
        <v>0</v>
      </c>
      <c r="F29" s="265" t="str">
        <f>IF(AND(E29&lt;&gt;0,$E$7&lt;&gt;0),E29/$E$7,"")</f>
        <v/>
      </c>
      <c r="G29" s="255" t="str">
        <f>IF(AND(D29="",F29=""),"",IF(D29="",F29,IF(F29="",-D29,F29-D29)))</f>
        <v/>
      </c>
      <c r="H29" s="692" t="str">
        <f>IF(G29="","",IF(ABS(G29)&gt;=30%,"显著",IF(ABS(G29)&gt;=10%,"关注","")))</f>
        <v/>
      </c>
      <c r="I29" s="609"/>
    </row>
    <row r="30" spans="1:9" s="177" customFormat="1" ht="13.5">
      <c r="A30" s="961" t="str">
        <f>报表格式!L28</f>
        <v xml:space="preserve">    加：其他收益</v>
      </c>
      <c r="B30" s="1094">
        <f t="shared" si="9"/>
        <v>24</v>
      </c>
      <c r="C30" s="263">
        <f>母已审横向PL!C30</f>
        <v>0</v>
      </c>
      <c r="D30" s="265" t="str">
        <f t="shared" ref="D30:D38" si="14">IF(AND(C30&lt;&gt;0,$C$7&lt;&gt;0),C30/$C$7,"")</f>
        <v/>
      </c>
      <c r="E30" s="263">
        <f>母已审横向PL!D30</f>
        <v>0</v>
      </c>
      <c r="F30" s="265" t="str">
        <f t="shared" ref="F30:F38" si="15">IF(AND(E30&lt;&gt;0,$E$7&lt;&gt;0),E30/$E$7,"")</f>
        <v/>
      </c>
      <c r="G30" s="255" t="str">
        <f t="shared" ref="G30:G38" si="16">IF(AND(D30="",F30=""),"",IF(D30="",F30,IF(F30="",-D30,F30-D30)))</f>
        <v/>
      </c>
      <c r="H30" s="692" t="str">
        <f t="shared" ref="H30:H38" si="17">IF(G30="","",IF(ABS(G30)&gt;=30%,"显著",IF(ABS(G30)&gt;=10%,"关注","")))</f>
        <v/>
      </c>
      <c r="I30" s="609"/>
    </row>
    <row r="31" spans="1:9" s="177" customFormat="1" ht="13.5">
      <c r="A31" s="961" t="str">
        <f>报表格式!L29</f>
        <v xml:space="preserve">        投资收益（损失以“－”号填列）</v>
      </c>
      <c r="B31" s="1094">
        <f t="shared" si="9"/>
        <v>25</v>
      </c>
      <c r="C31" s="263">
        <f>母已审横向PL!C31</f>
        <v>0</v>
      </c>
      <c r="D31" s="265" t="str">
        <f t="shared" si="14"/>
        <v/>
      </c>
      <c r="E31" s="263">
        <f>母已审横向PL!D31</f>
        <v>0</v>
      </c>
      <c r="F31" s="265" t="str">
        <f t="shared" si="15"/>
        <v/>
      </c>
      <c r="G31" s="255" t="str">
        <f t="shared" si="16"/>
        <v/>
      </c>
      <c r="H31" s="692" t="str">
        <f t="shared" si="17"/>
        <v/>
      </c>
      <c r="I31" s="609"/>
    </row>
    <row r="32" spans="1:9" s="177" customFormat="1" ht="13.5">
      <c r="A32" s="961" t="str">
        <f>报表格式!L30</f>
        <v xml:space="preserve">        其中：对联营企业和合营企业的投资收益</v>
      </c>
      <c r="B32" s="1094">
        <f t="shared" si="9"/>
        <v>26</v>
      </c>
      <c r="C32" s="263">
        <f>母已审横向PL!C32</f>
        <v>0</v>
      </c>
      <c r="D32" s="265" t="str">
        <f t="shared" si="14"/>
        <v/>
      </c>
      <c r="E32" s="263">
        <f>母已审横向PL!D32</f>
        <v>0</v>
      </c>
      <c r="F32" s="265" t="str">
        <f t="shared" si="15"/>
        <v/>
      </c>
      <c r="G32" s="255" t="str">
        <f t="shared" si="16"/>
        <v/>
      </c>
      <c r="H32" s="692" t="str">
        <f t="shared" si="17"/>
        <v/>
      </c>
      <c r="I32" s="609"/>
    </row>
    <row r="33" spans="1:9" s="177" customFormat="1" ht="13.5">
      <c r="A33" s="961" t="str">
        <f>报表格式!L31</f>
        <v xml:space="preserve">              以摊余成本计量的金融资产终止确认收益（损失以“-”号填列）</v>
      </c>
      <c r="B33" s="1094">
        <f t="shared" si="9"/>
        <v>27</v>
      </c>
      <c r="C33" s="263">
        <f>母已审横向PL!C33</f>
        <v>0</v>
      </c>
      <c r="D33" s="265" t="str">
        <f t="shared" si="14"/>
        <v/>
      </c>
      <c r="E33" s="263">
        <f>母已审横向PL!D33</f>
        <v>0</v>
      </c>
      <c r="F33" s="265" t="str">
        <f t="shared" si="15"/>
        <v/>
      </c>
      <c r="G33" s="255" t="str">
        <f t="shared" si="16"/>
        <v/>
      </c>
      <c r="H33" s="692" t="str">
        <f t="shared" si="17"/>
        <v/>
      </c>
      <c r="I33" s="609"/>
    </row>
    <row r="34" spans="1:9" s="177" customFormat="1" ht="13.5">
      <c r="A34" s="961" t="str">
        <f>报表格式!L32</f>
        <v xml:space="preserve">        净敞口套期收益（损失以“-”号填列）</v>
      </c>
      <c r="B34" s="1094">
        <f t="shared" si="9"/>
        <v>28</v>
      </c>
      <c r="C34" s="263">
        <f>母已审横向PL!C34</f>
        <v>0</v>
      </c>
      <c r="D34" s="265" t="str">
        <f t="shared" si="14"/>
        <v/>
      </c>
      <c r="E34" s="263">
        <f>母已审横向PL!D34</f>
        <v>0</v>
      </c>
      <c r="F34" s="265" t="str">
        <f t="shared" si="15"/>
        <v/>
      </c>
      <c r="G34" s="255" t="str">
        <f t="shared" si="16"/>
        <v/>
      </c>
      <c r="H34" s="692" t="str">
        <f t="shared" si="17"/>
        <v/>
      </c>
      <c r="I34" s="609"/>
    </row>
    <row r="35" spans="1:9" s="177" customFormat="1" ht="13.5">
      <c r="A35" s="961" t="str">
        <f>报表格式!L33</f>
        <v xml:space="preserve">        公允价值变动收益（损失以“－”号填列）</v>
      </c>
      <c r="B35" s="1094">
        <f t="shared" si="9"/>
        <v>29</v>
      </c>
      <c r="C35" s="263">
        <f>母已审横向PL!C35</f>
        <v>0</v>
      </c>
      <c r="D35" s="265" t="str">
        <f t="shared" si="14"/>
        <v/>
      </c>
      <c r="E35" s="263">
        <f>母已审横向PL!D35</f>
        <v>0</v>
      </c>
      <c r="F35" s="265" t="str">
        <f t="shared" si="15"/>
        <v/>
      </c>
      <c r="G35" s="255" t="str">
        <f t="shared" si="16"/>
        <v/>
      </c>
      <c r="H35" s="692" t="str">
        <f t="shared" si="17"/>
        <v/>
      </c>
      <c r="I35" s="609"/>
    </row>
    <row r="36" spans="1:9" s="177" customFormat="1" ht="13.5">
      <c r="A36" s="961" t="str">
        <f>报表格式!L34</f>
        <v xml:space="preserve">        信用减值损失(损失以“-”号填列）</v>
      </c>
      <c r="B36" s="1094">
        <f t="shared" si="9"/>
        <v>30</v>
      </c>
      <c r="C36" s="263">
        <f>母已审横向PL!C36</f>
        <v>0</v>
      </c>
      <c r="D36" s="265" t="str">
        <f t="shared" si="14"/>
        <v/>
      </c>
      <c r="E36" s="263">
        <f>母已审横向PL!D36</f>
        <v>0</v>
      </c>
      <c r="F36" s="265" t="str">
        <f t="shared" si="15"/>
        <v/>
      </c>
      <c r="G36" s="255" t="str">
        <f t="shared" si="16"/>
        <v/>
      </c>
      <c r="H36" s="692" t="str">
        <f t="shared" si="17"/>
        <v/>
      </c>
      <c r="I36" s="609"/>
    </row>
    <row r="37" spans="1:9" s="177" customFormat="1" ht="13.5">
      <c r="A37" s="961" t="str">
        <f>报表格式!L35</f>
        <v xml:space="preserve">        资产减值损失(损失以“-”号填列）</v>
      </c>
      <c r="B37" s="1094">
        <f t="shared" si="9"/>
        <v>31</v>
      </c>
      <c r="C37" s="263">
        <f>母已审横向PL!C37</f>
        <v>0</v>
      </c>
      <c r="D37" s="265" t="str">
        <f t="shared" si="14"/>
        <v/>
      </c>
      <c r="E37" s="263">
        <f>母已审横向PL!D37</f>
        <v>0</v>
      </c>
      <c r="F37" s="265" t="str">
        <f t="shared" si="15"/>
        <v/>
      </c>
      <c r="G37" s="255" t="str">
        <f t="shared" si="16"/>
        <v/>
      </c>
      <c r="H37" s="692" t="str">
        <f t="shared" si="17"/>
        <v/>
      </c>
      <c r="I37" s="609"/>
    </row>
    <row r="38" spans="1:9" s="177" customFormat="1" ht="13.5">
      <c r="A38" s="961" t="str">
        <f>报表格式!L36</f>
        <v xml:space="preserve">        资产处置收益(损失以“-”号填列）</v>
      </c>
      <c r="B38" s="1094">
        <f t="shared" si="9"/>
        <v>32</v>
      </c>
      <c r="C38" s="263">
        <f>母已审横向PL!C38</f>
        <v>0</v>
      </c>
      <c r="D38" s="265" t="str">
        <f t="shared" si="14"/>
        <v/>
      </c>
      <c r="E38" s="263">
        <f>母已审横向PL!D38</f>
        <v>0</v>
      </c>
      <c r="F38" s="265" t="str">
        <f t="shared" si="15"/>
        <v/>
      </c>
      <c r="G38" s="255" t="str">
        <f t="shared" si="16"/>
        <v/>
      </c>
      <c r="H38" s="692" t="str">
        <f t="shared" si="17"/>
        <v/>
      </c>
      <c r="I38" s="609"/>
    </row>
    <row r="39" spans="1:9" s="177" customFormat="1" ht="13.5">
      <c r="A39" s="962" t="str">
        <f>报表格式!L37</f>
        <v>二、营业利润（亏损以“－”号填列）</v>
      </c>
      <c r="B39" s="1094">
        <f t="shared" si="9"/>
        <v>33</v>
      </c>
      <c r="C39" s="320">
        <f>母已审横向PL!C39</f>
        <v>0</v>
      </c>
      <c r="D39" s="321" t="str">
        <f t="shared" si="0"/>
        <v/>
      </c>
      <c r="E39" s="320">
        <f>母已审横向PL!D39</f>
        <v>0</v>
      </c>
      <c r="F39" s="321" t="str">
        <f t="shared" si="1"/>
        <v/>
      </c>
      <c r="G39" s="322" t="str">
        <f t="shared" si="2"/>
        <v/>
      </c>
      <c r="H39" s="693" t="str">
        <f t="shared" si="3"/>
        <v/>
      </c>
      <c r="I39" s="698"/>
    </row>
    <row r="40" spans="1:9" s="641" customFormat="1" ht="13.5">
      <c r="A40" s="961" t="str">
        <f>报表格式!L38</f>
        <v xml:space="preserve">    加：营业外收入</v>
      </c>
      <c r="B40" s="1094">
        <f t="shared" si="9"/>
        <v>34</v>
      </c>
      <c r="C40" s="263">
        <f>母已审横向PL!C40</f>
        <v>0</v>
      </c>
      <c r="D40" s="265" t="str">
        <f t="shared" si="0"/>
        <v/>
      </c>
      <c r="E40" s="263">
        <f>母已审横向PL!D40</f>
        <v>0</v>
      </c>
      <c r="F40" s="265" t="str">
        <f t="shared" si="1"/>
        <v/>
      </c>
      <c r="G40" s="255" t="str">
        <f t="shared" si="2"/>
        <v/>
      </c>
      <c r="H40" s="692" t="str">
        <f t="shared" si="3"/>
        <v/>
      </c>
      <c r="I40" s="609"/>
    </row>
    <row r="41" spans="1:9" s="177" customFormat="1" ht="13.5">
      <c r="A41" s="961" t="str">
        <f>报表格式!L39</f>
        <v xml:space="preserve">    减：营业外支出</v>
      </c>
      <c r="B41" s="1094">
        <f t="shared" si="9"/>
        <v>35</v>
      </c>
      <c r="C41" s="263">
        <f>母已审横向PL!C41</f>
        <v>0</v>
      </c>
      <c r="D41" s="265" t="str">
        <f t="shared" si="0"/>
        <v/>
      </c>
      <c r="E41" s="263">
        <f>母已审横向PL!D41</f>
        <v>0</v>
      </c>
      <c r="F41" s="265" t="str">
        <f t="shared" si="1"/>
        <v/>
      </c>
      <c r="G41" s="255" t="str">
        <f t="shared" si="2"/>
        <v/>
      </c>
      <c r="H41" s="692" t="str">
        <f t="shared" si="3"/>
        <v/>
      </c>
      <c r="I41" s="609"/>
    </row>
    <row r="42" spans="1:9" s="177" customFormat="1" ht="13.5">
      <c r="A42" s="962" t="str">
        <f>报表格式!L40</f>
        <v>三、利润总额（亏损总额以“－”号填列）</v>
      </c>
      <c r="B42" s="1094">
        <f t="shared" si="9"/>
        <v>36</v>
      </c>
      <c r="C42" s="320">
        <f>母已审横向PL!C42</f>
        <v>0</v>
      </c>
      <c r="D42" s="321" t="str">
        <f t="shared" si="0"/>
        <v/>
      </c>
      <c r="E42" s="320">
        <f>母已审横向PL!D42</f>
        <v>0</v>
      </c>
      <c r="F42" s="321" t="str">
        <f t="shared" si="1"/>
        <v/>
      </c>
      <c r="G42" s="322" t="str">
        <f t="shared" si="2"/>
        <v/>
      </c>
      <c r="H42" s="693" t="str">
        <f t="shared" si="3"/>
        <v/>
      </c>
      <c r="I42" s="698"/>
    </row>
    <row r="43" spans="1:9" s="641" customFormat="1" ht="13.5">
      <c r="A43" s="961" t="str">
        <f>报表格式!L41</f>
        <v xml:space="preserve">    减：所得税费用</v>
      </c>
      <c r="B43" s="1094">
        <f t="shared" si="9"/>
        <v>37</v>
      </c>
      <c r="C43" s="263">
        <f>母已审横向PL!C43</f>
        <v>0</v>
      </c>
      <c r="D43" s="265" t="str">
        <f t="shared" si="0"/>
        <v/>
      </c>
      <c r="E43" s="263">
        <f>母已审横向PL!D43</f>
        <v>0</v>
      </c>
      <c r="F43" s="265" t="str">
        <f t="shared" si="1"/>
        <v/>
      </c>
      <c r="G43" s="255" t="str">
        <f t="shared" si="2"/>
        <v/>
      </c>
      <c r="H43" s="692" t="str">
        <f t="shared" si="3"/>
        <v/>
      </c>
      <c r="I43" s="609"/>
    </row>
    <row r="44" spans="1:9" s="177" customFormat="1" ht="13.5">
      <c r="A44" s="961">
        <f>报表格式!L42</f>
        <v>0</v>
      </c>
      <c r="B44" s="1094">
        <f t="shared" si="9"/>
        <v>38</v>
      </c>
      <c r="C44" s="263">
        <f>母已审横向PL!C44</f>
        <v>0</v>
      </c>
      <c r="D44" s="265" t="str">
        <f t="shared" ref="D44:D50" si="18">IF(AND(C44&lt;&gt;0,$C$7&lt;&gt;0),C44/$C$7,"")</f>
        <v/>
      </c>
      <c r="E44" s="263">
        <f>母已审横向PL!D44</f>
        <v>0</v>
      </c>
      <c r="F44" s="265" t="str">
        <f t="shared" ref="F44:F50" si="19">IF(AND(E44&lt;&gt;0,$E$7&lt;&gt;0),E44/$E$7,"")</f>
        <v/>
      </c>
      <c r="G44" s="255" t="str">
        <f t="shared" ref="G44:G50" si="20">IF(AND(D44="",F44=""),"",IF(D44="",F44,IF(F44="",-D44,F44-D44)))</f>
        <v/>
      </c>
      <c r="H44" s="692" t="str">
        <f t="shared" ref="H44:H50" si="21">IF(G44="","",IF(ABS(G44)&gt;=30%,"显著",IF(ABS(G44)&gt;=10%,"关注","")))</f>
        <v/>
      </c>
      <c r="I44" s="609"/>
    </row>
    <row r="45" spans="1:9" s="177" customFormat="1" ht="13.5">
      <c r="A45" s="962" t="str">
        <f>报表格式!L43</f>
        <v>四、净利润（净亏损以“－”号填列）</v>
      </c>
      <c r="B45" s="1094">
        <f t="shared" si="9"/>
        <v>39</v>
      </c>
      <c r="C45" s="320">
        <f>母已审横向PL!C45</f>
        <v>0</v>
      </c>
      <c r="D45" s="321" t="str">
        <f t="shared" si="18"/>
        <v/>
      </c>
      <c r="E45" s="320">
        <f>母已审横向PL!D45</f>
        <v>0</v>
      </c>
      <c r="F45" s="321" t="str">
        <f t="shared" si="19"/>
        <v/>
      </c>
      <c r="G45" s="322" t="str">
        <f t="shared" si="20"/>
        <v/>
      </c>
      <c r="H45" s="693" t="str">
        <f t="shared" si="21"/>
        <v/>
      </c>
      <c r="I45" s="698"/>
    </row>
    <row r="46" spans="1:9" s="641" customFormat="1" ht="13.5">
      <c r="A46" s="961" t="str">
        <f>报表格式!L44</f>
        <v xml:space="preserve"> （一）按经营持续性分类</v>
      </c>
      <c r="B46" s="1094">
        <f t="shared" si="9"/>
        <v>40</v>
      </c>
      <c r="C46" s="263"/>
      <c r="D46" s="265" t="str">
        <f t="shared" si="18"/>
        <v/>
      </c>
      <c r="E46" s="263"/>
      <c r="F46" s="265" t="str">
        <f t="shared" si="19"/>
        <v/>
      </c>
      <c r="G46" s="255" t="str">
        <f t="shared" si="20"/>
        <v/>
      </c>
      <c r="H46" s="692" t="str">
        <f t="shared" si="21"/>
        <v/>
      </c>
      <c r="I46" s="609"/>
    </row>
    <row r="47" spans="1:9" s="177" customFormat="1" ht="13.5">
      <c r="A47" s="961" t="str">
        <f>报表格式!L45</f>
        <v xml:space="preserve">     其中：持续经营净利润（净亏损以“-”号填列）</v>
      </c>
      <c r="B47" s="1094">
        <f t="shared" si="9"/>
        <v>41</v>
      </c>
      <c r="C47" s="263">
        <f>母已审横向PL!C47</f>
        <v>0</v>
      </c>
      <c r="D47" s="265" t="str">
        <f t="shared" si="18"/>
        <v/>
      </c>
      <c r="E47" s="263">
        <f>母已审横向PL!D47</f>
        <v>0</v>
      </c>
      <c r="F47" s="265" t="str">
        <f t="shared" si="19"/>
        <v/>
      </c>
      <c r="G47" s="255" t="str">
        <f t="shared" si="20"/>
        <v/>
      </c>
      <c r="H47" s="692" t="str">
        <f t="shared" si="21"/>
        <v/>
      </c>
      <c r="I47" s="609"/>
    </row>
    <row r="48" spans="1:9" s="177" customFormat="1" ht="13.5">
      <c r="A48" s="961" t="str">
        <f>报表格式!L46</f>
        <v xml:space="preserve">                 终止经营净利润（净亏损以“-”号填列）</v>
      </c>
      <c r="B48" s="1094">
        <f t="shared" si="9"/>
        <v>42</v>
      </c>
      <c r="C48" s="263">
        <f>母已审横向PL!C48</f>
        <v>0</v>
      </c>
      <c r="D48" s="265" t="str">
        <f t="shared" si="18"/>
        <v/>
      </c>
      <c r="E48" s="263">
        <f>母已审横向PL!D48</f>
        <v>0</v>
      </c>
      <c r="F48" s="265" t="str">
        <f t="shared" si="19"/>
        <v/>
      </c>
      <c r="G48" s="255" t="str">
        <f t="shared" si="20"/>
        <v/>
      </c>
      <c r="H48" s="692" t="str">
        <f t="shared" si="21"/>
        <v/>
      </c>
      <c r="I48" s="609"/>
    </row>
    <row r="49" spans="1:9" s="177" customFormat="1" ht="13.5">
      <c r="A49" s="961" t="str">
        <f>报表格式!L47</f>
        <v xml:space="preserve"> （二）按所有权归属分类</v>
      </c>
      <c r="B49" s="1094">
        <f t="shared" si="9"/>
        <v>43</v>
      </c>
      <c r="C49" s="263"/>
      <c r="D49" s="265" t="str">
        <f t="shared" si="18"/>
        <v/>
      </c>
      <c r="E49" s="263"/>
      <c r="F49" s="265" t="str">
        <f t="shared" si="19"/>
        <v/>
      </c>
      <c r="G49" s="255" t="str">
        <f t="shared" si="20"/>
        <v/>
      </c>
      <c r="H49" s="692" t="str">
        <f t="shared" si="21"/>
        <v/>
      </c>
      <c r="I49" s="609"/>
    </row>
    <row r="50" spans="1:9" s="177" customFormat="1" ht="13.5">
      <c r="A50" s="961" t="str">
        <f>报表格式!L48</f>
        <v xml:space="preserve">     其中：归属于母公司股东的净利润（净亏损以“-”号填列）</v>
      </c>
      <c r="B50" s="1094">
        <f t="shared" si="9"/>
        <v>44</v>
      </c>
      <c r="C50" s="263">
        <f>母已审横向PL!C50</f>
        <v>0</v>
      </c>
      <c r="D50" s="265" t="str">
        <f t="shared" si="18"/>
        <v/>
      </c>
      <c r="E50" s="263">
        <f>母已审横向PL!D50</f>
        <v>0</v>
      </c>
      <c r="F50" s="265" t="str">
        <f t="shared" si="19"/>
        <v/>
      </c>
      <c r="G50" s="255" t="str">
        <f t="shared" si="20"/>
        <v/>
      </c>
      <c r="H50" s="692" t="str">
        <f t="shared" si="21"/>
        <v/>
      </c>
      <c r="I50" s="609"/>
    </row>
    <row r="51" spans="1:9" s="177" customFormat="1" ht="13.5">
      <c r="A51" s="961" t="str">
        <f>报表格式!L49</f>
        <v xml:space="preserve">                少数股东损益（净亏损以“-”号填列）</v>
      </c>
      <c r="B51" s="1094">
        <f t="shared" si="9"/>
        <v>45</v>
      </c>
      <c r="C51" s="263">
        <f>母已审横向PL!C51</f>
        <v>0</v>
      </c>
      <c r="D51" s="265" t="str">
        <f t="shared" ref="D51:D75" si="22">IF(AND(C51&lt;&gt;0,$C$7&lt;&gt;0),C51/$C$7,"")</f>
        <v/>
      </c>
      <c r="E51" s="263">
        <f>母已审横向PL!D51</f>
        <v>0</v>
      </c>
      <c r="F51" s="265" t="str">
        <f t="shared" ref="F51:F75" si="23">IF(AND(E51&lt;&gt;0,$E$7&lt;&gt;0),E51/$E$7,"")</f>
        <v/>
      </c>
      <c r="G51" s="255" t="str">
        <f t="shared" ref="G51:G75" si="24">IF(AND(D51="",F51=""),"",IF(D51="",F51,IF(F51="",-D51,F51-D51)))</f>
        <v/>
      </c>
      <c r="H51" s="692" t="str">
        <f t="shared" ref="H51:H75" si="25">IF(G51="","",IF(ABS(G51)&gt;=30%,"显著",IF(ABS(G51)&gt;=10%,"关注","")))</f>
        <v/>
      </c>
      <c r="I51" s="609"/>
    </row>
    <row r="52" spans="1:9" s="641" customFormat="1" ht="13.5">
      <c r="A52" s="962" t="str">
        <f>报表格式!L50</f>
        <v>五、其他综合收益的税后净额</v>
      </c>
      <c r="B52" s="1094">
        <f t="shared" si="9"/>
        <v>46</v>
      </c>
      <c r="C52" s="320">
        <f>母已审横向PL!C52</f>
        <v>0</v>
      </c>
      <c r="D52" s="321" t="str">
        <f t="shared" si="22"/>
        <v/>
      </c>
      <c r="E52" s="320">
        <f>母已审横向PL!D52</f>
        <v>0</v>
      </c>
      <c r="F52" s="321" t="str">
        <f t="shared" si="23"/>
        <v/>
      </c>
      <c r="G52" s="322" t="str">
        <f t="shared" si="24"/>
        <v/>
      </c>
      <c r="H52" s="692" t="str">
        <f t="shared" si="25"/>
        <v/>
      </c>
      <c r="I52" s="609"/>
    </row>
    <row r="53" spans="1:9" s="177" customFormat="1" ht="13.5">
      <c r="A53" s="961" t="str">
        <f>报表格式!L51</f>
        <v>归属于母公司股东的其他综合收益的税后净额</v>
      </c>
      <c r="B53" s="1094">
        <f t="shared" si="9"/>
        <v>47</v>
      </c>
      <c r="C53" s="263">
        <f>母已审横向PL!C53</f>
        <v>0</v>
      </c>
      <c r="D53" s="265" t="str">
        <f t="shared" si="22"/>
        <v/>
      </c>
      <c r="E53" s="263">
        <f>母已审横向PL!D53</f>
        <v>0</v>
      </c>
      <c r="F53" s="265" t="str">
        <f t="shared" si="23"/>
        <v/>
      </c>
      <c r="G53" s="255" t="str">
        <f t="shared" si="24"/>
        <v/>
      </c>
      <c r="H53" s="692" t="str">
        <f t="shared" si="25"/>
        <v/>
      </c>
      <c r="I53" s="609"/>
    </row>
    <row r="54" spans="1:9" s="177" customFormat="1" ht="13.5">
      <c r="A54" s="961" t="str">
        <f>报表格式!L52</f>
        <v xml:space="preserve">  （一）不能重分类进损益的其他综合收益</v>
      </c>
      <c r="B54" s="1094">
        <f t="shared" si="9"/>
        <v>48</v>
      </c>
      <c r="C54" s="263">
        <f>母已审横向PL!C54</f>
        <v>0</v>
      </c>
      <c r="D54" s="265" t="str">
        <f t="shared" si="22"/>
        <v/>
      </c>
      <c r="E54" s="263">
        <f>母已审横向PL!D54</f>
        <v>0</v>
      </c>
      <c r="F54" s="265" t="str">
        <f t="shared" si="23"/>
        <v/>
      </c>
      <c r="G54" s="255" t="str">
        <f t="shared" si="24"/>
        <v/>
      </c>
      <c r="H54" s="692" t="str">
        <f t="shared" si="25"/>
        <v/>
      </c>
      <c r="I54" s="609"/>
    </row>
    <row r="55" spans="1:9" s="177" customFormat="1" ht="13.5">
      <c r="A55" s="963" t="str">
        <f>报表格式!L53</f>
        <v>1.重新计量设定受益计划变动额</v>
      </c>
      <c r="B55" s="1094">
        <f t="shared" si="9"/>
        <v>49</v>
      </c>
      <c r="C55" s="263">
        <f>母已审横向PL!C55</f>
        <v>0</v>
      </c>
      <c r="D55" s="265" t="str">
        <f t="shared" si="22"/>
        <v/>
      </c>
      <c r="E55" s="263">
        <f>母已审横向PL!D55</f>
        <v>0</v>
      </c>
      <c r="F55" s="265" t="str">
        <f t="shared" si="23"/>
        <v/>
      </c>
      <c r="G55" s="255" t="str">
        <f t="shared" si="24"/>
        <v/>
      </c>
      <c r="H55" s="692" t="str">
        <f t="shared" si="25"/>
        <v/>
      </c>
      <c r="I55" s="609"/>
    </row>
    <row r="56" spans="1:9" s="177" customFormat="1" ht="13.5">
      <c r="A56" s="963" t="str">
        <f>报表格式!L54</f>
        <v>2.权益法下不能转损益的其他综合收益</v>
      </c>
      <c r="B56" s="1094">
        <f t="shared" si="9"/>
        <v>50</v>
      </c>
      <c r="C56" s="263">
        <f>母已审横向PL!C56</f>
        <v>0</v>
      </c>
      <c r="D56" s="265" t="str">
        <f t="shared" si="22"/>
        <v/>
      </c>
      <c r="E56" s="263">
        <f>母已审横向PL!D56</f>
        <v>0</v>
      </c>
      <c r="F56" s="265" t="str">
        <f t="shared" si="23"/>
        <v/>
      </c>
      <c r="G56" s="255" t="str">
        <f t="shared" si="24"/>
        <v/>
      </c>
      <c r="H56" s="692" t="str">
        <f t="shared" si="25"/>
        <v/>
      </c>
      <c r="I56" s="609"/>
    </row>
    <row r="57" spans="1:9" s="177" customFormat="1" ht="13.5">
      <c r="A57" s="963" t="str">
        <f>报表格式!L55</f>
        <v xml:space="preserve">3.其他权益工具投资公允价值变动 </v>
      </c>
      <c r="B57" s="1094">
        <f t="shared" si="9"/>
        <v>51</v>
      </c>
      <c r="C57" s="263">
        <f>母已审横向PL!C57</f>
        <v>0</v>
      </c>
      <c r="D57" s="265"/>
      <c r="E57" s="263">
        <f>母已审横向PL!D57</f>
        <v>0</v>
      </c>
      <c r="F57" s="265"/>
      <c r="G57" s="255"/>
      <c r="H57" s="692"/>
      <c r="I57" s="609"/>
    </row>
    <row r="58" spans="1:9" s="177" customFormat="1" ht="13.5">
      <c r="A58" s="963" t="str">
        <f>报表格式!L56</f>
        <v xml:space="preserve">4.企业自身信用风险公允价值变动 </v>
      </c>
      <c r="B58" s="1094">
        <f t="shared" si="9"/>
        <v>52</v>
      </c>
      <c r="C58" s="263">
        <f>母已审横向PL!C58</f>
        <v>0</v>
      </c>
      <c r="D58" s="265"/>
      <c r="E58" s="263">
        <f>母已审横向PL!D58</f>
        <v>0</v>
      </c>
      <c r="F58" s="265"/>
      <c r="G58" s="255"/>
      <c r="H58" s="692"/>
      <c r="I58" s="609"/>
    </row>
    <row r="59" spans="1:9" s="177" customFormat="1" ht="13.5">
      <c r="A59" s="963" t="str">
        <f>报表格式!L57</f>
        <v>5.其他</v>
      </c>
      <c r="B59" s="1094">
        <f t="shared" si="9"/>
        <v>53</v>
      </c>
      <c r="C59" s="263">
        <f>母已审横向PL!C59</f>
        <v>0</v>
      </c>
      <c r="D59" s="265" t="str">
        <f t="shared" si="22"/>
        <v/>
      </c>
      <c r="E59" s="263">
        <f>母已审横向PL!D59</f>
        <v>0</v>
      </c>
      <c r="F59" s="265" t="str">
        <f t="shared" si="23"/>
        <v/>
      </c>
      <c r="G59" s="255" t="str">
        <f t="shared" si="24"/>
        <v/>
      </c>
      <c r="H59" s="692" t="str">
        <f t="shared" si="25"/>
        <v/>
      </c>
      <c r="I59" s="609"/>
    </row>
    <row r="60" spans="1:9" s="177" customFormat="1" ht="13.5">
      <c r="A60" s="961" t="str">
        <f>报表格式!L58</f>
        <v xml:space="preserve">  （二）将重分类进损益的其他综合收益</v>
      </c>
      <c r="B60" s="1094">
        <f t="shared" si="9"/>
        <v>54</v>
      </c>
      <c r="C60" s="263">
        <f>母已审横向PL!C60</f>
        <v>0</v>
      </c>
      <c r="D60" s="265" t="str">
        <f t="shared" si="22"/>
        <v/>
      </c>
      <c r="E60" s="263">
        <f>母已审横向PL!D60</f>
        <v>0</v>
      </c>
      <c r="F60" s="265" t="str">
        <f t="shared" si="23"/>
        <v/>
      </c>
      <c r="G60" s="255" t="str">
        <f t="shared" si="24"/>
        <v/>
      </c>
      <c r="H60" s="692" t="str">
        <f t="shared" si="25"/>
        <v/>
      </c>
      <c r="I60" s="609"/>
    </row>
    <row r="61" spans="1:9" s="177" customFormat="1" ht="13.5">
      <c r="A61" s="963" t="str">
        <f>报表格式!L59</f>
        <v>1.权益法下可转损益的其他综合收益</v>
      </c>
      <c r="B61" s="1094">
        <f t="shared" si="9"/>
        <v>55</v>
      </c>
      <c r="C61" s="263">
        <f>母已审横向PL!C61</f>
        <v>0</v>
      </c>
      <c r="D61" s="265" t="str">
        <f t="shared" si="22"/>
        <v/>
      </c>
      <c r="E61" s="263">
        <f>母已审横向PL!D61</f>
        <v>0</v>
      </c>
      <c r="F61" s="265" t="str">
        <f t="shared" si="23"/>
        <v/>
      </c>
      <c r="G61" s="255" t="str">
        <f t="shared" si="24"/>
        <v/>
      </c>
      <c r="H61" s="692" t="str">
        <f t="shared" si="25"/>
        <v/>
      </c>
      <c r="I61" s="609"/>
    </row>
    <row r="62" spans="1:9" s="177" customFormat="1" ht="13.5">
      <c r="A62" s="963" t="str">
        <f>报表格式!L60</f>
        <v xml:space="preserve">2.其他债权投资公允价值变动 </v>
      </c>
      <c r="B62" s="1094">
        <f t="shared" si="9"/>
        <v>56</v>
      </c>
      <c r="C62" s="263">
        <f>母已审横向PL!C62</f>
        <v>0</v>
      </c>
      <c r="D62" s="265" t="str">
        <f t="shared" ref="D62:D66" si="26">IF(AND(C62&lt;&gt;0,$C$7&lt;&gt;0),C62/$C$7,"")</f>
        <v/>
      </c>
      <c r="E62" s="263">
        <f>母已审横向PL!D62</f>
        <v>0</v>
      </c>
      <c r="F62" s="265" t="str">
        <f t="shared" ref="F62:F66" si="27">IF(AND(E62&lt;&gt;0,$E$7&lt;&gt;0),E62/$E$7,"")</f>
        <v/>
      </c>
      <c r="G62" s="255" t="str">
        <f t="shared" ref="G62:G66" si="28">IF(AND(D62="",F62=""),"",IF(D62="",F62,IF(F62="",-D62,F62-D62)))</f>
        <v/>
      </c>
      <c r="H62" s="692" t="str">
        <f t="shared" ref="H62:H66" si="29">IF(G62="","",IF(ABS(G62)&gt;=30%,"显著",IF(ABS(G62)&gt;=10%,"关注","")))</f>
        <v/>
      </c>
      <c r="I62" s="609"/>
    </row>
    <row r="63" spans="1:9" s="177" customFormat="1" ht="13.5">
      <c r="A63" s="963" t="str">
        <f>报表格式!L61</f>
        <v>3.可供出售金融资产公允价值变动损益</v>
      </c>
      <c r="B63" s="1094">
        <f t="shared" si="9"/>
        <v>57</v>
      </c>
      <c r="C63" s="263">
        <f>母已审横向PL!C63</f>
        <v>0</v>
      </c>
      <c r="D63" s="265" t="str">
        <f t="shared" si="26"/>
        <v/>
      </c>
      <c r="E63" s="263">
        <f>母已审横向PL!D63</f>
        <v>0</v>
      </c>
      <c r="F63" s="265" t="str">
        <f t="shared" si="27"/>
        <v/>
      </c>
      <c r="G63" s="255" t="str">
        <f t="shared" si="28"/>
        <v/>
      </c>
      <c r="H63" s="692" t="str">
        <f t="shared" si="29"/>
        <v/>
      </c>
      <c r="I63" s="609"/>
    </row>
    <row r="64" spans="1:9" s="177" customFormat="1" ht="13.5">
      <c r="A64" s="963" t="str">
        <f>报表格式!L62</f>
        <v xml:space="preserve">4.金融资产重分类计入其他综合收益的金额 </v>
      </c>
      <c r="B64" s="1094">
        <f t="shared" si="9"/>
        <v>58</v>
      </c>
      <c r="C64" s="263">
        <f>母已审横向PL!C64</f>
        <v>0</v>
      </c>
      <c r="D64" s="265" t="str">
        <f t="shared" si="26"/>
        <v/>
      </c>
      <c r="E64" s="263">
        <f>母已审横向PL!D64</f>
        <v>0</v>
      </c>
      <c r="F64" s="265" t="str">
        <f t="shared" si="27"/>
        <v/>
      </c>
      <c r="G64" s="255" t="str">
        <f t="shared" si="28"/>
        <v/>
      </c>
      <c r="H64" s="692" t="str">
        <f t="shared" si="29"/>
        <v/>
      </c>
      <c r="I64" s="609"/>
    </row>
    <row r="65" spans="1:9" s="177" customFormat="1" ht="13.5">
      <c r="A65" s="963" t="str">
        <f>报表格式!L63</f>
        <v>5.持有至到期投资重分类为可供出售金融资产损益</v>
      </c>
      <c r="B65" s="1094">
        <f t="shared" si="9"/>
        <v>59</v>
      </c>
      <c r="C65" s="263">
        <f>母已审横向PL!C65</f>
        <v>0</v>
      </c>
      <c r="D65" s="265" t="str">
        <f t="shared" si="26"/>
        <v/>
      </c>
      <c r="E65" s="263">
        <f>母已审横向PL!D65</f>
        <v>0</v>
      </c>
      <c r="F65" s="265" t="str">
        <f t="shared" si="27"/>
        <v/>
      </c>
      <c r="G65" s="255" t="str">
        <f t="shared" si="28"/>
        <v/>
      </c>
      <c r="H65" s="692" t="str">
        <f t="shared" si="29"/>
        <v/>
      </c>
      <c r="I65" s="609"/>
    </row>
    <row r="66" spans="1:9" s="177" customFormat="1" ht="13.5">
      <c r="A66" s="963" t="str">
        <f>报表格式!L64</f>
        <v>6.其他债权投资信用减值准备</v>
      </c>
      <c r="B66" s="1094">
        <f t="shared" si="9"/>
        <v>60</v>
      </c>
      <c r="C66" s="263">
        <f>母已审横向PL!C66</f>
        <v>0</v>
      </c>
      <c r="D66" s="265" t="str">
        <f t="shared" si="26"/>
        <v/>
      </c>
      <c r="E66" s="263">
        <f>母已审横向PL!D66</f>
        <v>0</v>
      </c>
      <c r="F66" s="265" t="str">
        <f t="shared" si="27"/>
        <v/>
      </c>
      <c r="G66" s="255" t="str">
        <f t="shared" si="28"/>
        <v/>
      </c>
      <c r="H66" s="692" t="str">
        <f t="shared" si="29"/>
        <v/>
      </c>
      <c r="I66" s="609"/>
    </row>
    <row r="67" spans="1:9" s="177" customFormat="1" ht="13.5">
      <c r="A67" s="963" t="str">
        <f>报表格式!L65</f>
        <v>7.现金流量套期储备</v>
      </c>
      <c r="B67" s="1094">
        <f t="shared" si="9"/>
        <v>61</v>
      </c>
      <c r="C67" s="263">
        <f>母已审横向PL!C67</f>
        <v>0</v>
      </c>
      <c r="D67" s="265" t="str">
        <f t="shared" si="22"/>
        <v/>
      </c>
      <c r="E67" s="263">
        <f>母已审横向PL!D67</f>
        <v>0</v>
      </c>
      <c r="F67" s="265" t="str">
        <f t="shared" si="23"/>
        <v/>
      </c>
      <c r="G67" s="255" t="str">
        <f t="shared" si="24"/>
        <v/>
      </c>
      <c r="H67" s="692" t="str">
        <f t="shared" si="25"/>
        <v/>
      </c>
      <c r="I67" s="609"/>
    </row>
    <row r="68" spans="1:9" s="177" customFormat="1" ht="13.5">
      <c r="A68" s="963" t="str">
        <f>报表格式!L66</f>
        <v>8.外币财务报表折算差额</v>
      </c>
      <c r="B68" s="1094">
        <f t="shared" si="9"/>
        <v>62</v>
      </c>
      <c r="C68" s="263">
        <f>母已审横向PL!C68</f>
        <v>0</v>
      </c>
      <c r="D68" s="265" t="str">
        <f t="shared" si="22"/>
        <v/>
      </c>
      <c r="E68" s="263">
        <f>母已审横向PL!D68</f>
        <v>0</v>
      </c>
      <c r="F68" s="265" t="str">
        <f t="shared" si="23"/>
        <v/>
      </c>
      <c r="G68" s="255" t="str">
        <f t="shared" si="24"/>
        <v/>
      </c>
      <c r="H68" s="692" t="str">
        <f t="shared" si="25"/>
        <v/>
      </c>
      <c r="I68" s="609"/>
    </row>
    <row r="69" spans="1:9" s="177" customFormat="1" ht="13.5">
      <c r="A69" s="963" t="str">
        <f>报表格式!L67</f>
        <v>9.自用房地产或作为存货的房地产转换为以公允价值计量的投资性房地产在转换日公允价值大于账面价值部分</v>
      </c>
      <c r="B69" s="1094">
        <f t="shared" si="9"/>
        <v>63</v>
      </c>
      <c r="C69" s="263">
        <f>母已审横向PL!C69</f>
        <v>0</v>
      </c>
      <c r="D69" s="265" t="str">
        <f t="shared" si="22"/>
        <v/>
      </c>
      <c r="E69" s="263">
        <f>母已审横向PL!D69</f>
        <v>0</v>
      </c>
      <c r="F69" s="265" t="str">
        <f t="shared" si="23"/>
        <v/>
      </c>
      <c r="G69" s="255" t="str">
        <f t="shared" si="24"/>
        <v/>
      </c>
      <c r="H69" s="692" t="str">
        <f t="shared" si="25"/>
        <v/>
      </c>
      <c r="I69" s="609"/>
    </row>
    <row r="70" spans="1:9" s="177" customFormat="1" ht="13.5">
      <c r="A70" s="963" t="str">
        <f>报表格式!L68</f>
        <v>10.多次交易分步处置子公司股权构成一揽子交易的，丧失控制权之前各次交易处置价款与对应净资产账面价值份额的差额</v>
      </c>
      <c r="B70" s="1094">
        <f t="shared" si="9"/>
        <v>64</v>
      </c>
      <c r="C70" s="263">
        <f>母已审横向PL!C70</f>
        <v>0</v>
      </c>
      <c r="D70" s="265" t="str">
        <f t="shared" si="22"/>
        <v/>
      </c>
      <c r="E70" s="263">
        <f>母已审横向PL!D70</f>
        <v>0</v>
      </c>
      <c r="F70" s="265" t="str">
        <f t="shared" si="23"/>
        <v/>
      </c>
      <c r="G70" s="255" t="str">
        <f t="shared" si="24"/>
        <v/>
      </c>
      <c r="H70" s="692" t="str">
        <f t="shared" si="25"/>
        <v/>
      </c>
      <c r="I70" s="609"/>
    </row>
    <row r="71" spans="1:9" s="177" customFormat="1" ht="13.5">
      <c r="A71" s="963" t="str">
        <f>报表格式!L69</f>
        <v>11.其他</v>
      </c>
      <c r="B71" s="1094">
        <f t="shared" si="9"/>
        <v>65</v>
      </c>
      <c r="C71" s="263">
        <f>母已审横向PL!C71</f>
        <v>0</v>
      </c>
      <c r="D71" s="265" t="str">
        <f t="shared" si="22"/>
        <v/>
      </c>
      <c r="E71" s="263">
        <f>母已审横向PL!D71</f>
        <v>0</v>
      </c>
      <c r="F71" s="265" t="str">
        <f t="shared" si="23"/>
        <v/>
      </c>
      <c r="G71" s="255" t="str">
        <f t="shared" si="24"/>
        <v/>
      </c>
      <c r="H71" s="692" t="str">
        <f t="shared" si="25"/>
        <v/>
      </c>
      <c r="I71" s="609"/>
    </row>
    <row r="72" spans="1:9" s="177" customFormat="1" ht="13.5">
      <c r="A72" s="961" t="str">
        <f>报表格式!L70</f>
        <v>归属于少数股东的其他综合收益的税后净额</v>
      </c>
      <c r="B72" s="1094">
        <f t="shared" si="9"/>
        <v>66</v>
      </c>
      <c r="C72" s="263">
        <f>母已审横向PL!C72</f>
        <v>0</v>
      </c>
      <c r="D72" s="265" t="str">
        <f t="shared" si="22"/>
        <v/>
      </c>
      <c r="E72" s="263">
        <f>母已审横向PL!D72</f>
        <v>0</v>
      </c>
      <c r="F72" s="265" t="str">
        <f t="shared" si="23"/>
        <v/>
      </c>
      <c r="G72" s="255" t="str">
        <f t="shared" si="24"/>
        <v/>
      </c>
      <c r="H72" s="692" t="str">
        <f t="shared" si="25"/>
        <v/>
      </c>
      <c r="I72" s="609"/>
    </row>
    <row r="73" spans="1:9" s="177" customFormat="1" ht="13.5">
      <c r="A73" s="962" t="str">
        <f>报表格式!L71</f>
        <v>六、综合收益总额</v>
      </c>
      <c r="B73" s="1094">
        <f t="shared" si="9"/>
        <v>67</v>
      </c>
      <c r="C73" s="320">
        <f>母已审横向PL!C73</f>
        <v>0</v>
      </c>
      <c r="D73" s="321" t="str">
        <f t="shared" si="22"/>
        <v/>
      </c>
      <c r="E73" s="320">
        <f>母已审横向PL!D73</f>
        <v>0</v>
      </c>
      <c r="F73" s="321" t="str">
        <f t="shared" si="23"/>
        <v/>
      </c>
      <c r="G73" s="322" t="str">
        <f t="shared" si="24"/>
        <v/>
      </c>
      <c r="H73" s="692" t="str">
        <f t="shared" si="25"/>
        <v/>
      </c>
      <c r="I73" s="609"/>
    </row>
    <row r="74" spans="1:9" s="177" customFormat="1" ht="13.5">
      <c r="A74" s="961" t="str">
        <f>报表格式!L72</f>
        <v xml:space="preserve">     归属于母公司股东的综合收益总额</v>
      </c>
      <c r="B74" s="1094">
        <f t="shared" si="9"/>
        <v>68</v>
      </c>
      <c r="C74" s="263">
        <f>母已审横向PL!C74</f>
        <v>0</v>
      </c>
      <c r="D74" s="265" t="str">
        <f t="shared" si="22"/>
        <v/>
      </c>
      <c r="E74" s="263">
        <f>母已审横向PL!D74</f>
        <v>0</v>
      </c>
      <c r="F74" s="265" t="str">
        <f t="shared" si="23"/>
        <v/>
      </c>
      <c r="G74" s="255" t="str">
        <f t="shared" si="24"/>
        <v/>
      </c>
      <c r="H74" s="692" t="str">
        <f t="shared" si="25"/>
        <v/>
      </c>
      <c r="I74" s="609"/>
    </row>
    <row r="75" spans="1:9" s="177" customFormat="1" ht="13.5">
      <c r="A75" s="961" t="str">
        <f>报表格式!L73</f>
        <v xml:space="preserve">     归属于少数股东的综合收益总额</v>
      </c>
      <c r="B75" s="1094">
        <f t="shared" si="9"/>
        <v>69</v>
      </c>
      <c r="C75" s="263">
        <f>母已审横向PL!C75</f>
        <v>0</v>
      </c>
      <c r="D75" s="265" t="str">
        <f t="shared" si="22"/>
        <v/>
      </c>
      <c r="E75" s="263">
        <f>母已审横向PL!D75</f>
        <v>0</v>
      </c>
      <c r="F75" s="265" t="str">
        <f t="shared" si="23"/>
        <v/>
      </c>
      <c r="G75" s="255" t="str">
        <f t="shared" si="24"/>
        <v/>
      </c>
      <c r="H75" s="692" t="str">
        <f t="shared" si="25"/>
        <v/>
      </c>
      <c r="I75" s="609"/>
    </row>
    <row r="76" spans="1:9" s="177" customFormat="1" ht="13.5">
      <c r="A76" s="962" t="str">
        <f>报表格式!L74</f>
        <v>七、每股收益</v>
      </c>
      <c r="B76" s="1094">
        <f t="shared" si="9"/>
        <v>70</v>
      </c>
      <c r="C76" s="263"/>
      <c r="D76" s="265"/>
      <c r="E76" s="263"/>
      <c r="F76" s="265"/>
      <c r="G76" s="255"/>
      <c r="H76" s="692"/>
      <c r="I76" s="609"/>
    </row>
    <row r="77" spans="1:9" s="177" customFormat="1" ht="13.5">
      <c r="A77" s="961" t="str">
        <f>报表格式!L75</f>
        <v xml:space="preserve">   （一）基本每股收益</v>
      </c>
      <c r="B77" s="1094">
        <f t="shared" si="9"/>
        <v>71</v>
      </c>
      <c r="C77" s="263">
        <f>母已审横向PL!C77</f>
        <v>0</v>
      </c>
      <c r="D77" s="265" t="str">
        <f>IF(AND(C77&lt;&gt;0,$C$7&lt;&gt;0),C77/$C$7,"")</f>
        <v/>
      </c>
      <c r="E77" s="263">
        <f>母已审横向PL!D77</f>
        <v>0</v>
      </c>
      <c r="F77" s="265" t="str">
        <f>IF(AND(E77&lt;&gt;0,$E$7&lt;&gt;0),E77/$E$7,"")</f>
        <v/>
      </c>
      <c r="G77" s="255" t="str">
        <f>IF(AND(D77="",F77=""),"",IF(D77="",F77,IF(F77="",-D77,F77-D77)))</f>
        <v/>
      </c>
      <c r="H77" s="692" t="str">
        <f>IF(G77="","",IF(ABS(G77)&gt;=30%,"显著",IF(ABS(G77)&gt;=10%,"关注","")))</f>
        <v/>
      </c>
      <c r="I77" s="609"/>
    </row>
    <row r="78" spans="1:9" s="177" customFormat="1" thickBot="1">
      <c r="A78" s="964" t="str">
        <f>报表格式!L76</f>
        <v xml:space="preserve">   （二）稀释每股收益</v>
      </c>
      <c r="B78" s="1110">
        <f t="shared" si="9"/>
        <v>72</v>
      </c>
      <c r="C78" s="785">
        <f>母已审横向PL!C78</f>
        <v>0</v>
      </c>
      <c r="D78" s="796" t="str">
        <f>IF(AND(C78&lt;&gt;0,$C$7&lt;&gt;0),C78/$C$7,"")</f>
        <v/>
      </c>
      <c r="E78" s="785">
        <f>母已审横向PL!D78</f>
        <v>0</v>
      </c>
      <c r="F78" s="796" t="str">
        <f>IF(AND(E78&lt;&gt;0,$E$7&lt;&gt;0),E78/$E$7,"")</f>
        <v/>
      </c>
      <c r="G78" s="793" t="str">
        <f>IF(AND(D78="",F78=""),"",IF(D78="",F78,IF(F78="",-D78,F78-D78)))</f>
        <v/>
      </c>
      <c r="H78" s="797" t="str">
        <f>IF(G78="","",IF(ABS(G78)&gt;=30%,"显著",IF(ABS(G78)&gt;=10%,"关注","")))</f>
        <v/>
      </c>
      <c r="I78" s="795"/>
    </row>
    <row r="79" spans="1:9" s="177" customFormat="1">
      <c r="A79" s="913"/>
      <c r="B79" s="996"/>
      <c r="C79" s="78"/>
      <c r="D79" s="78"/>
      <c r="E79" s="78"/>
      <c r="F79" s="78"/>
      <c r="G79" s="78"/>
      <c r="H79" s="78"/>
      <c r="I79" s="78"/>
    </row>
    <row r="81" spans="7:7">
      <c r="G81" s="178"/>
    </row>
    <row r="82" spans="7:7">
      <c r="G82" s="179"/>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I11">
    <cfRule type="cellIs" dxfId="3" priority="1" stopIfTrue="1" operator="equal">
      <formula>"异常"</formula>
    </cfRule>
  </conditionalFormatting>
  <conditionalFormatting sqref="H7:H78">
    <cfRule type="cellIs" dxfId="2" priority="2" stopIfTrue="1" operator="equal">
      <formula>"显著"</formula>
    </cfRule>
  </conditionalFormatting>
  <printOptions horizontalCentered="1"/>
  <pageMargins left="0.63" right="0.23622047244094491" top="0.74" bottom="0.25" header="0.28000000000000003" footer="0.2"/>
  <pageSetup paperSize="9" scale="74" orientation="portrait" blackAndWhite="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39"/>
  </sheetPr>
  <dimension ref="A1:P399"/>
  <sheetViews>
    <sheetView showZeros="0" workbookViewId="0">
      <selection activeCell="K18" sqref="K18"/>
    </sheetView>
  </sheetViews>
  <sheetFormatPr defaultColWidth="9" defaultRowHeight="11.25"/>
  <cols>
    <col min="1" max="1" width="18.75" style="205" customWidth="1"/>
    <col min="2" max="2" width="41.375" style="235" customWidth="1"/>
    <col min="3" max="3" width="10.25" style="209" customWidth="1"/>
    <col min="4" max="4" width="11" style="209" customWidth="1"/>
    <col min="5" max="5" width="6.375" style="205" bestFit="1" customWidth="1"/>
    <col min="6" max="6" width="11.25" style="209" customWidth="1"/>
    <col min="7" max="7" width="12.375" style="209" customWidth="1"/>
    <col min="8" max="8" width="7.75" style="205" customWidth="1"/>
    <col min="9" max="9" width="7.625" style="205" customWidth="1"/>
    <col min="10" max="10" width="9.875" style="205" customWidth="1"/>
    <col min="11" max="11" width="6.875" style="205" customWidth="1"/>
    <col min="12" max="16384" width="9" style="205"/>
  </cols>
  <sheetData>
    <row r="1" spans="1:16" ht="18.75">
      <c r="A1" s="1249" t="s">
        <v>748</v>
      </c>
      <c r="B1" s="1249"/>
      <c r="C1" s="1249"/>
      <c r="D1" s="1249"/>
      <c r="E1" s="1249"/>
      <c r="F1" s="1249"/>
      <c r="G1" s="1249"/>
      <c r="H1" s="1249"/>
      <c r="I1" s="1249"/>
      <c r="J1" s="1249"/>
    </row>
    <row r="2" spans="1:16" s="196" customFormat="1" ht="16.5">
      <c r="A2" s="195" t="str">
        <f>CONCATENATE("客户名称：",说明!E23)</f>
        <v>客户名称：</v>
      </c>
      <c r="B2" s="227"/>
      <c r="C2" s="197" t="str">
        <f>CONCATENATE("编制：",说明!E36)</f>
        <v>编制：</v>
      </c>
      <c r="F2" s="195" t="str">
        <f>CONCATENATE("复核：",说明!E37)</f>
        <v>复核：</v>
      </c>
      <c r="I2" s="806" t="s">
        <v>961</v>
      </c>
      <c r="J2" s="198"/>
      <c r="K2" s="199"/>
      <c r="N2" s="200"/>
      <c r="O2" s="201"/>
      <c r="P2" s="123"/>
    </row>
    <row r="3" spans="1:16" s="196" customFormat="1" ht="14.25" thickBot="1">
      <c r="A3" s="198" t="str">
        <f>CONCATENATE("会计期间：",TEXT(说明!E30,"yyyy.mm.dd"))</f>
        <v>会计期间：2019年度</v>
      </c>
      <c r="B3" s="227"/>
      <c r="C3" s="202" t="str">
        <f ca="1">CONCATENATE("日期：",TEXT(NOW(),"yyyy.mm.dd"))</f>
        <v>日期：2019.12.31</v>
      </c>
      <c r="F3" s="197" t="s">
        <v>732</v>
      </c>
      <c r="I3" s="197" t="s">
        <v>733</v>
      </c>
      <c r="J3" s="198"/>
      <c r="K3" s="198"/>
      <c r="N3" s="200"/>
      <c r="O3" s="201"/>
      <c r="P3" s="123"/>
    </row>
    <row r="4" spans="1:16" s="224" customFormat="1" ht="12" customHeight="1">
      <c r="A4" s="1255" t="s">
        <v>734</v>
      </c>
      <c r="B4" s="1257" t="s">
        <v>735</v>
      </c>
      <c r="C4" s="1250" t="str">
        <f>CONCATENATE(说明!E29,"已审数")</f>
        <v>2018年度已审数</v>
      </c>
      <c r="D4" s="1250"/>
      <c r="E4" s="1250"/>
      <c r="F4" s="1250" t="str">
        <f>CONCATENATE(说明!E30,"已审数")</f>
        <v>2019年度已审数</v>
      </c>
      <c r="G4" s="1250"/>
      <c r="H4" s="1250"/>
      <c r="I4" s="1251" t="s">
        <v>736</v>
      </c>
      <c r="J4" s="1253" t="s">
        <v>737</v>
      </c>
    </row>
    <row r="5" spans="1:16" s="224" customFormat="1" ht="12" customHeight="1">
      <c r="A5" s="1256"/>
      <c r="B5" s="1258"/>
      <c r="C5" s="226" t="s">
        <v>738</v>
      </c>
      <c r="D5" s="226" t="s">
        <v>739</v>
      </c>
      <c r="E5" s="225" t="s">
        <v>740</v>
      </c>
      <c r="F5" s="226" t="s">
        <v>738</v>
      </c>
      <c r="G5" s="226" t="s">
        <v>739</v>
      </c>
      <c r="H5" s="225" t="s">
        <v>740</v>
      </c>
      <c r="I5" s="1252"/>
      <c r="J5" s="1254"/>
    </row>
    <row r="6" spans="1:16" ht="12.75" customHeight="1">
      <c r="A6" s="217" t="s">
        <v>394</v>
      </c>
      <c r="B6" s="228"/>
      <c r="C6" s="218"/>
      <c r="D6" s="218"/>
      <c r="E6" s="219"/>
      <c r="F6" s="218"/>
      <c r="G6" s="218"/>
      <c r="H6" s="219"/>
      <c r="I6" s="219"/>
      <c r="J6" s="220"/>
      <c r="K6" s="204"/>
    </row>
    <row r="7" spans="1:16" ht="12" customHeight="1">
      <c r="A7" s="210" t="s">
        <v>395</v>
      </c>
      <c r="B7" s="229" t="s">
        <v>436</v>
      </c>
      <c r="C7" s="267"/>
      <c r="D7" s="267"/>
      <c r="E7" s="268">
        <f t="shared" ref="E7:E14" si="0">IF(D7=0,0,C7/D7)</f>
        <v>0</v>
      </c>
      <c r="F7" s="267">
        <f>(审定合并PL!H41+审定合并PL!H27-审定合并PL!H28)/说明!J32*12</f>
        <v>0</v>
      </c>
      <c r="G7" s="267">
        <f>(审定合并BS!H105+审定合并BS!J105)/2+(审定合并BS!H121+审定合并BS!J121)/2</f>
        <v>0</v>
      </c>
      <c r="H7" s="268">
        <f t="shared" ref="H7:H14" si="1">IF(G7=0,0,F7/G7)</f>
        <v>0</v>
      </c>
      <c r="I7" s="268">
        <f t="shared" ref="I7:I14" si="2">IF(E7=0,0,(H7-E7)/E7)</f>
        <v>0</v>
      </c>
      <c r="J7" s="211" t="str">
        <f t="shared" ref="J7:J14" si="3">IF(ABS(I7)&lt;20%,"",IF(ABS(I7)&lt;50%,"关注","显著"))</f>
        <v/>
      </c>
      <c r="K7" s="204"/>
    </row>
    <row r="8" spans="1:16" ht="12" customHeight="1">
      <c r="A8" s="212" t="s">
        <v>396</v>
      </c>
      <c r="B8" s="229" t="s">
        <v>458</v>
      </c>
      <c r="C8" s="267"/>
      <c r="D8" s="267"/>
      <c r="E8" s="268">
        <f t="shared" si="0"/>
        <v>0</v>
      </c>
      <c r="F8" s="267">
        <f>审定合并PL!H44/说明!J32*12</f>
        <v>0</v>
      </c>
      <c r="G8" s="267">
        <f>审定合并BS!H108</f>
        <v>0</v>
      </c>
      <c r="H8" s="268">
        <f t="shared" si="1"/>
        <v>0</v>
      </c>
      <c r="I8" s="268">
        <f t="shared" si="2"/>
        <v>0</v>
      </c>
      <c r="J8" s="211" t="str">
        <f t="shared" si="3"/>
        <v/>
      </c>
      <c r="K8" s="204"/>
    </row>
    <row r="9" spans="1:16" ht="12" customHeight="1">
      <c r="A9" s="210" t="s">
        <v>397</v>
      </c>
      <c r="B9" s="229" t="s">
        <v>459</v>
      </c>
      <c r="C9" s="267"/>
      <c r="D9" s="267"/>
      <c r="E9" s="268">
        <f t="shared" si="0"/>
        <v>0</v>
      </c>
      <c r="F9" s="267">
        <f>审定合并PL!H44/说明!J32*12</f>
        <v>0</v>
      </c>
      <c r="G9" s="267">
        <f>(审定合并BS!H121+审定合并BS!J121)/2</f>
        <v>0</v>
      </c>
      <c r="H9" s="268">
        <f t="shared" si="1"/>
        <v>0</v>
      </c>
      <c r="I9" s="268">
        <f t="shared" si="2"/>
        <v>0</v>
      </c>
      <c r="J9" s="211" t="str">
        <f t="shared" si="3"/>
        <v/>
      </c>
      <c r="K9" s="204"/>
    </row>
    <row r="10" spans="1:16" ht="12" customHeight="1">
      <c r="A10" s="210" t="s">
        <v>437</v>
      </c>
      <c r="B10" s="229" t="s">
        <v>460</v>
      </c>
      <c r="C10" s="267"/>
      <c r="D10" s="267"/>
      <c r="E10" s="268">
        <f t="shared" si="0"/>
        <v>0</v>
      </c>
      <c r="F10" s="267">
        <f>(审定合并PL!H41+审定合并PL!H27-审定合并PL!H28)/说明!J32*12</f>
        <v>0</v>
      </c>
      <c r="G10" s="267">
        <f>(审定合并BS!H59+审定合并BS!J59)/2</f>
        <v>0</v>
      </c>
      <c r="H10" s="268">
        <f t="shared" si="1"/>
        <v>0</v>
      </c>
      <c r="I10" s="268">
        <f t="shared" si="2"/>
        <v>0</v>
      </c>
      <c r="J10" s="211" t="str">
        <f t="shared" si="3"/>
        <v/>
      </c>
      <c r="K10" s="204"/>
    </row>
    <row r="11" spans="1:16" ht="12" customHeight="1">
      <c r="A11" s="210" t="s">
        <v>398</v>
      </c>
      <c r="B11" s="229" t="s">
        <v>157</v>
      </c>
      <c r="C11" s="267"/>
      <c r="D11" s="267"/>
      <c r="E11" s="268">
        <f t="shared" si="0"/>
        <v>0</v>
      </c>
      <c r="F11" s="267">
        <f>审定合并PL!H6-审定合并PL!H12</f>
        <v>0</v>
      </c>
      <c r="G11" s="267">
        <f>审定合并PL!H6</f>
        <v>0</v>
      </c>
      <c r="H11" s="268">
        <f t="shared" si="1"/>
        <v>0</v>
      </c>
      <c r="I11" s="268">
        <f t="shared" si="2"/>
        <v>0</v>
      </c>
      <c r="J11" s="211" t="str">
        <f t="shared" si="3"/>
        <v/>
      </c>
      <c r="K11" s="204"/>
    </row>
    <row r="12" spans="1:16" ht="12" customHeight="1">
      <c r="A12" s="210" t="s">
        <v>399</v>
      </c>
      <c r="B12" s="229" t="s">
        <v>158</v>
      </c>
      <c r="C12" s="267"/>
      <c r="D12" s="267"/>
      <c r="E12" s="268">
        <f t="shared" si="0"/>
        <v>0</v>
      </c>
      <c r="F12" s="267">
        <f>审定合并PL!H38+审定合并PL!H27-审定合并PL!H28</f>
        <v>0</v>
      </c>
      <c r="G12" s="267">
        <f>审定合并PL!H6</f>
        <v>0</v>
      </c>
      <c r="H12" s="268">
        <f t="shared" si="1"/>
        <v>0</v>
      </c>
      <c r="I12" s="268">
        <f t="shared" si="2"/>
        <v>0</v>
      </c>
      <c r="J12" s="211" t="str">
        <f t="shared" si="3"/>
        <v/>
      </c>
      <c r="K12" s="204"/>
    </row>
    <row r="13" spans="1:16" ht="12" customHeight="1">
      <c r="A13" s="210" t="s">
        <v>400</v>
      </c>
      <c r="B13" s="229" t="s">
        <v>159</v>
      </c>
      <c r="C13" s="267"/>
      <c r="D13" s="267"/>
      <c r="E13" s="268">
        <f t="shared" si="0"/>
        <v>0</v>
      </c>
      <c r="F13" s="267">
        <f>审定合并PL!H44</f>
        <v>0</v>
      </c>
      <c r="G13" s="267">
        <f>审定合并PL!H6</f>
        <v>0</v>
      </c>
      <c r="H13" s="268">
        <f t="shared" si="1"/>
        <v>0</v>
      </c>
      <c r="I13" s="268">
        <f t="shared" si="2"/>
        <v>0</v>
      </c>
      <c r="J13" s="211" t="str">
        <f t="shared" si="3"/>
        <v/>
      </c>
      <c r="K13" s="204"/>
    </row>
    <row r="14" spans="1:16" ht="12" customHeight="1">
      <c r="A14" s="210" t="s">
        <v>401</v>
      </c>
      <c r="B14" s="229" t="s">
        <v>160</v>
      </c>
      <c r="C14" s="267"/>
      <c r="D14" s="267"/>
      <c r="E14" s="268">
        <f t="shared" si="0"/>
        <v>0</v>
      </c>
      <c r="F14" s="267">
        <f>审定合并PL!H38</f>
        <v>0</v>
      </c>
      <c r="G14" s="267">
        <f>审定合并PL!H12+审定合并PL!H23+审定合并PL!H24+审定合并PL!H26</f>
        <v>0</v>
      </c>
      <c r="H14" s="268">
        <f t="shared" si="1"/>
        <v>0</v>
      </c>
      <c r="I14" s="268">
        <f t="shared" si="2"/>
        <v>0</v>
      </c>
      <c r="J14" s="211" t="str">
        <f t="shared" si="3"/>
        <v/>
      </c>
      <c r="K14" s="204"/>
    </row>
    <row r="15" spans="1:16" ht="12" customHeight="1">
      <c r="A15" s="221" t="s">
        <v>402</v>
      </c>
      <c r="B15" s="230"/>
      <c r="C15" s="269"/>
      <c r="D15" s="269"/>
      <c r="E15" s="270"/>
      <c r="F15" s="269"/>
      <c r="G15" s="269"/>
      <c r="H15" s="270"/>
      <c r="I15" s="270"/>
      <c r="J15" s="222"/>
      <c r="K15" s="204"/>
    </row>
    <row r="16" spans="1:16" ht="12" customHeight="1">
      <c r="A16" s="210" t="s">
        <v>403</v>
      </c>
      <c r="B16" s="229" t="s">
        <v>404</v>
      </c>
      <c r="C16" s="267"/>
      <c r="D16" s="267"/>
      <c r="E16" s="268">
        <f>IF(D16=0,0,C16/D16)</f>
        <v>0</v>
      </c>
      <c r="F16" s="267">
        <f>审定合并BS!H31</f>
        <v>0</v>
      </c>
      <c r="G16" s="267">
        <f>审定合并BS!H92</f>
        <v>0</v>
      </c>
      <c r="H16" s="268">
        <f>IF(G16=0,0,F16/G16)</f>
        <v>0</v>
      </c>
      <c r="I16" s="268">
        <f>IF(E16=0,0,(H16-E16)/E16)</f>
        <v>0</v>
      </c>
      <c r="J16" s="211" t="str">
        <f>IF(AND(H16=0,I16=0),"",IF(AND(ABS(I16)&lt;20%,H16&gt;=1.6),"",IF(OR(ABS(I16)&gt;=50%,H16&lt;=1),"显著","关注")))</f>
        <v/>
      </c>
      <c r="K16" s="204"/>
    </row>
    <row r="17" spans="1:11" ht="12" customHeight="1">
      <c r="A17" s="210" t="s">
        <v>405</v>
      </c>
      <c r="B17" s="229" t="s">
        <v>406</v>
      </c>
      <c r="C17" s="267"/>
      <c r="D17" s="267"/>
      <c r="E17" s="268">
        <f>IF(D17=0,0,C17/D17)</f>
        <v>0</v>
      </c>
      <c r="F17" s="267">
        <f>审定合并BS!H31-SUM(审定合并BS!H23:H30)</f>
        <v>0</v>
      </c>
      <c r="G17" s="267">
        <f>审定合并BS!H92</f>
        <v>0</v>
      </c>
      <c r="H17" s="268">
        <f>IF(G17=0,0,F17/G17)</f>
        <v>0</v>
      </c>
      <c r="I17" s="268">
        <f>IF(E17=0,0,(H17-E17)/E17)</f>
        <v>0</v>
      </c>
      <c r="J17" s="211" t="str">
        <f>IF(AND(H17=0,I17=0),"",IF(AND(ABS(I17)&lt;20%,H17&gt;=0.8),"",IF(OR(ABS(I17)&gt;=50%,H17&lt;=0.5),"显著","关注")))</f>
        <v/>
      </c>
      <c r="K17" s="204"/>
    </row>
    <row r="18" spans="1:11" ht="12" customHeight="1">
      <c r="A18" s="210" t="s">
        <v>407</v>
      </c>
      <c r="B18" s="229" t="s">
        <v>161</v>
      </c>
      <c r="C18" s="267"/>
      <c r="D18" s="267"/>
      <c r="E18" s="268">
        <f>IF(D18=0,0,C18/D18)</f>
        <v>0</v>
      </c>
      <c r="F18" s="267">
        <f>审定合并BS!H7+审定合并BS!H10</f>
        <v>0</v>
      </c>
      <c r="G18" s="267">
        <f>审定合并BS!H92</f>
        <v>0</v>
      </c>
      <c r="H18" s="268">
        <f>IF(G18=0,0,F18/G18)</f>
        <v>0</v>
      </c>
      <c r="I18" s="268">
        <f>IF(E18=0,0,(H18-E18)/E18)</f>
        <v>0</v>
      </c>
      <c r="J18" s="211" t="str">
        <f>IF(AND(H18=0,I18=0),"",IF(AND(ABS(I18)&lt;20%,H18&gt;=0.24),"",IF(OR(ABS(I18)&gt;=50%,H18&lt;=0.15),"显著","关注")))</f>
        <v/>
      </c>
      <c r="K18" s="204"/>
    </row>
    <row r="19" spans="1:11" ht="12" customHeight="1">
      <c r="A19" s="221" t="s">
        <v>408</v>
      </c>
      <c r="B19" s="231"/>
      <c r="C19" s="269"/>
      <c r="D19" s="269"/>
      <c r="E19" s="270"/>
      <c r="F19" s="269"/>
      <c r="G19" s="269"/>
      <c r="H19" s="270"/>
      <c r="I19" s="270"/>
      <c r="J19" s="222" t="str">
        <f>IF(ABS(I19)&lt;20%,"",IF(ABS(I19)&lt;50%,"关注","异常"))</f>
        <v/>
      </c>
      <c r="K19" s="204"/>
    </row>
    <row r="20" spans="1:11" ht="12" customHeight="1">
      <c r="A20" s="210" t="s">
        <v>409</v>
      </c>
      <c r="B20" s="229" t="s">
        <v>410</v>
      </c>
      <c r="C20" s="267"/>
      <c r="D20" s="267"/>
      <c r="E20" s="268">
        <f t="shared" ref="E20:E26" si="4">IF(D20=0,0,C20/D20)</f>
        <v>0</v>
      </c>
      <c r="F20" s="267">
        <f>审定合并BS!H106</f>
        <v>0</v>
      </c>
      <c r="G20" s="267">
        <f>审定合并BS!H59</f>
        <v>0</v>
      </c>
      <c r="H20" s="268">
        <f t="shared" ref="H20:H26" si="5">IF(G20=0,0,F20/G20)</f>
        <v>0</v>
      </c>
      <c r="I20" s="268">
        <f t="shared" ref="I20:I26" si="6">IF(E20=0,0,(H20-E20)/E20)</f>
        <v>0</v>
      </c>
      <c r="J20" s="211" t="str">
        <f>IF(AND(ABS(I20)&lt;20%,H20&lt;=60%),"",IF(OR(ABS(I20)&gt;=50%,H20&gt;=90%),"显著","关注"))</f>
        <v/>
      </c>
      <c r="K20" s="204"/>
    </row>
    <row r="21" spans="1:11" ht="12" customHeight="1">
      <c r="A21" s="210" t="s">
        <v>411</v>
      </c>
      <c r="B21" s="229" t="s">
        <v>412</v>
      </c>
      <c r="C21" s="267"/>
      <c r="D21" s="267"/>
      <c r="E21" s="268">
        <f t="shared" si="4"/>
        <v>0</v>
      </c>
      <c r="F21" s="267">
        <f>审定合并BS!H106</f>
        <v>0</v>
      </c>
      <c r="G21" s="267">
        <f>审定合并BS!H121</f>
        <v>0</v>
      </c>
      <c r="H21" s="268">
        <f t="shared" si="5"/>
        <v>0</v>
      </c>
      <c r="I21" s="268">
        <f t="shared" si="6"/>
        <v>0</v>
      </c>
      <c r="J21" s="211" t="str">
        <f>IF(AND(ABS(I21)&lt;20%,H21&lt;=100%),"",IF(OR(ABS(I21)&gt;=50%,H21&gt;=150%),"显著","关注"))</f>
        <v/>
      </c>
      <c r="K21" s="204"/>
    </row>
    <row r="22" spans="1:11" ht="12" customHeight="1">
      <c r="A22" s="210" t="s">
        <v>413</v>
      </c>
      <c r="B22" s="229" t="s">
        <v>162</v>
      </c>
      <c r="C22" s="267"/>
      <c r="D22" s="267"/>
      <c r="E22" s="268">
        <f t="shared" si="4"/>
        <v>0</v>
      </c>
      <c r="F22" s="267">
        <f>审定合并BS!H106</f>
        <v>0</v>
      </c>
      <c r="G22" s="267">
        <f>审定合并BS!H121-审定合并BS!H46-审定合并BS!H47-审定合并BS!H48-审定合并BS!H50</f>
        <v>0</v>
      </c>
      <c r="H22" s="268">
        <f t="shared" si="5"/>
        <v>0</v>
      </c>
      <c r="I22" s="268">
        <f t="shared" si="6"/>
        <v>0</v>
      </c>
      <c r="J22" s="211" t="str">
        <f>IF(AND(ABS(I22)&lt;20%,H22&lt;=150%),"",IF(OR(ABS(I22)&gt;=50%,H22&gt;=200%),"显著","关注"))</f>
        <v/>
      </c>
      <c r="K22" s="204"/>
    </row>
    <row r="23" spans="1:11" ht="12" customHeight="1">
      <c r="A23" s="210" t="s">
        <v>414</v>
      </c>
      <c r="B23" s="229" t="s">
        <v>163</v>
      </c>
      <c r="C23" s="267"/>
      <c r="D23" s="267"/>
      <c r="E23" s="268">
        <f t="shared" si="4"/>
        <v>0</v>
      </c>
      <c r="F23" s="267">
        <f>审定合并PL!H41+审定合并PL!H27-审定合并PL!H28</f>
        <v>0</v>
      </c>
      <c r="G23" s="267">
        <f>审定合并PL!H27-审定合并PL!H28</f>
        <v>0</v>
      </c>
      <c r="H23" s="268">
        <f t="shared" si="5"/>
        <v>0</v>
      </c>
      <c r="I23" s="268">
        <f t="shared" si="6"/>
        <v>0</v>
      </c>
      <c r="J23" s="211" t="str">
        <f>IF(AND(H23=0,I23=0),"",IF(AND(ABS(I23)&lt;20%,H23&gt;=100%),"",IF(OR(ABS(I23)&gt;=50%,H23&lt;=50%),"显著","关注")))</f>
        <v/>
      </c>
      <c r="K23" s="204"/>
    </row>
    <row r="24" spans="1:11" ht="12" customHeight="1">
      <c r="A24" s="210" t="s">
        <v>415</v>
      </c>
      <c r="B24" s="229" t="s">
        <v>164</v>
      </c>
      <c r="C24" s="267"/>
      <c r="D24" s="267"/>
      <c r="E24" s="268">
        <f t="shared" si="4"/>
        <v>0</v>
      </c>
      <c r="F24" s="267">
        <f>审定合并BS!H31-审定合并BS!H92</f>
        <v>0</v>
      </c>
      <c r="G24" s="267">
        <f>审定合并BS!H105</f>
        <v>0</v>
      </c>
      <c r="H24" s="268">
        <f t="shared" si="5"/>
        <v>0</v>
      </c>
      <c r="I24" s="268">
        <f t="shared" si="6"/>
        <v>0</v>
      </c>
      <c r="J24" s="211" t="str">
        <f>IF(AND(H24=0,I24=0),"",IF(AND(ABS(I24)&lt;20%,H24&gt;=100%),"",IF(OR(ABS(I24)&gt;=50%,H24&lt;=50%),"显著","关注")))</f>
        <v/>
      </c>
      <c r="K24" s="204"/>
    </row>
    <row r="25" spans="1:11" ht="12" customHeight="1">
      <c r="A25" s="210" t="s">
        <v>416</v>
      </c>
      <c r="B25" s="229" t="s">
        <v>165</v>
      </c>
      <c r="C25" s="267"/>
      <c r="D25" s="267"/>
      <c r="E25" s="268">
        <f t="shared" si="4"/>
        <v>0</v>
      </c>
      <c r="F25" s="267">
        <f>审定合并BS!H105</f>
        <v>0</v>
      </c>
      <c r="G25" s="267">
        <f>审定合并BS!H106</f>
        <v>0</v>
      </c>
      <c r="H25" s="268">
        <f t="shared" si="5"/>
        <v>0</v>
      </c>
      <c r="I25" s="268">
        <f t="shared" si="6"/>
        <v>0</v>
      </c>
      <c r="J25" s="211" t="str">
        <f>IF(ABS(I25)&lt;20%,"",IF(ABS(I25)&lt;50%,"关注","显著"))</f>
        <v/>
      </c>
      <c r="K25" s="204"/>
    </row>
    <row r="26" spans="1:11" ht="12" customHeight="1">
      <c r="A26" s="210" t="s">
        <v>417</v>
      </c>
      <c r="B26" s="229" t="s">
        <v>457</v>
      </c>
      <c r="C26" s="267"/>
      <c r="D26" s="267"/>
      <c r="E26" s="268">
        <f t="shared" si="4"/>
        <v>0</v>
      </c>
      <c r="F26" s="267">
        <f>审定合并BS!H92+审定合并BS!H116</f>
        <v>0</v>
      </c>
      <c r="G26" s="267">
        <f>审定合并BS!H106+审定合并BS!H119</f>
        <v>0</v>
      </c>
      <c r="H26" s="268">
        <f t="shared" si="5"/>
        <v>0</v>
      </c>
      <c r="I26" s="268">
        <f t="shared" si="6"/>
        <v>0</v>
      </c>
      <c r="J26" s="211" t="str">
        <f>IF(AND(H26=0,I26=0),"",IF(AND(ABS(I26)&lt;20%,H26&gt;=50%),"",IF(OR(ABS(I26)&gt;=50%,H26&lt;=30%),"显著","关注")))</f>
        <v/>
      </c>
      <c r="K26" s="204"/>
    </row>
    <row r="27" spans="1:11" ht="12" customHeight="1">
      <c r="A27" s="221" t="s">
        <v>438</v>
      </c>
      <c r="B27" s="230"/>
      <c r="C27" s="269"/>
      <c r="D27" s="269"/>
      <c r="E27" s="270"/>
      <c r="F27" s="269"/>
      <c r="G27" s="269"/>
      <c r="H27" s="270"/>
      <c r="I27" s="270"/>
      <c r="J27" s="222"/>
      <c r="K27" s="204"/>
    </row>
    <row r="28" spans="1:11" ht="12" customHeight="1">
      <c r="A28" s="210" t="s">
        <v>418</v>
      </c>
      <c r="B28" s="229" t="s">
        <v>166</v>
      </c>
      <c r="C28" s="267"/>
      <c r="D28" s="267"/>
      <c r="E28" s="268">
        <f>IF(D28=0,0,C28/D28)</f>
        <v>0</v>
      </c>
      <c r="F28" s="267">
        <f>审定合并PL!H6/说明!J32*12</f>
        <v>0</v>
      </c>
      <c r="G28" s="267">
        <f>(审定合并BS!H59+审定合并BS!J59)/2</f>
        <v>0</v>
      </c>
      <c r="H28" s="268">
        <f>IF(G28=0,0,F28/G28)</f>
        <v>0</v>
      </c>
      <c r="I28" s="268">
        <f t="shared" ref="I28:I33" si="7">IF(E28=0,0,(H28-E28)/E28)</f>
        <v>0</v>
      </c>
      <c r="J28" s="211" t="str">
        <f t="shared" ref="J28:J33" si="8">IF(ABS(I28)&lt;20%,"",IF(ABS(I28)&lt;50%,"关注","显著"))</f>
        <v/>
      </c>
      <c r="K28" s="204"/>
    </row>
    <row r="29" spans="1:11" ht="12" customHeight="1">
      <c r="A29" s="210" t="s">
        <v>419</v>
      </c>
      <c r="B29" s="229" t="s">
        <v>167</v>
      </c>
      <c r="C29" s="267"/>
      <c r="D29" s="267"/>
      <c r="E29" s="268">
        <f>IF(D29=0,0,C29/D29)</f>
        <v>0</v>
      </c>
      <c r="F29" s="267">
        <f>审定合并PL!H6/说明!J32*12</f>
        <v>0</v>
      </c>
      <c r="G29" s="267">
        <f>(审定合并BS!H42+审定合并BS!J42)/2</f>
        <v>0</v>
      </c>
      <c r="H29" s="268">
        <f>IF(G29=0,0,F29/G29)</f>
        <v>0</v>
      </c>
      <c r="I29" s="268">
        <f t="shared" si="7"/>
        <v>0</v>
      </c>
      <c r="J29" s="211" t="str">
        <f t="shared" si="8"/>
        <v/>
      </c>
      <c r="K29" s="204"/>
    </row>
    <row r="30" spans="1:11" ht="12" customHeight="1">
      <c r="A30" s="210" t="s">
        <v>420</v>
      </c>
      <c r="B30" s="229" t="s">
        <v>168</v>
      </c>
      <c r="C30" s="267"/>
      <c r="D30" s="267"/>
      <c r="E30" s="268">
        <f>IF(D30=0,0,C30/D30)</f>
        <v>0</v>
      </c>
      <c r="F30" s="267">
        <f>审定合并PL!H6/说明!J32*12</f>
        <v>0</v>
      </c>
      <c r="G30" s="267">
        <f>(审定合并BS!H31+审定合并BS!J31)/2</f>
        <v>0</v>
      </c>
      <c r="H30" s="268">
        <f>IF(G30=0,0,F30/G30)</f>
        <v>0</v>
      </c>
      <c r="I30" s="268">
        <f t="shared" si="7"/>
        <v>0</v>
      </c>
      <c r="J30" s="211" t="str">
        <f t="shared" si="8"/>
        <v/>
      </c>
      <c r="K30" s="204"/>
    </row>
    <row r="31" spans="1:11" ht="12" customHeight="1">
      <c r="A31" s="210" t="s">
        <v>421</v>
      </c>
      <c r="B31" s="229" t="s">
        <v>435</v>
      </c>
      <c r="C31" s="267"/>
      <c r="D31" s="267"/>
      <c r="E31" s="325">
        <f>IF(D31=0,0,C31/D31)</f>
        <v>0</v>
      </c>
      <c r="F31" s="267">
        <f>审定合并PL!H6/说明!J32*12</f>
        <v>0</v>
      </c>
      <c r="G31" s="267">
        <f>(审定合并BS!H14+审定合并BS!J14)/2</f>
        <v>0</v>
      </c>
      <c r="H31" s="325">
        <f>IF(G31=0,0,F31/G31)</f>
        <v>0</v>
      </c>
      <c r="I31" s="268">
        <f t="shared" si="7"/>
        <v>0</v>
      </c>
      <c r="J31" s="211" t="str">
        <f t="shared" si="8"/>
        <v/>
      </c>
      <c r="K31" s="204"/>
    </row>
    <row r="32" spans="1:11" ht="12" customHeight="1">
      <c r="A32" s="210" t="s">
        <v>422</v>
      </c>
      <c r="B32" s="229" t="s">
        <v>169</v>
      </c>
      <c r="C32" s="267"/>
      <c r="D32" s="267"/>
      <c r="E32" s="325">
        <f>IF(D32=0,0,C32/D32)</f>
        <v>0</v>
      </c>
      <c r="F32" s="267">
        <f>母已审横向PL!D22/说明!J32*12</f>
        <v>0</v>
      </c>
      <c r="G32" s="267">
        <f>(审定合并BS!H24+审定合并BS!J24)/2</f>
        <v>0</v>
      </c>
      <c r="H32" s="325">
        <f>IF(G32=0,0,F32/G32)</f>
        <v>0</v>
      </c>
      <c r="I32" s="268">
        <f t="shared" si="7"/>
        <v>0</v>
      </c>
      <c r="J32" s="211" t="str">
        <f t="shared" si="8"/>
        <v/>
      </c>
      <c r="K32" s="204"/>
    </row>
    <row r="33" spans="1:11" ht="12" customHeight="1">
      <c r="A33" s="210" t="s">
        <v>423</v>
      </c>
      <c r="B33" s="229" t="s">
        <v>424</v>
      </c>
      <c r="C33" s="267"/>
      <c r="D33" s="267"/>
      <c r="E33" s="271">
        <f>SUM(C33:D33)</f>
        <v>0</v>
      </c>
      <c r="F33" s="267">
        <f>IF(H31&lt;&gt;0,365/H31,)</f>
        <v>0</v>
      </c>
      <c r="G33" s="267">
        <f>IF(H32&lt;&gt;0,365/H32,)</f>
        <v>0</v>
      </c>
      <c r="H33" s="271">
        <f>SUM(F33:G33)</f>
        <v>0</v>
      </c>
      <c r="I33" s="268">
        <f t="shared" si="7"/>
        <v>0</v>
      </c>
      <c r="J33" s="211" t="str">
        <f t="shared" si="8"/>
        <v/>
      </c>
      <c r="K33" s="204"/>
    </row>
    <row r="34" spans="1:11" ht="12" customHeight="1">
      <c r="A34" s="221" t="s">
        <v>440</v>
      </c>
      <c r="B34" s="230"/>
      <c r="C34" s="269"/>
      <c r="D34" s="269"/>
      <c r="E34" s="272"/>
      <c r="F34" s="269"/>
      <c r="G34" s="269"/>
      <c r="H34" s="272"/>
      <c r="I34" s="270"/>
      <c r="J34" s="222"/>
      <c r="K34" s="204"/>
    </row>
    <row r="35" spans="1:11" ht="12" customHeight="1">
      <c r="A35" s="210" t="s">
        <v>461</v>
      </c>
      <c r="B35" s="229" t="s">
        <v>462</v>
      </c>
      <c r="C35" s="267"/>
      <c r="D35" s="267"/>
      <c r="E35" s="268">
        <f t="shared" ref="E35:E40" si="9">IF(D35=0,0,C35/D35)</f>
        <v>0</v>
      </c>
      <c r="F35" s="267">
        <f>审定合并BS!H121</f>
        <v>0</v>
      </c>
      <c r="G35" s="267">
        <f>审定合并BS!J121</f>
        <v>0</v>
      </c>
      <c r="H35" s="268">
        <f t="shared" ref="H35:H40" si="10">IF(G35=0,0,F35/G35)</f>
        <v>0</v>
      </c>
      <c r="I35" s="268">
        <f t="shared" ref="I35:I40" si="11">IF(E35=0,0,(H35-E35)/E35)</f>
        <v>0</v>
      </c>
      <c r="J35" s="211" t="str">
        <f t="shared" ref="J35:J40" si="12">IF(ABS(I35)&lt;20%,"",IF(ABS(I35)&lt;50%,"关注","显著"))</f>
        <v/>
      </c>
      <c r="K35" s="204"/>
    </row>
    <row r="36" spans="1:11" ht="12" customHeight="1">
      <c r="A36" s="210" t="s">
        <v>463</v>
      </c>
      <c r="B36" s="229" t="s">
        <v>467</v>
      </c>
      <c r="C36" s="470"/>
      <c r="D36" s="267"/>
      <c r="E36" s="268">
        <f t="shared" si="9"/>
        <v>0</v>
      </c>
      <c r="F36" s="470"/>
      <c r="G36" s="267">
        <f>(审定合并BS!H59+审定合并BS!J59)/2</f>
        <v>0</v>
      </c>
      <c r="H36" s="268">
        <f t="shared" si="10"/>
        <v>0</v>
      </c>
      <c r="I36" s="268">
        <f t="shared" si="11"/>
        <v>0</v>
      </c>
      <c r="J36" s="211" t="str">
        <f t="shared" si="12"/>
        <v/>
      </c>
      <c r="K36" s="204"/>
    </row>
    <row r="37" spans="1:11" ht="12" customHeight="1">
      <c r="A37" s="210" t="s">
        <v>464</v>
      </c>
      <c r="B37" s="229" t="s">
        <v>465</v>
      </c>
      <c r="C37" s="470"/>
      <c r="D37" s="267"/>
      <c r="E37" s="268">
        <f t="shared" si="9"/>
        <v>0</v>
      </c>
      <c r="F37" s="470"/>
      <c r="G37" s="267">
        <f>F36</f>
        <v>0</v>
      </c>
      <c r="H37" s="268">
        <f t="shared" si="10"/>
        <v>0</v>
      </c>
      <c r="I37" s="268">
        <f t="shared" si="11"/>
        <v>0</v>
      </c>
      <c r="J37" s="211" t="str">
        <f t="shared" si="12"/>
        <v/>
      </c>
      <c r="K37" s="204"/>
    </row>
    <row r="38" spans="1:11" ht="12" customHeight="1">
      <c r="A38" s="210" t="s">
        <v>441</v>
      </c>
      <c r="B38" s="229" t="s">
        <v>442</v>
      </c>
      <c r="C38" s="470"/>
      <c r="D38" s="267"/>
      <c r="E38" s="268">
        <f t="shared" si="9"/>
        <v>0</v>
      </c>
      <c r="F38" s="470"/>
      <c r="G38" s="267">
        <f>审定合并BS!H59</f>
        <v>0</v>
      </c>
      <c r="H38" s="268">
        <f t="shared" si="10"/>
        <v>0</v>
      </c>
      <c r="I38" s="268">
        <f t="shared" si="11"/>
        <v>0</v>
      </c>
      <c r="J38" s="211" t="str">
        <f t="shared" si="12"/>
        <v/>
      </c>
      <c r="K38" s="204"/>
    </row>
    <row r="39" spans="1:11" ht="12" customHeight="1">
      <c r="A39" s="210" t="s">
        <v>443</v>
      </c>
      <c r="B39" s="229" t="s">
        <v>444</v>
      </c>
      <c r="C39" s="470"/>
      <c r="D39" s="267"/>
      <c r="E39" s="268">
        <f t="shared" si="9"/>
        <v>0</v>
      </c>
      <c r="F39" s="470"/>
      <c r="G39" s="267">
        <f>审定合并BS!H59</f>
        <v>0</v>
      </c>
      <c r="H39" s="268">
        <f t="shared" si="10"/>
        <v>0</v>
      </c>
      <c r="I39" s="268">
        <f t="shared" si="11"/>
        <v>0</v>
      </c>
      <c r="J39" s="211" t="str">
        <f t="shared" si="12"/>
        <v/>
      </c>
      <c r="K39" s="204"/>
    </row>
    <row r="40" spans="1:11" ht="12" customHeight="1">
      <c r="A40" s="210" t="s">
        <v>445</v>
      </c>
      <c r="B40" s="229" t="s">
        <v>446</v>
      </c>
      <c r="C40" s="267"/>
      <c r="D40" s="470"/>
      <c r="E40" s="268">
        <f t="shared" si="9"/>
        <v>0</v>
      </c>
      <c r="F40" s="267">
        <f>(审定合并BS!H42+审定合并BS!J42)/2</f>
        <v>0</v>
      </c>
      <c r="G40" s="470"/>
      <c r="H40" s="268">
        <f t="shared" si="10"/>
        <v>0</v>
      </c>
      <c r="I40" s="268">
        <f t="shared" si="11"/>
        <v>0</v>
      </c>
      <c r="J40" s="211" t="str">
        <f t="shared" si="12"/>
        <v/>
      </c>
      <c r="K40" s="204"/>
    </row>
    <row r="41" spans="1:11" ht="12" customHeight="1">
      <c r="A41" s="223" t="s">
        <v>439</v>
      </c>
      <c r="B41" s="230"/>
      <c r="C41" s="269"/>
      <c r="D41" s="269"/>
      <c r="E41" s="273"/>
      <c r="F41" s="269"/>
      <c r="G41" s="269"/>
      <c r="H41" s="270"/>
      <c r="I41" s="270"/>
      <c r="J41" s="222"/>
      <c r="K41" s="204"/>
    </row>
    <row r="42" spans="1:11" ht="12" customHeight="1">
      <c r="A42" s="212" t="s">
        <v>425</v>
      </c>
      <c r="B42" s="229" t="s">
        <v>426</v>
      </c>
      <c r="C42" s="267"/>
      <c r="D42" s="267"/>
      <c r="E42" s="268">
        <f>IF(D42=0,0,C42/D42)</f>
        <v>0</v>
      </c>
      <c r="F42" s="267">
        <f>审定合并CF!H31</f>
        <v>0</v>
      </c>
      <c r="G42" s="267">
        <f>审定合并BS!H92</f>
        <v>0</v>
      </c>
      <c r="H42" s="268">
        <f>IF(G42=0,0,F42/G42)</f>
        <v>0</v>
      </c>
      <c r="I42" s="268">
        <f>IF(E42=0,0,(H42-E42)/E42)</f>
        <v>0</v>
      </c>
      <c r="J42" s="211" t="str">
        <f>IF(ABS(I42)&lt;20%,"",IF(ABS(I42)&lt;50%,"关注","显著"))</f>
        <v/>
      </c>
      <c r="K42" s="204"/>
    </row>
    <row r="43" spans="1:11" ht="12" customHeight="1">
      <c r="A43" s="212" t="s">
        <v>427</v>
      </c>
      <c r="B43" s="229" t="s">
        <v>428</v>
      </c>
      <c r="C43" s="267"/>
      <c r="D43" s="267"/>
      <c r="E43" s="268">
        <f>IF(D43=0,0,C43/D43)</f>
        <v>0</v>
      </c>
      <c r="F43" s="267">
        <f>审定合并CF!H31</f>
        <v>0</v>
      </c>
      <c r="G43" s="267">
        <f>审定合并BS!H106</f>
        <v>0</v>
      </c>
      <c r="H43" s="268">
        <f>IF(G43=0,0,F43/G43)</f>
        <v>0</v>
      </c>
      <c r="I43" s="268">
        <f>IF(E43=0,0,(H43-E43)/E43)</f>
        <v>0</v>
      </c>
      <c r="J43" s="211" t="str">
        <f>IF(ABS(I43)&lt;20%,"",IF(ABS(I43)&lt;50%,"关注","显著"))</f>
        <v/>
      </c>
      <c r="K43" s="204"/>
    </row>
    <row r="44" spans="1:11" ht="12" customHeight="1">
      <c r="A44" s="213" t="s">
        <v>429</v>
      </c>
      <c r="B44" s="232" t="s">
        <v>430</v>
      </c>
      <c r="C44" s="274"/>
      <c r="D44" s="274"/>
      <c r="E44" s="275">
        <f>IF(D44=0,0,C44/D44)</f>
        <v>0</v>
      </c>
      <c r="F44" s="276">
        <f>审定合并CF!H31</f>
        <v>0</v>
      </c>
      <c r="G44" s="276">
        <f>审定合并PL!H44</f>
        <v>0</v>
      </c>
      <c r="H44" s="275">
        <f>IF(G44=0,0,F44/G44)</f>
        <v>0</v>
      </c>
      <c r="I44" s="275">
        <f>IF(E44=0,0,(H44-E44)/E44)</f>
        <v>0</v>
      </c>
      <c r="J44" s="214" t="str">
        <f>IF(ABS(I44)&lt;20%,"",IF(ABS(I44)&lt;50%,"关注","显著"))</f>
        <v/>
      </c>
      <c r="K44" s="204"/>
    </row>
    <row r="45" spans="1:11" ht="14.25" thickBot="1">
      <c r="A45" s="215" t="s">
        <v>431</v>
      </c>
      <c r="B45" s="233" t="s">
        <v>170</v>
      </c>
      <c r="C45" s="277"/>
      <c r="D45" s="277"/>
      <c r="E45" s="278">
        <f>IF(D45=0,0,C45/D45)</f>
        <v>0</v>
      </c>
      <c r="F45" s="279">
        <f>审定合并CF!H31</f>
        <v>0</v>
      </c>
      <c r="G45" s="279">
        <f>审定合并PL!H6</f>
        <v>0</v>
      </c>
      <c r="H45" s="278">
        <f>IF(G45=0,0,F45/G45)</f>
        <v>0</v>
      </c>
      <c r="I45" s="278">
        <f>IF(E45=0,0,(H45-E45)/E45)</f>
        <v>0</v>
      </c>
      <c r="J45" s="216" t="str">
        <f>IF(ABS(I45)&lt;20%,"",IF(ABS(I45)&lt;50%,"关注","显著"))</f>
        <v/>
      </c>
      <c r="K45" s="204"/>
    </row>
    <row r="46" spans="1:11">
      <c r="A46" s="204"/>
      <c r="B46" s="234"/>
      <c r="C46" s="207"/>
      <c r="D46" s="207"/>
      <c r="E46" s="206"/>
      <c r="F46" s="207"/>
      <c r="G46" s="207"/>
      <c r="H46" s="204"/>
      <c r="I46" s="204"/>
      <c r="J46" s="204"/>
      <c r="K46" s="204"/>
    </row>
    <row r="47" spans="1:11">
      <c r="A47" s="204" t="s">
        <v>741</v>
      </c>
      <c r="B47" s="234"/>
      <c r="C47" s="207"/>
      <c r="D47" s="207"/>
      <c r="E47" s="206"/>
      <c r="F47" s="207"/>
      <c r="G47" s="207"/>
      <c r="H47" s="204"/>
      <c r="I47" s="204"/>
      <c r="J47" s="204"/>
      <c r="K47" s="204"/>
    </row>
    <row r="48" spans="1:11" ht="12">
      <c r="A48" s="208" t="s">
        <v>742</v>
      </c>
      <c r="B48" s="234"/>
      <c r="C48" s="207"/>
      <c r="D48" s="207"/>
      <c r="E48" s="206"/>
      <c r="F48" s="207"/>
      <c r="G48" s="207"/>
      <c r="H48" s="204"/>
      <c r="I48" s="204"/>
      <c r="J48" s="204"/>
      <c r="K48" s="204"/>
    </row>
    <row r="49" spans="1:11" ht="12">
      <c r="A49" s="208" t="s">
        <v>743</v>
      </c>
      <c r="B49" s="234"/>
      <c r="C49" s="207"/>
      <c r="D49" s="207"/>
      <c r="E49" s="206"/>
      <c r="F49" s="207"/>
      <c r="G49" s="207"/>
      <c r="H49" s="204"/>
      <c r="I49" s="204"/>
      <c r="J49" s="204"/>
      <c r="K49" s="204"/>
    </row>
    <row r="50" spans="1:11" ht="12">
      <c r="A50" s="208" t="s">
        <v>744</v>
      </c>
      <c r="B50" s="234"/>
      <c r="C50" s="207"/>
      <c r="D50" s="207"/>
      <c r="E50" s="206"/>
      <c r="F50" s="207"/>
      <c r="G50" s="207"/>
      <c r="H50" s="204"/>
      <c r="I50" s="204"/>
      <c r="J50" s="204"/>
      <c r="K50" s="204"/>
    </row>
    <row r="51" spans="1:11">
      <c r="A51" s="204"/>
      <c r="B51" s="234"/>
      <c r="C51" s="207"/>
      <c r="D51" s="207"/>
      <c r="E51" s="206"/>
      <c r="F51" s="207"/>
      <c r="G51" s="207"/>
      <c r="H51" s="204"/>
      <c r="I51" s="204"/>
      <c r="J51" s="204"/>
      <c r="K51" s="204"/>
    </row>
    <row r="52" spans="1:11">
      <c r="A52" s="204"/>
      <c r="B52" s="234"/>
      <c r="C52" s="207"/>
      <c r="D52" s="207"/>
      <c r="E52" s="206"/>
      <c r="F52" s="207"/>
      <c r="G52" s="207"/>
      <c r="H52" s="204"/>
      <c r="I52" s="204"/>
      <c r="J52" s="204"/>
      <c r="K52" s="204"/>
    </row>
    <row r="53" spans="1:11">
      <c r="A53" s="204"/>
      <c r="B53" s="234"/>
      <c r="C53" s="207"/>
      <c r="D53" s="207"/>
      <c r="E53" s="206"/>
      <c r="F53" s="207"/>
      <c r="G53" s="207"/>
      <c r="H53" s="204"/>
      <c r="I53" s="204"/>
      <c r="J53" s="204"/>
      <c r="K53" s="204"/>
    </row>
    <row r="54" spans="1:11">
      <c r="A54" s="204"/>
      <c r="B54" s="234"/>
      <c r="C54" s="207"/>
      <c r="D54" s="207"/>
      <c r="E54" s="206"/>
      <c r="F54" s="207"/>
      <c r="G54" s="207"/>
      <c r="H54" s="204"/>
      <c r="I54" s="204"/>
      <c r="J54" s="204"/>
      <c r="K54" s="204"/>
    </row>
    <row r="55" spans="1:11">
      <c r="A55" s="204"/>
      <c r="B55" s="234"/>
      <c r="C55" s="207"/>
      <c r="D55" s="207"/>
      <c r="E55" s="206"/>
      <c r="F55" s="207"/>
      <c r="G55" s="207"/>
      <c r="H55" s="204"/>
      <c r="I55" s="204"/>
      <c r="J55" s="204"/>
      <c r="K55" s="204"/>
    </row>
    <row r="56" spans="1:11">
      <c r="A56" s="204"/>
      <c r="B56" s="234"/>
      <c r="C56" s="207"/>
      <c r="D56" s="207"/>
      <c r="E56" s="206"/>
      <c r="F56" s="207"/>
      <c r="G56" s="207"/>
      <c r="H56" s="204"/>
      <c r="I56" s="204"/>
      <c r="J56" s="204"/>
      <c r="K56" s="204"/>
    </row>
    <row r="57" spans="1:11">
      <c r="A57" s="204"/>
      <c r="B57" s="234"/>
      <c r="C57" s="207"/>
      <c r="D57" s="207"/>
      <c r="E57" s="206"/>
      <c r="F57" s="207"/>
      <c r="G57" s="207"/>
      <c r="H57" s="204"/>
      <c r="I57" s="204"/>
      <c r="J57" s="204"/>
      <c r="K57" s="204"/>
    </row>
    <row r="58" spans="1:11">
      <c r="A58" s="204"/>
      <c r="B58" s="234"/>
      <c r="C58" s="207"/>
      <c r="D58" s="207"/>
      <c r="E58" s="206"/>
      <c r="F58" s="207"/>
      <c r="G58" s="207"/>
      <c r="H58" s="204"/>
      <c r="I58" s="204"/>
      <c r="J58" s="204"/>
      <c r="K58" s="204"/>
    </row>
    <row r="59" spans="1:11">
      <c r="A59" s="204"/>
      <c r="B59" s="234"/>
      <c r="C59" s="207"/>
      <c r="D59" s="207"/>
      <c r="E59" s="206"/>
      <c r="F59" s="207"/>
      <c r="G59" s="207"/>
      <c r="H59" s="204"/>
      <c r="I59" s="204"/>
      <c r="J59" s="204"/>
      <c r="K59" s="204"/>
    </row>
    <row r="60" spans="1:11">
      <c r="A60" s="204"/>
      <c r="B60" s="234"/>
      <c r="C60" s="207"/>
      <c r="D60" s="207"/>
      <c r="E60" s="206"/>
      <c r="F60" s="207"/>
      <c r="G60" s="207"/>
      <c r="H60" s="204"/>
      <c r="I60" s="204"/>
      <c r="J60" s="204"/>
      <c r="K60" s="204"/>
    </row>
    <row r="61" spans="1:11">
      <c r="A61" s="204"/>
      <c r="B61" s="234"/>
      <c r="C61" s="207"/>
      <c r="D61" s="207"/>
      <c r="E61" s="206"/>
      <c r="F61" s="207"/>
      <c r="G61" s="207"/>
      <c r="H61" s="204"/>
      <c r="I61" s="204"/>
      <c r="J61" s="204"/>
      <c r="K61" s="204"/>
    </row>
    <row r="62" spans="1:11">
      <c r="A62" s="204"/>
      <c r="B62" s="234"/>
      <c r="C62" s="207"/>
      <c r="D62" s="207"/>
      <c r="E62" s="206"/>
      <c r="F62" s="207"/>
      <c r="G62" s="207"/>
      <c r="H62" s="204"/>
      <c r="I62" s="204"/>
      <c r="J62" s="204"/>
      <c r="K62" s="204"/>
    </row>
    <row r="63" spans="1:11">
      <c r="A63" s="204"/>
      <c r="B63" s="234"/>
      <c r="C63" s="207"/>
      <c r="D63" s="207"/>
      <c r="E63" s="206"/>
      <c r="F63" s="207"/>
      <c r="G63" s="207"/>
      <c r="H63" s="204"/>
      <c r="I63" s="204"/>
      <c r="J63" s="204"/>
      <c r="K63" s="204"/>
    </row>
    <row r="64" spans="1:11">
      <c r="A64" s="204"/>
      <c r="B64" s="234"/>
      <c r="C64" s="207"/>
      <c r="D64" s="207"/>
      <c r="E64" s="206"/>
      <c r="F64" s="207"/>
      <c r="G64" s="207"/>
      <c r="H64" s="204"/>
      <c r="I64" s="204"/>
      <c r="J64" s="204"/>
      <c r="K64" s="204"/>
    </row>
    <row r="65" spans="1:11">
      <c r="A65" s="204"/>
      <c r="B65" s="234"/>
      <c r="C65" s="207"/>
      <c r="D65" s="207"/>
      <c r="E65" s="206"/>
      <c r="F65" s="207"/>
      <c r="G65" s="207"/>
      <c r="H65" s="204"/>
      <c r="I65" s="204"/>
      <c r="J65" s="204"/>
      <c r="K65" s="204"/>
    </row>
    <row r="66" spans="1:11">
      <c r="A66" s="204"/>
      <c r="B66" s="234"/>
      <c r="C66" s="207"/>
      <c r="D66" s="207"/>
      <c r="E66" s="206"/>
      <c r="F66" s="207"/>
      <c r="G66" s="207"/>
      <c r="H66" s="204"/>
      <c r="I66" s="204"/>
      <c r="J66" s="204"/>
      <c r="K66" s="204"/>
    </row>
    <row r="67" spans="1:11">
      <c r="A67" s="204"/>
      <c r="B67" s="234"/>
      <c r="C67" s="207"/>
      <c r="D67" s="207"/>
      <c r="E67" s="206"/>
      <c r="F67" s="207"/>
      <c r="G67" s="207"/>
      <c r="H67" s="204"/>
      <c r="I67" s="204"/>
      <c r="J67" s="204"/>
      <c r="K67" s="204"/>
    </row>
    <row r="68" spans="1:11">
      <c r="A68" s="204"/>
      <c r="B68" s="234"/>
      <c r="C68" s="207"/>
      <c r="D68" s="207"/>
      <c r="E68" s="206"/>
      <c r="F68" s="207"/>
      <c r="G68" s="207"/>
      <c r="H68" s="204"/>
      <c r="I68" s="204"/>
      <c r="J68" s="204"/>
      <c r="K68" s="204"/>
    </row>
    <row r="69" spans="1:11">
      <c r="A69" s="204"/>
      <c r="B69" s="234"/>
      <c r="C69" s="207"/>
      <c r="D69" s="207"/>
      <c r="E69" s="206"/>
      <c r="F69" s="207"/>
      <c r="G69" s="207"/>
      <c r="H69" s="204"/>
      <c r="I69" s="204"/>
      <c r="J69" s="204"/>
      <c r="K69" s="204"/>
    </row>
    <row r="70" spans="1:11">
      <c r="A70" s="204"/>
      <c r="B70" s="234"/>
      <c r="C70" s="207"/>
      <c r="D70" s="207"/>
      <c r="E70" s="206"/>
      <c r="F70" s="207"/>
      <c r="G70" s="207"/>
      <c r="H70" s="204"/>
      <c r="I70" s="204"/>
      <c r="J70" s="204"/>
      <c r="K70" s="204"/>
    </row>
    <row r="71" spans="1:11">
      <c r="A71" s="204"/>
      <c r="B71" s="234"/>
      <c r="C71" s="207"/>
      <c r="D71" s="207"/>
      <c r="E71" s="206"/>
      <c r="F71" s="207"/>
      <c r="G71" s="207"/>
      <c r="H71" s="204"/>
      <c r="I71" s="204"/>
      <c r="J71" s="204"/>
      <c r="K71" s="204"/>
    </row>
    <row r="72" spans="1:11">
      <c r="A72" s="204"/>
      <c r="B72" s="234"/>
      <c r="C72" s="207"/>
      <c r="D72" s="207"/>
      <c r="E72" s="206"/>
      <c r="F72" s="207"/>
      <c r="G72" s="207"/>
      <c r="H72" s="204"/>
      <c r="I72" s="204"/>
      <c r="J72" s="204"/>
      <c r="K72" s="204"/>
    </row>
    <row r="73" spans="1:11">
      <c r="A73" s="204"/>
      <c r="B73" s="234"/>
      <c r="C73" s="207"/>
      <c r="D73" s="207"/>
      <c r="E73" s="206"/>
      <c r="F73" s="207"/>
      <c r="G73" s="207"/>
      <c r="H73" s="204"/>
      <c r="I73" s="204"/>
      <c r="J73" s="204"/>
      <c r="K73" s="204"/>
    </row>
    <row r="74" spans="1:11">
      <c r="A74" s="204"/>
      <c r="B74" s="234"/>
      <c r="C74" s="207"/>
      <c r="D74" s="207"/>
      <c r="E74" s="206"/>
      <c r="F74" s="207"/>
      <c r="G74" s="207"/>
      <c r="H74" s="204"/>
      <c r="I74" s="204"/>
      <c r="J74" s="204"/>
      <c r="K74" s="204"/>
    </row>
    <row r="75" spans="1:11">
      <c r="A75" s="204"/>
      <c r="B75" s="234"/>
      <c r="C75" s="207"/>
      <c r="D75" s="207"/>
      <c r="E75" s="206"/>
      <c r="F75" s="207"/>
      <c r="G75" s="207"/>
      <c r="H75" s="204"/>
      <c r="I75" s="204"/>
      <c r="J75" s="204"/>
      <c r="K75" s="204"/>
    </row>
    <row r="76" spans="1:11">
      <c r="A76" s="204"/>
      <c r="B76" s="234"/>
      <c r="C76" s="207"/>
      <c r="D76" s="207"/>
      <c r="E76" s="206"/>
      <c r="F76" s="207"/>
      <c r="G76" s="207"/>
      <c r="H76" s="204"/>
      <c r="I76" s="204"/>
      <c r="J76" s="204"/>
      <c r="K76" s="204"/>
    </row>
    <row r="77" spans="1:11">
      <c r="A77" s="204"/>
      <c r="B77" s="234"/>
      <c r="C77" s="207"/>
      <c r="D77" s="207"/>
      <c r="E77" s="206"/>
      <c r="F77" s="207"/>
      <c r="G77" s="207"/>
      <c r="H77" s="204"/>
      <c r="I77" s="204"/>
      <c r="J77" s="204"/>
      <c r="K77" s="204"/>
    </row>
    <row r="78" spans="1:11">
      <c r="A78" s="204"/>
      <c r="B78" s="234"/>
      <c r="C78" s="207"/>
      <c r="D78" s="207"/>
      <c r="E78" s="206"/>
      <c r="F78" s="207"/>
      <c r="G78" s="207"/>
      <c r="H78" s="204"/>
      <c r="I78" s="204"/>
      <c r="J78" s="204"/>
      <c r="K78" s="204"/>
    </row>
    <row r="79" spans="1:11">
      <c r="A79" s="204"/>
      <c r="B79" s="234"/>
      <c r="C79" s="207"/>
      <c r="D79" s="207"/>
      <c r="E79" s="206"/>
      <c r="F79" s="207"/>
      <c r="G79" s="207"/>
      <c r="H79" s="204"/>
      <c r="I79" s="204"/>
      <c r="J79" s="204"/>
      <c r="K79" s="204"/>
    </row>
    <row r="80" spans="1:11">
      <c r="A80" s="204"/>
      <c r="B80" s="234"/>
      <c r="C80" s="207"/>
      <c r="D80" s="207"/>
      <c r="E80" s="206"/>
      <c r="F80" s="207"/>
      <c r="G80" s="207"/>
      <c r="H80" s="204"/>
      <c r="I80" s="204"/>
      <c r="J80" s="204"/>
      <c r="K80" s="204"/>
    </row>
    <row r="81" spans="1:11">
      <c r="A81" s="204"/>
      <c r="B81" s="234"/>
      <c r="C81" s="207"/>
      <c r="D81" s="207"/>
      <c r="E81" s="206"/>
      <c r="F81" s="207"/>
      <c r="G81" s="207"/>
      <c r="H81" s="204"/>
      <c r="I81" s="204"/>
      <c r="J81" s="204"/>
      <c r="K81" s="204"/>
    </row>
    <row r="82" spans="1:11">
      <c r="A82" s="204"/>
      <c r="B82" s="234"/>
      <c r="C82" s="207"/>
      <c r="D82" s="207"/>
      <c r="E82" s="206"/>
      <c r="F82" s="207"/>
      <c r="G82" s="207"/>
      <c r="H82" s="204"/>
      <c r="I82" s="204"/>
      <c r="J82" s="204"/>
      <c r="K82" s="204"/>
    </row>
    <row r="83" spans="1:11">
      <c r="A83" s="204"/>
      <c r="B83" s="234"/>
      <c r="C83" s="207"/>
      <c r="D83" s="207"/>
      <c r="E83" s="206"/>
      <c r="F83" s="207"/>
      <c r="G83" s="207"/>
      <c r="H83" s="204"/>
      <c r="I83" s="204"/>
      <c r="J83" s="204"/>
      <c r="K83" s="204"/>
    </row>
    <row r="84" spans="1:11">
      <c r="A84" s="204"/>
      <c r="B84" s="234"/>
      <c r="C84" s="207"/>
      <c r="D84" s="207"/>
      <c r="E84" s="206"/>
      <c r="F84" s="207"/>
      <c r="G84" s="207"/>
      <c r="H84" s="204"/>
      <c r="I84" s="204"/>
      <c r="J84" s="204"/>
      <c r="K84" s="204"/>
    </row>
    <row r="85" spans="1:11">
      <c r="A85" s="204"/>
      <c r="B85" s="234"/>
      <c r="C85" s="207"/>
      <c r="D85" s="207"/>
      <c r="E85" s="206"/>
      <c r="F85" s="207"/>
      <c r="G85" s="207"/>
      <c r="H85" s="204"/>
      <c r="I85" s="204"/>
      <c r="J85" s="204"/>
      <c r="K85" s="204"/>
    </row>
    <row r="86" spans="1:11">
      <c r="A86" s="204"/>
      <c r="B86" s="234"/>
      <c r="C86" s="207"/>
      <c r="D86" s="207"/>
      <c r="E86" s="206"/>
      <c r="F86" s="207"/>
      <c r="G86" s="207"/>
      <c r="H86" s="204"/>
      <c r="I86" s="204"/>
      <c r="J86" s="204"/>
      <c r="K86" s="204"/>
    </row>
    <row r="87" spans="1:11">
      <c r="A87" s="204"/>
      <c r="B87" s="234"/>
      <c r="C87" s="207"/>
      <c r="D87" s="207"/>
      <c r="E87" s="206"/>
      <c r="F87" s="207"/>
      <c r="G87" s="207"/>
      <c r="H87" s="204"/>
      <c r="I87" s="204"/>
      <c r="J87" s="204"/>
      <c r="K87" s="204"/>
    </row>
    <row r="88" spans="1:11">
      <c r="A88" s="204"/>
      <c r="B88" s="234"/>
      <c r="C88" s="207"/>
      <c r="D88" s="207"/>
      <c r="E88" s="206"/>
      <c r="F88" s="207"/>
      <c r="G88" s="207"/>
      <c r="H88" s="204"/>
      <c r="I88" s="204"/>
      <c r="J88" s="204"/>
      <c r="K88" s="204"/>
    </row>
    <row r="89" spans="1:11">
      <c r="A89" s="204"/>
      <c r="B89" s="234"/>
      <c r="C89" s="207"/>
      <c r="D89" s="207"/>
      <c r="E89" s="206"/>
      <c r="F89" s="207"/>
      <c r="G89" s="207"/>
      <c r="H89" s="204"/>
      <c r="I89" s="204"/>
      <c r="J89" s="204"/>
      <c r="K89" s="204"/>
    </row>
    <row r="90" spans="1:11">
      <c r="A90" s="204"/>
      <c r="B90" s="234"/>
      <c r="C90" s="207"/>
      <c r="D90" s="207"/>
      <c r="E90" s="206"/>
      <c r="F90" s="207"/>
      <c r="G90" s="207"/>
      <c r="H90" s="204"/>
      <c r="I90" s="204"/>
      <c r="J90" s="204"/>
      <c r="K90" s="204"/>
    </row>
    <row r="91" spans="1:11">
      <c r="A91" s="204"/>
      <c r="B91" s="234"/>
      <c r="C91" s="207"/>
      <c r="D91" s="207"/>
      <c r="E91" s="206"/>
      <c r="F91" s="207"/>
      <c r="G91" s="207"/>
      <c r="H91" s="204"/>
      <c r="I91" s="204"/>
      <c r="J91" s="204"/>
      <c r="K91" s="204"/>
    </row>
    <row r="92" spans="1:11">
      <c r="A92" s="204"/>
      <c r="B92" s="234"/>
      <c r="C92" s="207"/>
      <c r="D92" s="207"/>
      <c r="E92" s="206"/>
      <c r="F92" s="207"/>
      <c r="G92" s="207"/>
      <c r="H92" s="204"/>
      <c r="I92" s="204"/>
      <c r="J92" s="204"/>
      <c r="K92" s="204"/>
    </row>
    <row r="93" spans="1:11">
      <c r="A93" s="204"/>
      <c r="B93" s="234"/>
      <c r="C93" s="207"/>
      <c r="D93" s="207"/>
      <c r="E93" s="206"/>
      <c r="F93" s="207"/>
      <c r="G93" s="207"/>
      <c r="H93" s="204"/>
      <c r="I93" s="204"/>
      <c r="J93" s="204"/>
      <c r="K93" s="204"/>
    </row>
    <row r="94" spans="1:11">
      <c r="A94" s="204"/>
      <c r="B94" s="234"/>
      <c r="C94" s="207"/>
      <c r="D94" s="207"/>
      <c r="E94" s="206"/>
      <c r="F94" s="207"/>
      <c r="G94" s="207"/>
      <c r="H94" s="204"/>
      <c r="I94" s="204"/>
      <c r="J94" s="204"/>
      <c r="K94" s="204"/>
    </row>
    <row r="95" spans="1:11">
      <c r="A95" s="204"/>
      <c r="B95" s="234"/>
      <c r="C95" s="207"/>
      <c r="D95" s="207"/>
      <c r="E95" s="206"/>
      <c r="F95" s="207"/>
      <c r="G95" s="207"/>
      <c r="H95" s="204"/>
      <c r="I95" s="204"/>
      <c r="J95" s="204"/>
      <c r="K95" s="204"/>
    </row>
    <row r="96" spans="1:11">
      <c r="A96" s="204"/>
      <c r="B96" s="234"/>
      <c r="C96" s="207"/>
      <c r="D96" s="207"/>
      <c r="E96" s="206"/>
      <c r="F96" s="207"/>
      <c r="G96" s="207"/>
      <c r="H96" s="204"/>
      <c r="I96" s="204"/>
      <c r="J96" s="204"/>
      <c r="K96" s="204"/>
    </row>
    <row r="97" spans="1:11">
      <c r="A97" s="204"/>
      <c r="B97" s="234"/>
      <c r="C97" s="207"/>
      <c r="D97" s="207"/>
      <c r="E97" s="206"/>
      <c r="F97" s="207"/>
      <c r="G97" s="207"/>
      <c r="H97" s="204"/>
      <c r="I97" s="204"/>
      <c r="J97" s="204"/>
      <c r="K97" s="204"/>
    </row>
    <row r="98" spans="1:11">
      <c r="A98" s="204"/>
      <c r="B98" s="234"/>
      <c r="C98" s="207"/>
      <c r="D98" s="207"/>
      <c r="E98" s="206"/>
      <c r="F98" s="207"/>
      <c r="G98" s="207"/>
      <c r="H98" s="204"/>
      <c r="I98" s="204"/>
      <c r="J98" s="204"/>
      <c r="K98" s="204"/>
    </row>
    <row r="99" spans="1:11">
      <c r="A99" s="204"/>
      <c r="B99" s="234"/>
      <c r="C99" s="207"/>
      <c r="D99" s="207"/>
      <c r="E99" s="206"/>
      <c r="F99" s="207"/>
      <c r="G99" s="207"/>
      <c r="H99" s="204"/>
      <c r="I99" s="204"/>
      <c r="J99" s="204"/>
      <c r="K99" s="204"/>
    </row>
    <row r="100" spans="1:11">
      <c r="A100" s="204"/>
      <c r="B100" s="234"/>
      <c r="C100" s="207"/>
      <c r="D100" s="207"/>
      <c r="E100" s="206"/>
      <c r="F100" s="207"/>
      <c r="G100" s="207"/>
      <c r="H100" s="204"/>
      <c r="I100" s="204"/>
      <c r="J100" s="204"/>
      <c r="K100" s="204"/>
    </row>
    <row r="101" spans="1:11">
      <c r="A101" s="204"/>
      <c r="B101" s="234"/>
      <c r="C101" s="207"/>
      <c r="D101" s="207"/>
      <c r="E101" s="206"/>
      <c r="F101" s="207"/>
      <c r="G101" s="207"/>
      <c r="H101" s="204"/>
      <c r="I101" s="204"/>
      <c r="J101" s="204"/>
      <c r="K101" s="204"/>
    </row>
    <row r="102" spans="1:11">
      <c r="A102" s="204"/>
      <c r="B102" s="234"/>
      <c r="C102" s="207"/>
      <c r="D102" s="207"/>
      <c r="E102" s="206"/>
      <c r="F102" s="207"/>
      <c r="G102" s="207"/>
      <c r="H102" s="204"/>
      <c r="I102" s="204"/>
      <c r="J102" s="204"/>
      <c r="K102" s="204"/>
    </row>
    <row r="103" spans="1:11">
      <c r="A103" s="204"/>
      <c r="B103" s="234"/>
      <c r="C103" s="207"/>
      <c r="D103" s="207"/>
      <c r="E103" s="206"/>
      <c r="F103" s="207"/>
      <c r="G103" s="207"/>
      <c r="H103" s="204"/>
      <c r="I103" s="204"/>
      <c r="J103" s="204"/>
      <c r="K103" s="204"/>
    </row>
    <row r="104" spans="1:11">
      <c r="A104" s="204"/>
      <c r="B104" s="234"/>
      <c r="C104" s="207"/>
      <c r="D104" s="207"/>
      <c r="E104" s="206"/>
      <c r="F104" s="207"/>
      <c r="G104" s="207"/>
      <c r="H104" s="204"/>
      <c r="I104" s="204"/>
      <c r="J104" s="204"/>
      <c r="K104" s="204"/>
    </row>
    <row r="105" spans="1:11">
      <c r="A105" s="204"/>
      <c r="B105" s="234"/>
      <c r="C105" s="207"/>
      <c r="D105" s="207"/>
      <c r="E105" s="206"/>
      <c r="F105" s="207"/>
      <c r="G105" s="207"/>
      <c r="H105" s="204"/>
      <c r="I105" s="204"/>
      <c r="J105" s="204"/>
      <c r="K105" s="204"/>
    </row>
    <row r="106" spans="1:11">
      <c r="A106" s="204"/>
      <c r="B106" s="234"/>
      <c r="C106" s="207"/>
      <c r="D106" s="207"/>
      <c r="E106" s="206"/>
      <c r="F106" s="207"/>
      <c r="G106" s="207"/>
      <c r="H106" s="204"/>
      <c r="I106" s="204"/>
      <c r="J106" s="204"/>
      <c r="K106" s="204"/>
    </row>
    <row r="107" spans="1:11">
      <c r="A107" s="204"/>
      <c r="B107" s="234"/>
      <c r="C107" s="207"/>
      <c r="D107" s="207"/>
      <c r="E107" s="206"/>
      <c r="F107" s="207"/>
      <c r="G107" s="207"/>
      <c r="H107" s="204"/>
      <c r="I107" s="204"/>
      <c r="J107" s="204"/>
      <c r="K107" s="204"/>
    </row>
    <row r="108" spans="1:11">
      <c r="A108" s="204"/>
      <c r="B108" s="234"/>
      <c r="C108" s="207"/>
      <c r="D108" s="207"/>
      <c r="E108" s="206"/>
      <c r="F108" s="207"/>
      <c r="G108" s="207"/>
      <c r="H108" s="204"/>
      <c r="I108" s="204"/>
      <c r="J108" s="204"/>
      <c r="K108" s="204"/>
    </row>
    <row r="109" spans="1:11">
      <c r="A109" s="204"/>
      <c r="B109" s="234"/>
      <c r="C109" s="207"/>
      <c r="D109" s="207"/>
      <c r="E109" s="206"/>
      <c r="F109" s="207"/>
      <c r="G109" s="207"/>
      <c r="H109" s="204"/>
      <c r="I109" s="204"/>
      <c r="J109" s="204"/>
      <c r="K109" s="204"/>
    </row>
    <row r="110" spans="1:11">
      <c r="A110" s="204"/>
      <c r="B110" s="234"/>
      <c r="C110" s="207"/>
      <c r="D110" s="207"/>
      <c r="E110" s="206"/>
      <c r="F110" s="207"/>
      <c r="G110" s="207"/>
      <c r="H110" s="204"/>
      <c r="I110" s="204"/>
      <c r="J110" s="204"/>
      <c r="K110" s="204"/>
    </row>
    <row r="111" spans="1:11">
      <c r="A111" s="204"/>
      <c r="B111" s="234"/>
      <c r="C111" s="207"/>
      <c r="D111" s="207"/>
      <c r="E111" s="206"/>
      <c r="F111" s="207"/>
      <c r="G111" s="207"/>
      <c r="H111" s="204"/>
      <c r="I111" s="204"/>
      <c r="J111" s="204"/>
      <c r="K111" s="204"/>
    </row>
    <row r="112" spans="1:11">
      <c r="A112" s="204"/>
      <c r="B112" s="234"/>
      <c r="C112" s="207"/>
      <c r="D112" s="207"/>
      <c r="E112" s="206"/>
      <c r="F112" s="207"/>
      <c r="G112" s="207"/>
      <c r="H112" s="204"/>
      <c r="I112" s="204"/>
      <c r="J112" s="204"/>
      <c r="K112" s="204"/>
    </row>
    <row r="113" spans="1:11">
      <c r="A113" s="204"/>
      <c r="B113" s="234"/>
      <c r="C113" s="207"/>
      <c r="D113" s="207"/>
      <c r="E113" s="206"/>
      <c r="F113" s="207"/>
      <c r="G113" s="207"/>
      <c r="H113" s="204"/>
      <c r="I113" s="204"/>
      <c r="J113" s="204"/>
      <c r="K113" s="204"/>
    </row>
    <row r="114" spans="1:11">
      <c r="A114" s="204"/>
      <c r="B114" s="234"/>
      <c r="C114" s="207"/>
      <c r="D114" s="207"/>
      <c r="E114" s="206"/>
      <c r="F114" s="207"/>
      <c r="G114" s="207"/>
      <c r="H114" s="204"/>
      <c r="I114" s="204"/>
      <c r="J114" s="204"/>
      <c r="K114" s="204"/>
    </row>
    <row r="115" spans="1:11">
      <c r="A115" s="204"/>
      <c r="B115" s="234"/>
      <c r="C115" s="207"/>
      <c r="D115" s="207"/>
      <c r="E115" s="206"/>
      <c r="F115" s="207"/>
      <c r="G115" s="207"/>
      <c r="H115" s="204"/>
      <c r="I115" s="204"/>
      <c r="J115" s="204"/>
      <c r="K115" s="204"/>
    </row>
    <row r="116" spans="1:11">
      <c r="A116" s="204"/>
      <c r="B116" s="234"/>
      <c r="C116" s="207"/>
      <c r="D116" s="207"/>
      <c r="E116" s="206"/>
      <c r="F116" s="207"/>
      <c r="G116" s="207"/>
      <c r="H116" s="204"/>
      <c r="I116" s="204"/>
      <c r="J116" s="204"/>
      <c r="K116" s="204"/>
    </row>
    <row r="117" spans="1:11">
      <c r="A117" s="204"/>
      <c r="B117" s="234"/>
      <c r="C117" s="207"/>
      <c r="D117" s="207"/>
      <c r="E117" s="206"/>
      <c r="F117" s="207"/>
      <c r="G117" s="207"/>
      <c r="H117" s="204"/>
      <c r="I117" s="204"/>
      <c r="J117" s="204"/>
      <c r="K117" s="204"/>
    </row>
    <row r="118" spans="1:11">
      <c r="E118" s="206"/>
      <c r="F118" s="207"/>
      <c r="G118" s="207"/>
      <c r="H118" s="204"/>
      <c r="I118" s="204"/>
      <c r="J118" s="204"/>
    </row>
    <row r="119" spans="1:11">
      <c r="E119" s="206"/>
      <c r="F119" s="207"/>
      <c r="G119" s="207"/>
      <c r="H119" s="204"/>
      <c r="I119" s="204"/>
      <c r="J119" s="204"/>
    </row>
    <row r="120" spans="1:11">
      <c r="E120" s="206"/>
      <c r="F120" s="207"/>
      <c r="G120" s="207"/>
      <c r="H120" s="204"/>
      <c r="I120" s="204"/>
      <c r="J120" s="204"/>
    </row>
    <row r="121" spans="1:11">
      <c r="E121" s="206"/>
      <c r="F121" s="207"/>
      <c r="G121" s="207"/>
      <c r="H121" s="204"/>
      <c r="I121" s="204"/>
      <c r="J121" s="204"/>
    </row>
    <row r="122" spans="1:11">
      <c r="E122" s="206"/>
      <c r="F122" s="207"/>
      <c r="G122" s="207"/>
      <c r="H122" s="204"/>
      <c r="I122" s="204"/>
      <c r="J122" s="204"/>
    </row>
    <row r="123" spans="1:11">
      <c r="E123" s="206"/>
      <c r="F123" s="207"/>
      <c r="G123" s="207"/>
      <c r="H123" s="204"/>
      <c r="I123" s="204"/>
      <c r="J123" s="204"/>
    </row>
    <row r="124" spans="1:11">
      <c r="E124" s="206"/>
      <c r="F124" s="207"/>
      <c r="G124" s="207"/>
      <c r="H124" s="204"/>
      <c r="I124" s="204"/>
      <c r="J124" s="204"/>
    </row>
    <row r="125" spans="1:11">
      <c r="E125" s="206"/>
      <c r="F125" s="207"/>
      <c r="G125" s="207"/>
      <c r="H125" s="204"/>
      <c r="I125" s="204"/>
      <c r="J125" s="204"/>
    </row>
    <row r="126" spans="1:11">
      <c r="E126" s="206"/>
      <c r="F126" s="207"/>
      <c r="G126" s="207"/>
      <c r="H126" s="204"/>
      <c r="I126" s="204"/>
      <c r="J126" s="204"/>
    </row>
    <row r="127" spans="1:11">
      <c r="E127" s="206"/>
      <c r="F127" s="207"/>
      <c r="G127" s="207"/>
      <c r="H127" s="204"/>
      <c r="I127" s="204"/>
      <c r="J127" s="204"/>
    </row>
    <row r="128" spans="1:11">
      <c r="E128" s="206"/>
      <c r="F128" s="207"/>
      <c r="G128" s="207"/>
      <c r="H128" s="204"/>
      <c r="I128" s="204"/>
      <c r="J128" s="204"/>
    </row>
    <row r="129" spans="5:10">
      <c r="E129" s="206"/>
      <c r="F129" s="207"/>
      <c r="G129" s="207"/>
      <c r="H129" s="204"/>
      <c r="I129" s="204"/>
      <c r="J129" s="204"/>
    </row>
    <row r="130" spans="5:10">
      <c r="E130" s="206"/>
      <c r="F130" s="207"/>
      <c r="G130" s="207"/>
      <c r="H130" s="204"/>
      <c r="I130" s="204"/>
      <c r="J130" s="204"/>
    </row>
    <row r="131" spans="5:10">
      <c r="E131" s="206"/>
      <c r="F131" s="207"/>
      <c r="G131" s="207"/>
      <c r="H131" s="204"/>
      <c r="I131" s="204"/>
      <c r="J131" s="204"/>
    </row>
    <row r="132" spans="5:10">
      <c r="E132" s="206"/>
      <c r="F132" s="207"/>
      <c r="G132" s="207"/>
      <c r="H132" s="204"/>
      <c r="I132" s="204"/>
      <c r="J132" s="204"/>
    </row>
    <row r="133" spans="5:10">
      <c r="E133" s="206"/>
      <c r="F133" s="207"/>
      <c r="G133" s="207"/>
      <c r="H133" s="204"/>
      <c r="I133" s="204"/>
      <c r="J133" s="204"/>
    </row>
    <row r="134" spans="5:10">
      <c r="E134" s="206"/>
      <c r="F134" s="207"/>
      <c r="G134" s="207"/>
      <c r="H134" s="204"/>
      <c r="I134" s="204"/>
      <c r="J134" s="204"/>
    </row>
    <row r="135" spans="5:10">
      <c r="E135" s="206"/>
      <c r="F135" s="207"/>
      <c r="G135" s="207"/>
      <c r="H135" s="204"/>
      <c r="I135" s="204"/>
      <c r="J135" s="204"/>
    </row>
    <row r="136" spans="5:10">
      <c r="E136" s="206"/>
      <c r="F136" s="207"/>
      <c r="G136" s="207"/>
      <c r="H136" s="204"/>
      <c r="I136" s="204"/>
      <c r="J136" s="204"/>
    </row>
    <row r="137" spans="5:10">
      <c r="E137" s="206"/>
      <c r="F137" s="207"/>
      <c r="G137" s="207"/>
      <c r="H137" s="204"/>
      <c r="I137" s="204"/>
      <c r="J137" s="204"/>
    </row>
    <row r="138" spans="5:10">
      <c r="E138" s="206"/>
      <c r="F138" s="207"/>
      <c r="G138" s="207"/>
      <c r="H138" s="204"/>
      <c r="I138" s="204"/>
      <c r="J138" s="204"/>
    </row>
    <row r="139" spans="5:10">
      <c r="E139" s="206"/>
      <c r="F139" s="207"/>
      <c r="G139" s="207"/>
      <c r="H139" s="204"/>
      <c r="I139" s="204"/>
      <c r="J139" s="204"/>
    </row>
    <row r="140" spans="5:10">
      <c r="E140" s="206"/>
      <c r="F140" s="207"/>
      <c r="G140" s="207"/>
      <c r="H140" s="204"/>
      <c r="I140" s="204"/>
      <c r="J140" s="204"/>
    </row>
    <row r="141" spans="5:10">
      <c r="E141" s="206"/>
      <c r="F141" s="207"/>
      <c r="G141" s="207"/>
      <c r="H141" s="204"/>
      <c r="I141" s="204"/>
      <c r="J141" s="204"/>
    </row>
    <row r="142" spans="5:10">
      <c r="E142" s="206"/>
      <c r="F142" s="207"/>
      <c r="G142" s="207"/>
      <c r="H142" s="204"/>
      <c r="I142" s="204"/>
      <c r="J142" s="204"/>
    </row>
    <row r="143" spans="5:10">
      <c r="E143" s="206"/>
      <c r="F143" s="207"/>
      <c r="G143" s="207"/>
      <c r="H143" s="204"/>
      <c r="I143" s="204"/>
      <c r="J143" s="204"/>
    </row>
    <row r="144" spans="5:10">
      <c r="E144" s="206"/>
      <c r="F144" s="207"/>
      <c r="G144" s="207"/>
      <c r="H144" s="204"/>
      <c r="I144" s="204"/>
      <c r="J144" s="204"/>
    </row>
    <row r="145" spans="5:10">
      <c r="E145" s="206"/>
      <c r="F145" s="207"/>
      <c r="G145" s="207"/>
      <c r="H145" s="204"/>
      <c r="I145" s="204"/>
      <c r="J145" s="204"/>
    </row>
    <row r="146" spans="5:10">
      <c r="E146" s="206"/>
      <c r="F146" s="207"/>
      <c r="G146" s="207"/>
      <c r="H146" s="204"/>
      <c r="I146" s="204"/>
      <c r="J146" s="204"/>
    </row>
    <row r="147" spans="5:10">
      <c r="E147" s="206"/>
      <c r="F147" s="207"/>
      <c r="G147" s="207"/>
      <c r="H147" s="204"/>
      <c r="I147" s="204"/>
      <c r="J147" s="204"/>
    </row>
    <row r="148" spans="5:10">
      <c r="E148" s="206"/>
      <c r="F148" s="207"/>
      <c r="G148" s="207"/>
      <c r="H148" s="204"/>
      <c r="I148" s="204"/>
      <c r="J148" s="204"/>
    </row>
    <row r="149" spans="5:10">
      <c r="E149" s="206"/>
      <c r="F149" s="207"/>
      <c r="G149" s="207"/>
      <c r="H149" s="204"/>
      <c r="I149" s="204"/>
      <c r="J149" s="204"/>
    </row>
    <row r="150" spans="5:10">
      <c r="E150" s="206"/>
      <c r="F150" s="207"/>
      <c r="G150" s="207"/>
      <c r="H150" s="204"/>
      <c r="I150" s="204"/>
      <c r="J150" s="204"/>
    </row>
    <row r="151" spans="5:10">
      <c r="E151" s="206"/>
      <c r="F151" s="207"/>
      <c r="G151" s="207"/>
      <c r="H151" s="204"/>
      <c r="I151" s="204"/>
      <c r="J151" s="204"/>
    </row>
    <row r="152" spans="5:10">
      <c r="E152" s="206"/>
      <c r="F152" s="207"/>
      <c r="G152" s="207"/>
      <c r="H152" s="204"/>
      <c r="I152" s="204"/>
      <c r="J152" s="204"/>
    </row>
    <row r="153" spans="5:10">
      <c r="E153" s="206"/>
      <c r="F153" s="207"/>
      <c r="G153" s="207"/>
      <c r="H153" s="204"/>
      <c r="I153" s="204"/>
      <c r="J153" s="204"/>
    </row>
    <row r="154" spans="5:10">
      <c r="E154" s="206"/>
      <c r="F154" s="207"/>
      <c r="G154" s="207"/>
      <c r="H154" s="204"/>
      <c r="I154" s="204"/>
      <c r="J154" s="204"/>
    </row>
    <row r="155" spans="5:10">
      <c r="E155" s="206"/>
      <c r="F155" s="207"/>
      <c r="G155" s="207"/>
      <c r="H155" s="204"/>
      <c r="I155" s="204"/>
      <c r="J155" s="204"/>
    </row>
    <row r="156" spans="5:10">
      <c r="E156" s="206"/>
      <c r="F156" s="207"/>
      <c r="G156" s="207"/>
      <c r="H156" s="204"/>
      <c r="I156" s="204"/>
      <c r="J156" s="204"/>
    </row>
    <row r="157" spans="5:10">
      <c r="E157" s="206"/>
      <c r="F157" s="207"/>
      <c r="G157" s="207"/>
      <c r="H157" s="204"/>
      <c r="I157" s="204"/>
      <c r="J157" s="204"/>
    </row>
    <row r="158" spans="5:10">
      <c r="E158" s="206"/>
      <c r="F158" s="207"/>
      <c r="G158" s="207"/>
      <c r="H158" s="204"/>
      <c r="I158" s="204"/>
      <c r="J158" s="204"/>
    </row>
    <row r="159" spans="5:10">
      <c r="E159" s="206"/>
      <c r="F159" s="207"/>
      <c r="G159" s="207"/>
      <c r="H159" s="204"/>
      <c r="I159" s="204"/>
      <c r="J159" s="204"/>
    </row>
    <row r="160" spans="5:10">
      <c r="E160" s="206"/>
      <c r="F160" s="207"/>
      <c r="G160" s="207"/>
      <c r="H160" s="204"/>
      <c r="I160" s="204"/>
      <c r="J160" s="204"/>
    </row>
    <row r="161" spans="5:10">
      <c r="E161" s="206"/>
      <c r="F161" s="207"/>
      <c r="G161" s="207"/>
      <c r="H161" s="204"/>
      <c r="I161" s="204"/>
      <c r="J161" s="204"/>
    </row>
    <row r="162" spans="5:10">
      <c r="E162" s="206"/>
      <c r="F162" s="207"/>
      <c r="G162" s="207"/>
      <c r="H162" s="204"/>
      <c r="I162" s="204"/>
      <c r="J162" s="204"/>
    </row>
    <row r="163" spans="5:10">
      <c r="E163" s="206"/>
      <c r="F163" s="207"/>
      <c r="G163" s="207"/>
      <c r="H163" s="204"/>
      <c r="I163" s="204"/>
      <c r="J163" s="204"/>
    </row>
    <row r="164" spans="5:10">
      <c r="E164" s="206"/>
      <c r="F164" s="207"/>
      <c r="G164" s="207"/>
      <c r="H164" s="204"/>
      <c r="I164" s="204"/>
      <c r="J164" s="204"/>
    </row>
    <row r="165" spans="5:10">
      <c r="E165" s="206"/>
      <c r="F165" s="207"/>
      <c r="G165" s="207"/>
      <c r="H165" s="204"/>
      <c r="I165" s="204"/>
      <c r="J165" s="204"/>
    </row>
    <row r="166" spans="5:10">
      <c r="E166" s="206"/>
      <c r="F166" s="207"/>
      <c r="G166" s="207"/>
      <c r="H166" s="204"/>
      <c r="I166" s="204"/>
      <c r="J166" s="204"/>
    </row>
    <row r="167" spans="5:10">
      <c r="E167" s="206"/>
      <c r="F167" s="207"/>
      <c r="G167" s="207"/>
      <c r="H167" s="204"/>
      <c r="I167" s="204"/>
      <c r="J167" s="204"/>
    </row>
    <row r="168" spans="5:10">
      <c r="E168" s="206"/>
      <c r="F168" s="207"/>
      <c r="G168" s="207"/>
      <c r="H168" s="204"/>
      <c r="I168" s="204"/>
      <c r="J168" s="204"/>
    </row>
    <row r="169" spans="5:10">
      <c r="E169" s="206"/>
      <c r="F169" s="207"/>
      <c r="G169" s="207"/>
      <c r="H169" s="204"/>
      <c r="I169" s="204"/>
      <c r="J169" s="204"/>
    </row>
    <row r="170" spans="5:10">
      <c r="E170" s="206"/>
      <c r="F170" s="207"/>
      <c r="G170" s="207"/>
      <c r="H170" s="204"/>
      <c r="I170" s="204"/>
      <c r="J170" s="204"/>
    </row>
    <row r="171" spans="5:10">
      <c r="E171" s="206"/>
      <c r="F171" s="207"/>
      <c r="G171" s="207"/>
      <c r="H171" s="204"/>
      <c r="I171" s="204"/>
      <c r="J171" s="204"/>
    </row>
    <row r="172" spans="5:10">
      <c r="E172" s="206"/>
      <c r="F172" s="207"/>
      <c r="G172" s="207"/>
      <c r="H172" s="204"/>
      <c r="I172" s="204"/>
      <c r="J172" s="204"/>
    </row>
    <row r="173" spans="5:10">
      <c r="E173" s="206"/>
      <c r="F173" s="207"/>
      <c r="G173" s="207"/>
      <c r="H173" s="204"/>
      <c r="I173" s="204"/>
      <c r="J173" s="204"/>
    </row>
    <row r="174" spans="5:10">
      <c r="E174" s="206"/>
      <c r="F174" s="207"/>
      <c r="G174" s="207"/>
      <c r="H174" s="204"/>
      <c r="I174" s="204"/>
      <c r="J174" s="204"/>
    </row>
    <row r="175" spans="5:10">
      <c r="E175" s="206"/>
      <c r="F175" s="207"/>
      <c r="G175" s="207"/>
      <c r="H175" s="204"/>
      <c r="I175" s="204"/>
      <c r="J175" s="204"/>
    </row>
    <row r="176" spans="5:10">
      <c r="E176" s="206"/>
      <c r="F176" s="207"/>
      <c r="G176" s="207"/>
      <c r="H176" s="204"/>
      <c r="I176" s="204"/>
      <c r="J176" s="204"/>
    </row>
    <row r="177" spans="5:10">
      <c r="E177" s="206"/>
      <c r="F177" s="207"/>
      <c r="G177" s="207"/>
      <c r="H177" s="204"/>
      <c r="I177" s="204"/>
      <c r="J177" s="204"/>
    </row>
    <row r="178" spans="5:10">
      <c r="E178" s="206"/>
      <c r="F178" s="207"/>
      <c r="G178" s="207"/>
      <c r="H178" s="204"/>
      <c r="I178" s="204"/>
      <c r="J178" s="204"/>
    </row>
    <row r="179" spans="5:10">
      <c r="E179" s="206"/>
      <c r="F179" s="207"/>
      <c r="G179" s="207"/>
      <c r="H179" s="204"/>
      <c r="I179" s="204"/>
      <c r="J179" s="204"/>
    </row>
    <row r="180" spans="5:10">
      <c r="E180" s="206"/>
      <c r="F180" s="207"/>
      <c r="G180" s="207"/>
      <c r="H180" s="204"/>
      <c r="I180" s="204"/>
      <c r="J180" s="204"/>
    </row>
    <row r="181" spans="5:10">
      <c r="E181" s="206"/>
      <c r="F181" s="207"/>
      <c r="G181" s="207"/>
      <c r="H181" s="204"/>
      <c r="I181" s="204"/>
      <c r="J181" s="204"/>
    </row>
    <row r="182" spans="5:10">
      <c r="E182" s="206"/>
      <c r="F182" s="207"/>
      <c r="G182" s="207"/>
      <c r="H182" s="204"/>
      <c r="I182" s="204"/>
      <c r="J182" s="204"/>
    </row>
    <row r="183" spans="5:10">
      <c r="E183" s="206"/>
      <c r="F183" s="207"/>
      <c r="G183" s="207"/>
      <c r="H183" s="204"/>
      <c r="I183" s="204"/>
      <c r="J183" s="204"/>
    </row>
    <row r="184" spans="5:10">
      <c r="E184" s="206"/>
      <c r="F184" s="207"/>
      <c r="G184" s="207"/>
      <c r="H184" s="204"/>
      <c r="I184" s="204"/>
      <c r="J184" s="204"/>
    </row>
    <row r="185" spans="5:10">
      <c r="E185" s="206"/>
      <c r="F185" s="207"/>
      <c r="G185" s="207"/>
      <c r="H185" s="204"/>
      <c r="I185" s="204"/>
      <c r="J185" s="204"/>
    </row>
    <row r="186" spans="5:10">
      <c r="E186" s="206"/>
      <c r="F186" s="207"/>
      <c r="G186" s="207"/>
      <c r="H186" s="204"/>
      <c r="I186" s="204"/>
      <c r="J186" s="204"/>
    </row>
    <row r="187" spans="5:10">
      <c r="E187" s="206"/>
      <c r="F187" s="207"/>
      <c r="G187" s="207"/>
      <c r="H187" s="204"/>
      <c r="I187" s="204"/>
      <c r="J187" s="204"/>
    </row>
    <row r="188" spans="5:10">
      <c r="E188" s="206"/>
      <c r="F188" s="207"/>
      <c r="G188" s="207"/>
      <c r="H188" s="204"/>
      <c r="I188" s="204"/>
      <c r="J188" s="204"/>
    </row>
    <row r="189" spans="5:10">
      <c r="E189" s="206"/>
      <c r="F189" s="207"/>
      <c r="G189" s="207"/>
      <c r="H189" s="204"/>
      <c r="I189" s="204"/>
      <c r="J189" s="204"/>
    </row>
    <row r="190" spans="5:10">
      <c r="E190" s="206"/>
      <c r="F190" s="207"/>
      <c r="G190" s="207"/>
      <c r="H190" s="204"/>
      <c r="I190" s="204"/>
      <c r="J190" s="204"/>
    </row>
    <row r="191" spans="5:10">
      <c r="E191" s="206"/>
      <c r="F191" s="207"/>
      <c r="G191" s="207"/>
      <c r="H191" s="204"/>
      <c r="I191" s="204"/>
      <c r="J191" s="204"/>
    </row>
    <row r="192" spans="5:10">
      <c r="E192" s="206"/>
      <c r="F192" s="207"/>
      <c r="G192" s="207"/>
      <c r="H192" s="204"/>
      <c r="I192" s="204"/>
      <c r="J192" s="204"/>
    </row>
    <row r="193" spans="5:10">
      <c r="E193" s="206"/>
      <c r="F193" s="207"/>
      <c r="G193" s="207"/>
      <c r="H193" s="204"/>
      <c r="I193" s="204"/>
      <c r="J193" s="204"/>
    </row>
    <row r="194" spans="5:10">
      <c r="E194" s="206"/>
      <c r="F194" s="207"/>
      <c r="G194" s="207"/>
      <c r="H194" s="204"/>
      <c r="I194" s="204"/>
      <c r="J194" s="204"/>
    </row>
    <row r="195" spans="5:10">
      <c r="E195" s="206"/>
      <c r="F195" s="207"/>
      <c r="G195" s="207"/>
      <c r="H195" s="204"/>
      <c r="I195" s="204"/>
      <c r="J195" s="204"/>
    </row>
    <row r="196" spans="5:10">
      <c r="E196" s="206"/>
      <c r="F196" s="207"/>
      <c r="G196" s="207"/>
      <c r="H196" s="204"/>
      <c r="I196" s="204"/>
      <c r="J196" s="204"/>
    </row>
    <row r="197" spans="5:10">
      <c r="E197" s="206"/>
      <c r="F197" s="207"/>
      <c r="G197" s="207"/>
      <c r="H197" s="204"/>
      <c r="I197" s="204"/>
      <c r="J197" s="204"/>
    </row>
    <row r="198" spans="5:10">
      <c r="E198" s="206"/>
      <c r="F198" s="207"/>
      <c r="G198" s="207"/>
      <c r="H198" s="204"/>
      <c r="I198" s="204"/>
      <c r="J198" s="204"/>
    </row>
    <row r="199" spans="5:10">
      <c r="E199" s="206"/>
      <c r="F199" s="207"/>
      <c r="G199" s="207"/>
      <c r="H199" s="204"/>
      <c r="I199" s="204"/>
      <c r="J199" s="204"/>
    </row>
    <row r="200" spans="5:10">
      <c r="E200" s="206"/>
      <c r="F200" s="207"/>
      <c r="G200" s="207"/>
      <c r="H200" s="204"/>
      <c r="I200" s="204"/>
      <c r="J200" s="204"/>
    </row>
    <row r="201" spans="5:10">
      <c r="E201" s="206"/>
      <c r="F201" s="207"/>
      <c r="G201" s="207"/>
      <c r="H201" s="204"/>
      <c r="I201" s="204"/>
      <c r="J201" s="204"/>
    </row>
    <row r="202" spans="5:10">
      <c r="E202" s="206"/>
      <c r="F202" s="207"/>
      <c r="G202" s="207"/>
      <c r="H202" s="204"/>
      <c r="I202" s="204"/>
      <c r="J202" s="204"/>
    </row>
    <row r="203" spans="5:10">
      <c r="E203" s="206"/>
      <c r="F203" s="207"/>
      <c r="G203" s="207"/>
      <c r="H203" s="204"/>
      <c r="I203" s="204"/>
      <c r="J203" s="204"/>
    </row>
    <row r="204" spans="5:10">
      <c r="E204" s="206"/>
      <c r="F204" s="207"/>
      <c r="G204" s="207"/>
      <c r="H204" s="204"/>
      <c r="I204" s="204"/>
      <c r="J204" s="204"/>
    </row>
    <row r="205" spans="5:10">
      <c r="E205" s="206"/>
      <c r="F205" s="207"/>
      <c r="G205" s="207"/>
      <c r="H205" s="204"/>
      <c r="I205" s="204"/>
      <c r="J205" s="204"/>
    </row>
    <row r="206" spans="5:10">
      <c r="E206" s="206"/>
      <c r="F206" s="207"/>
      <c r="G206" s="207"/>
      <c r="H206" s="204"/>
      <c r="I206" s="204"/>
      <c r="J206" s="204"/>
    </row>
    <row r="207" spans="5:10">
      <c r="E207" s="206"/>
      <c r="F207" s="207"/>
      <c r="G207" s="207"/>
      <c r="H207" s="204"/>
      <c r="I207" s="204"/>
      <c r="J207" s="204"/>
    </row>
    <row r="208" spans="5:10">
      <c r="E208" s="206"/>
      <c r="F208" s="207"/>
      <c r="G208" s="207"/>
      <c r="H208" s="204"/>
      <c r="I208" s="204"/>
      <c r="J208" s="204"/>
    </row>
    <row r="209" spans="5:10">
      <c r="E209" s="206"/>
      <c r="F209" s="207"/>
      <c r="G209" s="207"/>
      <c r="H209" s="204"/>
      <c r="I209" s="204"/>
      <c r="J209" s="204"/>
    </row>
    <row r="210" spans="5:10">
      <c r="E210" s="206"/>
      <c r="F210" s="207"/>
      <c r="G210" s="207"/>
      <c r="H210" s="204"/>
      <c r="I210" s="204"/>
      <c r="J210" s="204"/>
    </row>
    <row r="211" spans="5:10">
      <c r="E211" s="206"/>
      <c r="F211" s="207"/>
      <c r="G211" s="207"/>
      <c r="H211" s="204"/>
      <c r="I211" s="204"/>
      <c r="J211" s="204"/>
    </row>
    <row r="212" spans="5:10">
      <c r="E212" s="206"/>
      <c r="F212" s="207"/>
      <c r="G212" s="207"/>
      <c r="H212" s="204"/>
      <c r="I212" s="204"/>
      <c r="J212" s="204"/>
    </row>
    <row r="213" spans="5:10">
      <c r="E213" s="206"/>
      <c r="F213" s="207"/>
      <c r="G213" s="207"/>
      <c r="H213" s="204"/>
      <c r="I213" s="204"/>
      <c r="J213" s="204"/>
    </row>
    <row r="214" spans="5:10">
      <c r="E214" s="206"/>
      <c r="F214" s="207"/>
      <c r="G214" s="207"/>
      <c r="H214" s="204"/>
      <c r="I214" s="204"/>
      <c r="J214" s="204"/>
    </row>
    <row r="215" spans="5:10">
      <c r="E215" s="206"/>
      <c r="F215" s="207"/>
      <c r="G215" s="207"/>
      <c r="H215" s="204"/>
      <c r="I215" s="204"/>
      <c r="J215" s="204"/>
    </row>
    <row r="216" spans="5:10">
      <c r="E216" s="206"/>
      <c r="F216" s="207"/>
      <c r="G216" s="207"/>
      <c r="H216" s="204"/>
      <c r="I216" s="204"/>
      <c r="J216" s="204"/>
    </row>
    <row r="217" spans="5:10">
      <c r="E217" s="206"/>
      <c r="F217" s="207"/>
      <c r="G217" s="207"/>
      <c r="H217" s="204"/>
      <c r="I217" s="204"/>
      <c r="J217" s="204"/>
    </row>
    <row r="218" spans="5:10">
      <c r="E218" s="206"/>
      <c r="F218" s="207"/>
      <c r="G218" s="207"/>
      <c r="H218" s="204"/>
      <c r="I218" s="204"/>
      <c r="J218" s="204"/>
    </row>
    <row r="219" spans="5:10">
      <c r="E219" s="206"/>
      <c r="F219" s="207"/>
      <c r="G219" s="207"/>
      <c r="H219" s="204"/>
      <c r="I219" s="204"/>
      <c r="J219" s="204"/>
    </row>
    <row r="220" spans="5:10">
      <c r="E220" s="206"/>
      <c r="F220" s="207"/>
      <c r="G220" s="207"/>
      <c r="H220" s="204"/>
      <c r="I220" s="204"/>
      <c r="J220" s="204"/>
    </row>
    <row r="221" spans="5:10">
      <c r="E221" s="206"/>
      <c r="F221" s="207"/>
      <c r="G221" s="207"/>
      <c r="H221" s="204"/>
      <c r="I221" s="204"/>
      <c r="J221" s="204"/>
    </row>
    <row r="222" spans="5:10">
      <c r="E222" s="206"/>
      <c r="F222" s="207"/>
      <c r="G222" s="207"/>
      <c r="H222" s="204"/>
      <c r="I222" s="204"/>
      <c r="J222" s="204"/>
    </row>
    <row r="223" spans="5:10">
      <c r="E223" s="206"/>
      <c r="F223" s="207"/>
      <c r="G223" s="207"/>
      <c r="H223" s="204"/>
      <c r="I223" s="204"/>
      <c r="J223" s="204"/>
    </row>
    <row r="224" spans="5:10">
      <c r="E224" s="206"/>
      <c r="F224" s="207"/>
      <c r="G224" s="207"/>
      <c r="H224" s="204"/>
      <c r="I224" s="204"/>
      <c r="J224" s="204"/>
    </row>
    <row r="225" spans="5:10">
      <c r="E225" s="206"/>
      <c r="F225" s="207"/>
      <c r="G225" s="207"/>
      <c r="H225" s="204"/>
      <c r="I225" s="204"/>
      <c r="J225" s="204"/>
    </row>
    <row r="226" spans="5:10">
      <c r="E226" s="206"/>
      <c r="F226" s="207"/>
      <c r="G226" s="207"/>
      <c r="H226" s="204"/>
      <c r="I226" s="204"/>
      <c r="J226" s="204"/>
    </row>
    <row r="227" spans="5:10">
      <c r="E227" s="206"/>
      <c r="F227" s="207"/>
      <c r="G227" s="207"/>
      <c r="H227" s="204"/>
      <c r="I227" s="204"/>
      <c r="J227" s="204"/>
    </row>
    <row r="228" spans="5:10">
      <c r="E228" s="206"/>
      <c r="F228" s="207"/>
      <c r="G228" s="207"/>
      <c r="H228" s="204"/>
      <c r="I228" s="204"/>
      <c r="J228" s="204"/>
    </row>
    <row r="229" spans="5:10">
      <c r="E229" s="206"/>
      <c r="F229" s="207"/>
      <c r="G229" s="207"/>
      <c r="H229" s="204"/>
      <c r="I229" s="204"/>
      <c r="J229" s="204"/>
    </row>
    <row r="230" spans="5:10">
      <c r="E230" s="206"/>
      <c r="F230" s="207"/>
      <c r="G230" s="207"/>
      <c r="H230" s="204"/>
      <c r="I230" s="204"/>
      <c r="J230" s="204"/>
    </row>
    <row r="231" spans="5:10">
      <c r="E231" s="206"/>
      <c r="F231" s="207"/>
      <c r="G231" s="207"/>
      <c r="H231" s="204"/>
      <c r="I231" s="204"/>
      <c r="J231" s="204"/>
    </row>
    <row r="232" spans="5:10">
      <c r="E232" s="206"/>
      <c r="F232" s="207"/>
      <c r="G232" s="207"/>
      <c r="H232" s="204"/>
      <c r="I232" s="204"/>
      <c r="J232" s="204"/>
    </row>
    <row r="233" spans="5:10">
      <c r="E233" s="206"/>
      <c r="F233" s="207"/>
      <c r="G233" s="207"/>
      <c r="H233" s="204"/>
      <c r="I233" s="204"/>
      <c r="J233" s="204"/>
    </row>
    <row r="234" spans="5:10">
      <c r="E234" s="206"/>
      <c r="F234" s="207"/>
      <c r="G234" s="207"/>
      <c r="H234" s="204"/>
      <c r="I234" s="204"/>
      <c r="J234" s="204"/>
    </row>
    <row r="235" spans="5:10">
      <c r="E235" s="206"/>
      <c r="F235" s="207"/>
      <c r="G235" s="207"/>
      <c r="H235" s="204"/>
      <c r="I235" s="204"/>
      <c r="J235" s="204"/>
    </row>
    <row r="236" spans="5:10">
      <c r="E236" s="206"/>
      <c r="F236" s="207"/>
      <c r="G236" s="207"/>
      <c r="H236" s="204"/>
      <c r="I236" s="204"/>
      <c r="J236" s="204"/>
    </row>
    <row r="237" spans="5:10">
      <c r="E237" s="206"/>
      <c r="F237" s="207"/>
      <c r="G237" s="207"/>
      <c r="H237" s="204"/>
      <c r="I237" s="204"/>
      <c r="J237" s="204"/>
    </row>
    <row r="238" spans="5:10">
      <c r="E238" s="206"/>
      <c r="F238" s="207"/>
      <c r="G238" s="207"/>
      <c r="H238" s="204"/>
      <c r="I238" s="204"/>
      <c r="J238" s="204"/>
    </row>
    <row r="239" spans="5:10">
      <c r="E239" s="206"/>
      <c r="F239" s="207"/>
      <c r="G239" s="207"/>
      <c r="H239" s="204"/>
      <c r="I239" s="204"/>
      <c r="J239" s="204"/>
    </row>
    <row r="240" spans="5:10">
      <c r="E240" s="206"/>
      <c r="F240" s="207"/>
      <c r="G240" s="207"/>
      <c r="H240" s="204"/>
      <c r="I240" s="204"/>
      <c r="J240" s="204"/>
    </row>
    <row r="241" spans="5:10">
      <c r="E241" s="206"/>
      <c r="F241" s="207"/>
      <c r="G241" s="207"/>
      <c r="H241" s="204"/>
      <c r="I241" s="204"/>
      <c r="J241" s="204"/>
    </row>
    <row r="242" spans="5:10">
      <c r="E242" s="206"/>
      <c r="F242" s="207"/>
      <c r="G242" s="207"/>
      <c r="H242" s="204"/>
      <c r="I242" s="204"/>
      <c r="J242" s="204"/>
    </row>
    <row r="243" spans="5:10">
      <c r="E243" s="206"/>
      <c r="F243" s="207"/>
      <c r="G243" s="207"/>
      <c r="H243" s="204"/>
      <c r="I243" s="204"/>
      <c r="J243" s="204"/>
    </row>
    <row r="244" spans="5:10">
      <c r="E244" s="206"/>
      <c r="F244" s="207"/>
      <c r="G244" s="207"/>
      <c r="H244" s="204"/>
      <c r="I244" s="204"/>
      <c r="J244" s="204"/>
    </row>
    <row r="245" spans="5:10">
      <c r="E245" s="206"/>
      <c r="F245" s="207"/>
      <c r="G245" s="207"/>
      <c r="H245" s="204"/>
      <c r="I245" s="204"/>
      <c r="J245" s="204"/>
    </row>
    <row r="246" spans="5:10">
      <c r="E246" s="206"/>
      <c r="F246" s="207"/>
      <c r="G246" s="207"/>
      <c r="H246" s="204"/>
      <c r="I246" s="204"/>
      <c r="J246" s="204"/>
    </row>
    <row r="247" spans="5:10">
      <c r="E247" s="206"/>
      <c r="F247" s="207"/>
      <c r="G247" s="207"/>
      <c r="H247" s="204"/>
      <c r="I247" s="204"/>
      <c r="J247" s="204"/>
    </row>
    <row r="248" spans="5:10">
      <c r="E248" s="206"/>
      <c r="F248" s="207"/>
      <c r="G248" s="207"/>
      <c r="H248" s="204"/>
      <c r="I248" s="204"/>
      <c r="J248" s="204"/>
    </row>
    <row r="249" spans="5:10">
      <c r="E249" s="206"/>
      <c r="F249" s="207"/>
      <c r="G249" s="207"/>
      <c r="H249" s="204"/>
      <c r="I249" s="204"/>
      <c r="J249" s="204"/>
    </row>
    <row r="250" spans="5:10">
      <c r="E250" s="206"/>
      <c r="F250" s="207"/>
      <c r="G250" s="207"/>
      <c r="H250" s="204"/>
      <c r="I250" s="204"/>
      <c r="J250" s="204"/>
    </row>
    <row r="251" spans="5:10">
      <c r="E251" s="206"/>
      <c r="F251" s="207"/>
      <c r="G251" s="207"/>
      <c r="H251" s="204"/>
      <c r="I251" s="204"/>
      <c r="J251" s="204"/>
    </row>
    <row r="252" spans="5:10">
      <c r="E252" s="206"/>
      <c r="F252" s="207"/>
      <c r="G252" s="207"/>
      <c r="H252" s="204"/>
      <c r="I252" s="204"/>
      <c r="J252" s="204"/>
    </row>
    <row r="253" spans="5:10">
      <c r="E253" s="206"/>
      <c r="F253" s="207"/>
      <c r="G253" s="207"/>
      <c r="H253" s="204"/>
      <c r="I253" s="204"/>
      <c r="J253" s="204"/>
    </row>
    <row r="254" spans="5:10">
      <c r="E254" s="206"/>
      <c r="F254" s="207"/>
      <c r="G254" s="207"/>
      <c r="H254" s="204"/>
      <c r="I254" s="204"/>
      <c r="J254" s="204"/>
    </row>
    <row r="255" spans="5:10">
      <c r="E255" s="206"/>
      <c r="F255" s="207"/>
      <c r="G255" s="207"/>
      <c r="H255" s="204"/>
      <c r="I255" s="204"/>
      <c r="J255" s="204"/>
    </row>
    <row r="256" spans="5:10">
      <c r="E256" s="206"/>
      <c r="F256" s="207"/>
      <c r="G256" s="207"/>
      <c r="H256" s="204"/>
      <c r="I256" s="204"/>
      <c r="J256" s="204"/>
    </row>
    <row r="257" spans="5:10">
      <c r="E257" s="206"/>
      <c r="F257" s="207"/>
      <c r="G257" s="207"/>
      <c r="H257" s="204"/>
      <c r="I257" s="204"/>
      <c r="J257" s="204"/>
    </row>
    <row r="258" spans="5:10">
      <c r="E258" s="206"/>
      <c r="F258" s="207"/>
      <c r="G258" s="207"/>
      <c r="H258" s="204"/>
      <c r="I258" s="204"/>
      <c r="J258" s="204"/>
    </row>
    <row r="259" spans="5:10">
      <c r="E259" s="206"/>
      <c r="F259" s="207"/>
      <c r="G259" s="207"/>
      <c r="H259" s="204"/>
      <c r="I259" s="204"/>
      <c r="J259" s="204"/>
    </row>
    <row r="260" spans="5:10">
      <c r="E260" s="206"/>
      <c r="F260" s="207"/>
      <c r="G260" s="207"/>
      <c r="H260" s="204"/>
      <c r="I260" s="204"/>
      <c r="J260" s="204"/>
    </row>
    <row r="261" spans="5:10">
      <c r="E261" s="206"/>
      <c r="F261" s="207"/>
      <c r="G261" s="207"/>
      <c r="H261" s="204"/>
      <c r="I261" s="204"/>
      <c r="J261" s="204"/>
    </row>
    <row r="262" spans="5:10">
      <c r="E262" s="206"/>
      <c r="F262" s="207"/>
      <c r="G262" s="207"/>
      <c r="H262" s="204"/>
      <c r="I262" s="204"/>
      <c r="J262" s="204"/>
    </row>
    <row r="263" spans="5:10">
      <c r="E263" s="206"/>
      <c r="F263" s="207"/>
      <c r="G263" s="207"/>
      <c r="H263" s="204"/>
      <c r="I263" s="204"/>
      <c r="J263" s="204"/>
    </row>
    <row r="264" spans="5:10">
      <c r="E264" s="206"/>
      <c r="F264" s="207"/>
      <c r="G264" s="207"/>
      <c r="H264" s="204"/>
      <c r="I264" s="204"/>
      <c r="J264" s="204"/>
    </row>
    <row r="265" spans="5:10">
      <c r="E265" s="206"/>
      <c r="F265" s="207"/>
      <c r="G265" s="207"/>
      <c r="H265" s="204"/>
      <c r="I265" s="204"/>
      <c r="J265" s="204"/>
    </row>
    <row r="266" spans="5:10">
      <c r="E266" s="206"/>
      <c r="F266" s="207"/>
      <c r="G266" s="207"/>
      <c r="H266" s="204"/>
      <c r="I266" s="204"/>
      <c r="J266" s="204"/>
    </row>
    <row r="267" spans="5:10">
      <c r="E267" s="206"/>
      <c r="F267" s="207"/>
      <c r="G267" s="207"/>
      <c r="H267" s="204"/>
      <c r="I267" s="204"/>
      <c r="J267" s="204"/>
    </row>
    <row r="268" spans="5:10">
      <c r="E268" s="206"/>
      <c r="F268" s="207"/>
      <c r="G268" s="207"/>
      <c r="H268" s="204"/>
      <c r="I268" s="204"/>
      <c r="J268" s="204"/>
    </row>
    <row r="269" spans="5:10">
      <c r="E269" s="206"/>
      <c r="F269" s="207"/>
      <c r="G269" s="207"/>
      <c r="H269" s="204"/>
      <c r="I269" s="204"/>
      <c r="J269" s="204"/>
    </row>
    <row r="270" spans="5:10">
      <c r="E270" s="206"/>
      <c r="F270" s="207"/>
      <c r="G270" s="207"/>
      <c r="H270" s="204"/>
      <c r="I270" s="204"/>
      <c r="J270" s="204"/>
    </row>
    <row r="271" spans="5:10">
      <c r="E271" s="206"/>
      <c r="F271" s="207"/>
      <c r="G271" s="207"/>
      <c r="H271" s="204"/>
      <c r="I271" s="204"/>
      <c r="J271" s="204"/>
    </row>
    <row r="272" spans="5:10">
      <c r="E272" s="206"/>
      <c r="F272" s="207"/>
      <c r="G272" s="207"/>
      <c r="H272" s="204"/>
      <c r="I272" s="204"/>
      <c r="J272" s="204"/>
    </row>
    <row r="273" spans="5:10">
      <c r="E273" s="206"/>
      <c r="F273" s="207"/>
      <c r="G273" s="207"/>
      <c r="H273" s="204"/>
      <c r="I273" s="204"/>
      <c r="J273" s="204"/>
    </row>
    <row r="274" spans="5:10">
      <c r="E274" s="206"/>
      <c r="F274" s="207"/>
      <c r="G274" s="207"/>
      <c r="H274" s="204"/>
      <c r="I274" s="204"/>
      <c r="J274" s="204"/>
    </row>
    <row r="275" spans="5:10">
      <c r="E275" s="206"/>
      <c r="F275" s="207"/>
      <c r="G275" s="207"/>
      <c r="H275" s="204"/>
      <c r="I275" s="204"/>
      <c r="J275" s="204"/>
    </row>
    <row r="276" spans="5:10">
      <c r="E276" s="206"/>
      <c r="F276" s="207"/>
      <c r="G276" s="207"/>
      <c r="H276" s="204"/>
      <c r="I276" s="204"/>
      <c r="J276" s="204"/>
    </row>
    <row r="277" spans="5:10">
      <c r="E277" s="206"/>
      <c r="F277" s="207"/>
      <c r="G277" s="207"/>
      <c r="H277" s="204"/>
      <c r="I277" s="204"/>
      <c r="J277" s="204"/>
    </row>
    <row r="278" spans="5:10">
      <c r="E278" s="206"/>
      <c r="F278" s="207"/>
      <c r="G278" s="207"/>
      <c r="H278" s="204"/>
      <c r="I278" s="204"/>
      <c r="J278" s="204"/>
    </row>
    <row r="279" spans="5:10">
      <c r="E279" s="206"/>
      <c r="F279" s="207"/>
      <c r="G279" s="207"/>
      <c r="H279" s="204"/>
      <c r="I279" s="204"/>
      <c r="J279" s="204"/>
    </row>
    <row r="280" spans="5:10">
      <c r="E280" s="206"/>
      <c r="F280" s="207"/>
      <c r="G280" s="207"/>
      <c r="H280" s="204"/>
      <c r="I280" s="204"/>
      <c r="J280" s="204"/>
    </row>
    <row r="281" spans="5:10">
      <c r="E281" s="206"/>
      <c r="F281" s="207"/>
      <c r="G281" s="207"/>
      <c r="H281" s="204"/>
      <c r="I281" s="204"/>
      <c r="J281" s="204"/>
    </row>
    <row r="282" spans="5:10">
      <c r="E282" s="206"/>
      <c r="F282" s="207"/>
      <c r="G282" s="207"/>
      <c r="H282" s="204"/>
      <c r="I282" s="204"/>
      <c r="J282" s="204"/>
    </row>
    <row r="283" spans="5:10">
      <c r="E283" s="206"/>
      <c r="F283" s="207"/>
      <c r="G283" s="207"/>
      <c r="H283" s="204"/>
      <c r="I283" s="204"/>
      <c r="J283" s="204"/>
    </row>
    <row r="284" spans="5:10">
      <c r="E284" s="206"/>
      <c r="F284" s="207"/>
      <c r="G284" s="207"/>
      <c r="H284" s="204"/>
      <c r="I284" s="204"/>
      <c r="J284" s="204"/>
    </row>
    <row r="285" spans="5:10">
      <c r="E285" s="206"/>
      <c r="F285" s="207"/>
      <c r="G285" s="207"/>
      <c r="H285" s="204"/>
      <c r="I285" s="204"/>
      <c r="J285" s="204"/>
    </row>
    <row r="286" spans="5:10">
      <c r="E286" s="206"/>
      <c r="F286" s="207"/>
      <c r="G286" s="207"/>
      <c r="H286" s="204"/>
      <c r="I286" s="204"/>
      <c r="J286" s="204"/>
    </row>
    <row r="287" spans="5:10">
      <c r="E287" s="206"/>
      <c r="F287" s="207"/>
      <c r="G287" s="207"/>
      <c r="H287" s="204"/>
      <c r="I287" s="204"/>
      <c r="J287" s="204"/>
    </row>
    <row r="288" spans="5:10">
      <c r="E288" s="206"/>
      <c r="F288" s="207"/>
      <c r="G288" s="207"/>
      <c r="H288" s="204"/>
      <c r="I288" s="204"/>
      <c r="J288" s="204"/>
    </row>
    <row r="289" spans="5:10">
      <c r="E289" s="206"/>
      <c r="F289" s="207"/>
      <c r="G289" s="207"/>
      <c r="H289" s="204"/>
      <c r="I289" s="204"/>
      <c r="J289" s="204"/>
    </row>
    <row r="290" spans="5:10">
      <c r="E290" s="206"/>
      <c r="F290" s="207"/>
      <c r="G290" s="207"/>
      <c r="H290" s="204"/>
      <c r="I290" s="204"/>
      <c r="J290" s="204"/>
    </row>
    <row r="291" spans="5:10">
      <c r="E291" s="206"/>
      <c r="F291" s="207"/>
      <c r="G291" s="207"/>
      <c r="H291" s="204"/>
      <c r="I291" s="204"/>
      <c r="J291" s="204"/>
    </row>
    <row r="292" spans="5:10">
      <c r="E292" s="206"/>
      <c r="F292" s="207"/>
      <c r="G292" s="207"/>
      <c r="H292" s="204"/>
      <c r="I292" s="204"/>
      <c r="J292" s="204"/>
    </row>
    <row r="293" spans="5:10">
      <c r="E293" s="206"/>
      <c r="F293" s="207"/>
      <c r="G293" s="207"/>
      <c r="H293" s="204"/>
      <c r="I293" s="204"/>
      <c r="J293" s="204"/>
    </row>
    <row r="294" spans="5:10">
      <c r="E294" s="206"/>
      <c r="F294" s="207"/>
      <c r="G294" s="207"/>
      <c r="H294" s="204"/>
      <c r="I294" s="204"/>
      <c r="J294" s="204"/>
    </row>
    <row r="295" spans="5:10">
      <c r="E295" s="206"/>
      <c r="F295" s="207"/>
      <c r="G295" s="207"/>
      <c r="H295" s="204"/>
      <c r="I295" s="204"/>
      <c r="J295" s="204"/>
    </row>
    <row r="296" spans="5:10">
      <c r="E296" s="206"/>
      <c r="F296" s="207"/>
      <c r="G296" s="207"/>
      <c r="H296" s="204"/>
      <c r="I296" s="204"/>
      <c r="J296" s="204"/>
    </row>
    <row r="297" spans="5:10">
      <c r="E297" s="206"/>
      <c r="F297" s="207"/>
      <c r="G297" s="207"/>
      <c r="H297" s="204"/>
      <c r="I297" s="204"/>
      <c r="J297" s="204"/>
    </row>
    <row r="298" spans="5:10">
      <c r="E298" s="206"/>
      <c r="F298" s="207"/>
      <c r="G298" s="207"/>
      <c r="H298" s="204"/>
      <c r="I298" s="204"/>
      <c r="J298" s="204"/>
    </row>
    <row r="299" spans="5:10">
      <c r="E299" s="206"/>
      <c r="F299" s="207"/>
      <c r="G299" s="207"/>
      <c r="H299" s="204"/>
      <c r="I299" s="204"/>
      <c r="J299" s="204"/>
    </row>
    <row r="300" spans="5:10">
      <c r="E300" s="206"/>
      <c r="F300" s="207"/>
      <c r="G300" s="207"/>
      <c r="H300" s="204"/>
      <c r="I300" s="204"/>
      <c r="J300" s="204"/>
    </row>
    <row r="301" spans="5:10">
      <c r="E301" s="206"/>
      <c r="F301" s="207"/>
      <c r="G301" s="207"/>
      <c r="H301" s="204"/>
      <c r="I301" s="204"/>
      <c r="J301" s="204"/>
    </row>
    <row r="302" spans="5:10">
      <c r="E302" s="206"/>
      <c r="F302" s="207"/>
      <c r="G302" s="207"/>
      <c r="H302" s="204"/>
      <c r="I302" s="204"/>
      <c r="J302" s="204"/>
    </row>
    <row r="303" spans="5:10">
      <c r="E303" s="206"/>
      <c r="F303" s="207"/>
      <c r="G303" s="207"/>
      <c r="H303" s="204"/>
      <c r="I303" s="204"/>
      <c r="J303" s="204"/>
    </row>
    <row r="304" spans="5:10">
      <c r="E304" s="206"/>
      <c r="F304" s="207"/>
      <c r="G304" s="207"/>
      <c r="H304" s="204"/>
      <c r="I304" s="204"/>
      <c r="J304" s="204"/>
    </row>
    <row r="305" spans="5:10">
      <c r="E305" s="206"/>
      <c r="F305" s="207"/>
      <c r="G305" s="207"/>
      <c r="H305" s="204"/>
      <c r="I305" s="204"/>
      <c r="J305" s="204"/>
    </row>
    <row r="306" spans="5:10">
      <c r="E306" s="206"/>
      <c r="F306" s="207"/>
      <c r="G306" s="207"/>
      <c r="H306" s="204"/>
      <c r="I306" s="204"/>
      <c r="J306" s="204"/>
    </row>
    <row r="307" spans="5:10">
      <c r="E307" s="206"/>
      <c r="F307" s="207"/>
      <c r="G307" s="207"/>
      <c r="H307" s="204"/>
      <c r="I307" s="204"/>
      <c r="J307" s="204"/>
    </row>
    <row r="308" spans="5:10">
      <c r="E308" s="206"/>
      <c r="F308" s="207"/>
      <c r="G308" s="207"/>
      <c r="H308" s="204"/>
      <c r="I308" s="204"/>
      <c r="J308" s="204"/>
    </row>
    <row r="309" spans="5:10">
      <c r="E309" s="206"/>
      <c r="F309" s="207"/>
      <c r="G309" s="207"/>
      <c r="H309" s="204"/>
      <c r="I309" s="204"/>
      <c r="J309" s="204"/>
    </row>
    <row r="310" spans="5:10">
      <c r="E310" s="206"/>
      <c r="F310" s="207"/>
      <c r="G310" s="207"/>
      <c r="H310" s="204"/>
      <c r="I310" s="204"/>
      <c r="J310" s="204"/>
    </row>
    <row r="311" spans="5:10">
      <c r="E311" s="206"/>
      <c r="F311" s="207"/>
      <c r="G311" s="207"/>
      <c r="H311" s="204"/>
      <c r="I311" s="204"/>
      <c r="J311" s="204"/>
    </row>
    <row r="312" spans="5:10">
      <c r="E312" s="206"/>
      <c r="F312" s="207"/>
      <c r="G312" s="207"/>
      <c r="H312" s="204"/>
      <c r="I312" s="204"/>
      <c r="J312" s="204"/>
    </row>
    <row r="313" spans="5:10">
      <c r="E313" s="206"/>
      <c r="F313" s="207"/>
      <c r="G313" s="207"/>
      <c r="H313" s="204"/>
      <c r="I313" s="204"/>
      <c r="J313" s="204"/>
    </row>
    <row r="314" spans="5:10">
      <c r="E314" s="206"/>
      <c r="F314" s="207"/>
      <c r="G314" s="207"/>
      <c r="H314" s="204"/>
      <c r="I314" s="204"/>
      <c r="J314" s="204"/>
    </row>
    <row r="315" spans="5:10">
      <c r="E315" s="206"/>
      <c r="F315" s="207"/>
      <c r="G315" s="207"/>
      <c r="H315" s="204"/>
      <c r="I315" s="204"/>
      <c r="J315" s="204"/>
    </row>
    <row r="316" spans="5:10">
      <c r="E316" s="206"/>
      <c r="F316" s="207"/>
      <c r="G316" s="207"/>
      <c r="H316" s="204"/>
      <c r="I316" s="204"/>
      <c r="J316" s="204"/>
    </row>
    <row r="317" spans="5:10">
      <c r="E317" s="206"/>
      <c r="F317" s="207"/>
      <c r="G317" s="207"/>
      <c r="H317" s="204"/>
      <c r="I317" s="204"/>
      <c r="J317" s="204"/>
    </row>
    <row r="318" spans="5:10">
      <c r="E318" s="206"/>
      <c r="F318" s="207"/>
      <c r="G318" s="207"/>
      <c r="H318" s="204"/>
      <c r="I318" s="204"/>
      <c r="J318" s="204"/>
    </row>
    <row r="319" spans="5:10">
      <c r="E319" s="206"/>
      <c r="F319" s="207"/>
      <c r="G319" s="207"/>
      <c r="H319" s="204"/>
      <c r="I319" s="204"/>
      <c r="J319" s="204"/>
    </row>
    <row r="320" spans="5:10">
      <c r="E320" s="206"/>
      <c r="F320" s="207"/>
      <c r="G320" s="207"/>
      <c r="H320" s="204"/>
      <c r="I320" s="204"/>
      <c r="J320" s="204"/>
    </row>
    <row r="321" spans="5:10">
      <c r="E321" s="206"/>
      <c r="F321" s="207"/>
      <c r="G321" s="207"/>
      <c r="H321" s="204"/>
      <c r="I321" s="204"/>
      <c r="J321" s="204"/>
    </row>
    <row r="322" spans="5:10">
      <c r="E322" s="206"/>
      <c r="F322" s="207"/>
      <c r="G322" s="207"/>
      <c r="H322" s="204"/>
      <c r="I322" s="204"/>
      <c r="J322" s="204"/>
    </row>
    <row r="323" spans="5:10">
      <c r="E323" s="206"/>
      <c r="F323" s="207"/>
      <c r="G323" s="207"/>
      <c r="H323" s="204"/>
      <c r="I323" s="204"/>
      <c r="J323" s="204"/>
    </row>
    <row r="324" spans="5:10">
      <c r="E324" s="206"/>
      <c r="F324" s="207"/>
      <c r="G324" s="207"/>
      <c r="H324" s="204"/>
      <c r="I324" s="204"/>
      <c r="J324" s="204"/>
    </row>
    <row r="325" spans="5:10">
      <c r="E325" s="206"/>
      <c r="F325" s="207"/>
      <c r="G325" s="207"/>
      <c r="H325" s="204"/>
      <c r="I325" s="204"/>
      <c r="J325" s="204"/>
    </row>
    <row r="326" spans="5:10">
      <c r="E326" s="206"/>
      <c r="F326" s="207"/>
      <c r="G326" s="207"/>
      <c r="H326" s="204"/>
      <c r="I326" s="204"/>
      <c r="J326" s="204"/>
    </row>
    <row r="327" spans="5:10">
      <c r="E327" s="206"/>
      <c r="F327" s="207"/>
      <c r="G327" s="207"/>
      <c r="H327" s="204"/>
      <c r="I327" s="204"/>
      <c r="J327" s="204"/>
    </row>
    <row r="328" spans="5:10">
      <c r="E328" s="206"/>
      <c r="F328" s="207"/>
      <c r="G328" s="207"/>
      <c r="H328" s="204"/>
      <c r="I328" s="204"/>
      <c r="J328" s="204"/>
    </row>
    <row r="329" spans="5:10">
      <c r="E329" s="206"/>
      <c r="F329" s="207"/>
      <c r="G329" s="207"/>
      <c r="H329" s="204"/>
      <c r="I329" s="204"/>
      <c r="J329" s="204"/>
    </row>
    <row r="330" spans="5:10">
      <c r="E330" s="206"/>
      <c r="F330" s="207"/>
      <c r="G330" s="207"/>
      <c r="H330" s="204"/>
      <c r="I330" s="204"/>
      <c r="J330" s="204"/>
    </row>
    <row r="331" spans="5:10">
      <c r="E331" s="206"/>
      <c r="F331" s="207"/>
      <c r="G331" s="207"/>
      <c r="H331" s="204"/>
      <c r="I331" s="204"/>
      <c r="J331" s="204"/>
    </row>
    <row r="332" spans="5:10">
      <c r="E332" s="206"/>
      <c r="F332" s="207"/>
      <c r="G332" s="207"/>
      <c r="H332" s="204"/>
      <c r="I332" s="204"/>
      <c r="J332" s="204"/>
    </row>
    <row r="333" spans="5:10">
      <c r="E333" s="206"/>
      <c r="F333" s="207"/>
      <c r="G333" s="207"/>
      <c r="H333" s="204"/>
      <c r="I333" s="204"/>
      <c r="J333" s="204"/>
    </row>
    <row r="334" spans="5:10">
      <c r="E334" s="206"/>
      <c r="F334" s="207"/>
      <c r="G334" s="207"/>
      <c r="H334" s="204"/>
      <c r="I334" s="204"/>
      <c r="J334" s="204"/>
    </row>
    <row r="335" spans="5:10">
      <c r="E335" s="206"/>
      <c r="F335" s="207"/>
      <c r="G335" s="207"/>
      <c r="H335" s="204"/>
      <c r="I335" s="204"/>
      <c r="J335" s="204"/>
    </row>
    <row r="336" spans="5:10">
      <c r="E336" s="206"/>
      <c r="F336" s="207"/>
      <c r="G336" s="207"/>
      <c r="H336" s="204"/>
      <c r="I336" s="204"/>
      <c r="J336" s="204"/>
    </row>
    <row r="337" spans="5:10">
      <c r="E337" s="206"/>
      <c r="F337" s="207"/>
      <c r="G337" s="207"/>
      <c r="H337" s="204"/>
      <c r="I337" s="204"/>
      <c r="J337" s="204"/>
    </row>
    <row r="338" spans="5:10">
      <c r="E338" s="206"/>
      <c r="F338" s="207"/>
      <c r="G338" s="207"/>
      <c r="H338" s="204"/>
      <c r="I338" s="204"/>
      <c r="J338" s="204"/>
    </row>
    <row r="339" spans="5:10">
      <c r="E339" s="206"/>
      <c r="F339" s="207"/>
      <c r="G339" s="207"/>
      <c r="H339" s="204"/>
      <c r="I339" s="204"/>
      <c r="J339" s="204"/>
    </row>
    <row r="340" spans="5:10">
      <c r="E340" s="206"/>
      <c r="F340" s="207"/>
      <c r="G340" s="207"/>
      <c r="H340" s="204"/>
      <c r="I340" s="204"/>
      <c r="J340" s="204"/>
    </row>
    <row r="341" spans="5:10">
      <c r="E341" s="206"/>
      <c r="F341" s="207"/>
      <c r="G341" s="207"/>
      <c r="H341" s="204"/>
      <c r="I341" s="204"/>
      <c r="J341" s="204"/>
    </row>
    <row r="342" spans="5:10">
      <c r="E342" s="206"/>
      <c r="F342" s="207"/>
      <c r="G342" s="207"/>
      <c r="H342" s="204"/>
      <c r="I342" s="204"/>
      <c r="J342" s="204"/>
    </row>
    <row r="343" spans="5:10">
      <c r="E343" s="206"/>
      <c r="F343" s="207"/>
      <c r="G343" s="207"/>
      <c r="H343" s="204"/>
      <c r="I343" s="204"/>
      <c r="J343" s="204"/>
    </row>
    <row r="344" spans="5:10">
      <c r="E344" s="206"/>
      <c r="F344" s="207"/>
      <c r="G344" s="207"/>
      <c r="H344" s="204"/>
      <c r="I344" s="204"/>
      <c r="J344" s="204"/>
    </row>
    <row r="345" spans="5:10">
      <c r="E345" s="206"/>
      <c r="F345" s="207"/>
      <c r="G345" s="207"/>
      <c r="H345" s="204"/>
      <c r="I345" s="204"/>
      <c r="J345" s="204"/>
    </row>
    <row r="346" spans="5:10">
      <c r="E346" s="206"/>
      <c r="F346" s="207"/>
      <c r="G346" s="207"/>
      <c r="H346" s="204"/>
      <c r="I346" s="204"/>
      <c r="J346" s="204"/>
    </row>
    <row r="347" spans="5:10">
      <c r="E347" s="206"/>
      <c r="F347" s="207"/>
      <c r="G347" s="207"/>
      <c r="H347" s="204"/>
      <c r="I347" s="204"/>
      <c r="J347" s="204"/>
    </row>
    <row r="348" spans="5:10">
      <c r="E348" s="206"/>
      <c r="F348" s="207"/>
      <c r="G348" s="207"/>
      <c r="H348" s="204"/>
      <c r="I348" s="204"/>
      <c r="J348" s="204"/>
    </row>
    <row r="349" spans="5:10">
      <c r="E349" s="206"/>
      <c r="F349" s="207"/>
      <c r="G349" s="207"/>
      <c r="H349" s="204"/>
      <c r="I349" s="204"/>
      <c r="J349" s="204"/>
    </row>
    <row r="350" spans="5:10">
      <c r="E350" s="206"/>
      <c r="F350" s="207"/>
      <c r="G350" s="207"/>
      <c r="H350" s="204"/>
      <c r="I350" s="204"/>
      <c r="J350" s="204"/>
    </row>
    <row r="351" spans="5:10">
      <c r="E351" s="206"/>
      <c r="F351" s="207"/>
      <c r="G351" s="207"/>
      <c r="H351" s="204"/>
      <c r="I351" s="204"/>
      <c r="J351" s="204"/>
    </row>
    <row r="352" spans="5:10">
      <c r="E352" s="206"/>
      <c r="F352" s="207"/>
      <c r="G352" s="207"/>
      <c r="H352" s="204"/>
      <c r="I352" s="204"/>
      <c r="J352" s="204"/>
    </row>
    <row r="353" spans="5:10">
      <c r="E353" s="206"/>
      <c r="F353" s="207"/>
      <c r="G353" s="207"/>
      <c r="H353" s="204"/>
      <c r="I353" s="204"/>
      <c r="J353" s="204"/>
    </row>
    <row r="354" spans="5:10">
      <c r="E354" s="206"/>
      <c r="F354" s="207"/>
      <c r="G354" s="207"/>
      <c r="H354" s="204"/>
      <c r="I354" s="204"/>
      <c r="J354" s="204"/>
    </row>
    <row r="355" spans="5:10">
      <c r="E355" s="206"/>
      <c r="F355" s="207"/>
      <c r="G355" s="207"/>
      <c r="H355" s="204"/>
      <c r="I355" s="204"/>
      <c r="J355" s="204"/>
    </row>
    <row r="356" spans="5:10">
      <c r="E356" s="206"/>
      <c r="F356" s="207"/>
      <c r="G356" s="207"/>
      <c r="H356" s="204"/>
      <c r="I356" s="204"/>
      <c r="J356" s="204"/>
    </row>
    <row r="357" spans="5:10">
      <c r="E357" s="206"/>
      <c r="F357" s="207"/>
      <c r="G357" s="207"/>
      <c r="H357" s="204"/>
      <c r="I357" s="204"/>
      <c r="J357" s="204"/>
    </row>
    <row r="358" spans="5:10">
      <c r="E358" s="206"/>
      <c r="F358" s="207"/>
      <c r="G358" s="207"/>
      <c r="H358" s="204"/>
      <c r="I358" s="204"/>
      <c r="J358" s="204"/>
    </row>
    <row r="359" spans="5:10">
      <c r="E359" s="206"/>
      <c r="F359" s="207"/>
      <c r="G359" s="207"/>
      <c r="H359" s="204"/>
      <c r="I359" s="204"/>
      <c r="J359" s="204"/>
    </row>
    <row r="360" spans="5:10">
      <c r="E360" s="206"/>
      <c r="F360" s="207"/>
      <c r="G360" s="207"/>
      <c r="H360" s="204"/>
      <c r="I360" s="204"/>
      <c r="J360" s="204"/>
    </row>
    <row r="361" spans="5:10">
      <c r="E361" s="206"/>
      <c r="F361" s="207"/>
      <c r="G361" s="207"/>
      <c r="H361" s="204"/>
      <c r="I361" s="204"/>
      <c r="J361" s="204"/>
    </row>
    <row r="362" spans="5:10">
      <c r="E362" s="206"/>
      <c r="F362" s="207"/>
      <c r="G362" s="207"/>
      <c r="H362" s="204"/>
      <c r="I362" s="204"/>
      <c r="J362" s="204"/>
    </row>
    <row r="363" spans="5:10">
      <c r="E363" s="206"/>
      <c r="F363" s="207"/>
      <c r="G363" s="207"/>
      <c r="H363" s="204"/>
      <c r="I363" s="204"/>
      <c r="J363" s="204"/>
    </row>
    <row r="364" spans="5:10">
      <c r="E364" s="206"/>
      <c r="F364" s="207"/>
      <c r="G364" s="207"/>
      <c r="H364" s="204"/>
      <c r="I364" s="204"/>
      <c r="J364" s="204"/>
    </row>
    <row r="365" spans="5:10">
      <c r="E365" s="206"/>
      <c r="F365" s="207"/>
      <c r="G365" s="207"/>
      <c r="H365" s="204"/>
      <c r="I365" s="204"/>
      <c r="J365" s="204"/>
    </row>
    <row r="366" spans="5:10">
      <c r="E366" s="206"/>
      <c r="F366" s="207"/>
      <c r="G366" s="207"/>
      <c r="H366" s="204"/>
      <c r="I366" s="204"/>
      <c r="J366" s="204"/>
    </row>
    <row r="367" spans="5:10">
      <c r="E367" s="206"/>
      <c r="F367" s="207"/>
      <c r="G367" s="207"/>
      <c r="H367" s="204"/>
      <c r="I367" s="204"/>
      <c r="J367" s="204"/>
    </row>
    <row r="368" spans="5:10">
      <c r="E368" s="206"/>
      <c r="F368" s="207"/>
      <c r="G368" s="207"/>
      <c r="H368" s="204"/>
      <c r="I368" s="204"/>
      <c r="J368" s="204"/>
    </row>
    <row r="369" spans="5:10">
      <c r="E369" s="206"/>
      <c r="F369" s="207"/>
      <c r="G369" s="207"/>
      <c r="H369" s="204"/>
      <c r="I369" s="204"/>
      <c r="J369" s="204"/>
    </row>
    <row r="370" spans="5:10">
      <c r="E370" s="206"/>
      <c r="F370" s="207"/>
      <c r="G370" s="207"/>
      <c r="H370" s="204"/>
      <c r="I370" s="204"/>
      <c r="J370" s="204"/>
    </row>
    <row r="371" spans="5:10">
      <c r="E371" s="206"/>
      <c r="F371" s="207"/>
      <c r="G371" s="207"/>
      <c r="H371" s="204"/>
      <c r="I371" s="204"/>
      <c r="J371" s="204"/>
    </row>
    <row r="372" spans="5:10">
      <c r="E372" s="206"/>
      <c r="F372" s="207"/>
      <c r="G372" s="207"/>
      <c r="H372" s="204"/>
      <c r="I372" s="204"/>
      <c r="J372" s="204"/>
    </row>
    <row r="373" spans="5:10">
      <c r="E373" s="206"/>
      <c r="F373" s="207"/>
      <c r="G373" s="207"/>
      <c r="H373" s="204"/>
      <c r="I373" s="204"/>
      <c r="J373" s="204"/>
    </row>
    <row r="374" spans="5:10">
      <c r="E374" s="206"/>
      <c r="F374" s="207"/>
      <c r="G374" s="207"/>
      <c r="H374" s="204"/>
      <c r="I374" s="204"/>
      <c r="J374" s="204"/>
    </row>
    <row r="375" spans="5:10">
      <c r="E375" s="206"/>
      <c r="F375" s="207"/>
      <c r="G375" s="207"/>
      <c r="H375" s="204"/>
      <c r="I375" s="204"/>
      <c r="J375" s="204"/>
    </row>
    <row r="376" spans="5:10">
      <c r="E376" s="206"/>
      <c r="F376" s="207"/>
      <c r="G376" s="207"/>
      <c r="H376" s="204"/>
      <c r="I376" s="204"/>
      <c r="J376" s="204"/>
    </row>
    <row r="377" spans="5:10">
      <c r="E377" s="206"/>
      <c r="F377" s="207"/>
      <c r="G377" s="207"/>
      <c r="H377" s="204"/>
      <c r="I377" s="204"/>
      <c r="J377" s="204"/>
    </row>
    <row r="378" spans="5:10">
      <c r="E378" s="206"/>
      <c r="F378" s="207"/>
      <c r="G378" s="207"/>
      <c r="H378" s="204"/>
      <c r="I378" s="204"/>
      <c r="J378" s="204"/>
    </row>
    <row r="379" spans="5:10">
      <c r="E379" s="206"/>
      <c r="F379" s="207"/>
      <c r="G379" s="207"/>
      <c r="H379" s="204"/>
      <c r="I379" s="204"/>
      <c r="J379" s="204"/>
    </row>
    <row r="380" spans="5:10">
      <c r="E380" s="206"/>
      <c r="F380" s="207"/>
      <c r="G380" s="207"/>
      <c r="H380" s="204"/>
      <c r="I380" s="204"/>
      <c r="J380" s="204"/>
    </row>
    <row r="381" spans="5:10">
      <c r="E381" s="206"/>
      <c r="F381" s="207"/>
      <c r="G381" s="207"/>
      <c r="H381" s="204"/>
      <c r="I381" s="204"/>
      <c r="J381" s="204"/>
    </row>
    <row r="382" spans="5:10">
      <c r="E382" s="206"/>
      <c r="F382" s="207"/>
      <c r="G382" s="207"/>
      <c r="H382" s="204"/>
      <c r="I382" s="204"/>
      <c r="J382" s="204"/>
    </row>
    <row r="383" spans="5:10">
      <c r="E383" s="206"/>
      <c r="F383" s="207"/>
      <c r="G383" s="207"/>
      <c r="H383" s="204"/>
      <c r="I383" s="204"/>
      <c r="J383" s="204"/>
    </row>
    <row r="384" spans="5:10">
      <c r="E384" s="206"/>
      <c r="F384" s="207"/>
      <c r="G384" s="207"/>
      <c r="H384" s="204"/>
      <c r="I384" s="204"/>
      <c r="J384" s="204"/>
    </row>
    <row r="385" spans="5:10">
      <c r="E385" s="206"/>
      <c r="F385" s="207"/>
      <c r="G385" s="207"/>
      <c r="H385" s="204"/>
      <c r="I385" s="204"/>
      <c r="J385" s="204"/>
    </row>
    <row r="386" spans="5:10">
      <c r="E386" s="206"/>
      <c r="F386" s="207"/>
      <c r="G386" s="207"/>
      <c r="H386" s="204"/>
      <c r="I386" s="204"/>
      <c r="J386" s="204"/>
    </row>
    <row r="387" spans="5:10">
      <c r="E387" s="206"/>
      <c r="F387" s="207"/>
      <c r="G387" s="207"/>
      <c r="H387" s="204"/>
      <c r="I387" s="204"/>
      <c r="J387" s="204"/>
    </row>
    <row r="388" spans="5:10">
      <c r="E388" s="206"/>
      <c r="F388" s="207"/>
      <c r="G388" s="207"/>
      <c r="H388" s="204"/>
      <c r="I388" s="204"/>
      <c r="J388" s="204"/>
    </row>
    <row r="389" spans="5:10">
      <c r="E389" s="206"/>
      <c r="F389" s="207"/>
      <c r="G389" s="207"/>
      <c r="H389" s="204"/>
      <c r="I389" s="204"/>
      <c r="J389" s="204"/>
    </row>
    <row r="390" spans="5:10">
      <c r="E390" s="206"/>
      <c r="F390" s="207"/>
      <c r="G390" s="207"/>
      <c r="H390" s="204"/>
      <c r="I390" s="204"/>
      <c r="J390" s="204"/>
    </row>
    <row r="391" spans="5:10">
      <c r="E391" s="206"/>
      <c r="F391" s="207"/>
      <c r="G391" s="207"/>
      <c r="H391" s="204"/>
      <c r="I391" s="204"/>
      <c r="J391" s="204"/>
    </row>
    <row r="392" spans="5:10">
      <c r="E392" s="206"/>
      <c r="F392" s="207"/>
      <c r="G392" s="207"/>
      <c r="H392" s="204"/>
      <c r="I392" s="204"/>
      <c r="J392" s="204"/>
    </row>
    <row r="393" spans="5:10">
      <c r="E393" s="203"/>
    </row>
    <row r="394" spans="5:10">
      <c r="E394" s="203"/>
    </row>
    <row r="395" spans="5:10">
      <c r="E395" s="203"/>
    </row>
    <row r="396" spans="5:10">
      <c r="E396" s="203"/>
    </row>
    <row r="397" spans="5:10">
      <c r="E397" s="203"/>
    </row>
    <row r="398" spans="5:10">
      <c r="E398" s="203"/>
    </row>
    <row r="399" spans="5:10">
      <c r="E399" s="203"/>
    </row>
  </sheetData>
  <mergeCells count="7">
    <mergeCell ref="A1:J1"/>
    <mergeCell ref="C4:E4"/>
    <mergeCell ref="F4:H4"/>
    <mergeCell ref="I4:I5"/>
    <mergeCell ref="J4:J5"/>
    <mergeCell ref="A4:A5"/>
    <mergeCell ref="B4:B5"/>
  </mergeCells>
  <phoneticPr fontId="3" type="noConversion"/>
  <conditionalFormatting sqref="J1:J1048576">
    <cfRule type="cellIs" dxfId="1" priority="1" stopIfTrue="1" operator="equal">
      <formula>"显著"</formula>
    </cfRule>
    <cfRule type="cellIs" dxfId="0" priority="2" stopIfTrue="1" operator="equal">
      <formula>"关注"</formula>
    </cfRule>
  </conditionalFormatting>
  <printOptions horizontalCentered="1" verticalCentered="1"/>
  <pageMargins left="0.27559055118110237" right="0.35433070866141736" top="0.42" bottom="0.25" header="0.39370078740157483" footer="0.21"/>
  <pageSetup paperSize="9" scale="90" orientation="landscape" blackAndWhite="1"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42</vt:i4>
      </vt:variant>
      <vt:variant>
        <vt:lpstr>命名范围</vt:lpstr>
      </vt:variant>
      <vt:variant>
        <vt:i4>38</vt:i4>
      </vt:variant>
    </vt:vector>
  </HeadingPairs>
  <TitlesOfParts>
    <vt:vector size="80" baseType="lpstr">
      <vt:lpstr>说明</vt:lpstr>
      <vt:lpstr>TEST</vt:lpstr>
      <vt:lpstr>报表格式</vt:lpstr>
      <vt:lpstr>年初BS审定</vt:lpstr>
      <vt:lpstr>上年PL审定</vt:lpstr>
      <vt:lpstr>期初核对BS</vt:lpstr>
      <vt:lpstr>期初核对PL</vt:lpstr>
      <vt:lpstr>母公司BS汇总</vt:lpstr>
      <vt:lpstr>母公司PL汇总</vt:lpstr>
      <vt:lpstr>母公司CF汇总</vt:lpstr>
      <vt:lpstr>母公司汇总抵销</vt:lpstr>
      <vt:lpstr>母公司账项调整</vt:lpstr>
      <vt:lpstr>母公司报表调整</vt:lpstr>
      <vt:lpstr>母公司TB资产</vt:lpstr>
      <vt:lpstr>母公司TB负债</vt:lpstr>
      <vt:lpstr>母公司TB损益</vt:lpstr>
      <vt:lpstr>TB母公司CF</vt:lpstr>
      <vt:lpstr>合并BS汇总</vt:lpstr>
      <vt:lpstr>合并PL汇总</vt:lpstr>
      <vt:lpstr>合并CF汇总</vt:lpstr>
      <vt:lpstr>权益抵销</vt:lpstr>
      <vt:lpstr>往来交易抵销</vt:lpstr>
      <vt:lpstr>合并报表调整 </vt:lpstr>
      <vt:lpstr>合并TB资产</vt:lpstr>
      <vt:lpstr>合并TB负债</vt:lpstr>
      <vt:lpstr>合并TB损益</vt:lpstr>
      <vt:lpstr> </vt:lpstr>
      <vt:lpstr>TB合并CF</vt:lpstr>
      <vt:lpstr>审定合并BS</vt:lpstr>
      <vt:lpstr>审定合并PL</vt:lpstr>
      <vt:lpstr>审定合并CF</vt:lpstr>
      <vt:lpstr>已审横向BS</vt:lpstr>
      <vt:lpstr>已审纵向BS</vt:lpstr>
      <vt:lpstr>已审横向PL</vt:lpstr>
      <vt:lpstr>已审纵向PL</vt:lpstr>
      <vt:lpstr>已审比率分析</vt:lpstr>
      <vt:lpstr>Q2-4 EPS-ROE(新)</vt:lpstr>
      <vt:lpstr>母已审横向BS</vt:lpstr>
      <vt:lpstr>母已审纵向BS</vt:lpstr>
      <vt:lpstr>母已审横向PL</vt:lpstr>
      <vt:lpstr>母已审纵向PL</vt:lpstr>
      <vt:lpstr>母已审比率分析</vt:lpstr>
      <vt:lpstr>'Q2-4 EPS-ROE(新)'!Print_Area</vt:lpstr>
      <vt:lpstr>TB合并CF!Print_Area</vt:lpstr>
      <vt:lpstr>TB母公司CF!Print_Area</vt:lpstr>
      <vt:lpstr>报表格式!Print_Area</vt:lpstr>
      <vt:lpstr>合并TB负债!Print_Area</vt:lpstr>
      <vt:lpstr>合并TB损益!Print_Area</vt:lpstr>
      <vt:lpstr>合并TB资产!Print_Area</vt:lpstr>
      <vt:lpstr>'合并报表调整 '!Print_Area</vt:lpstr>
      <vt:lpstr>母公司TB负债!Print_Area</vt:lpstr>
      <vt:lpstr>母公司TB损益!Print_Area</vt:lpstr>
      <vt:lpstr>母公司TB资产!Print_Area</vt:lpstr>
      <vt:lpstr>母公司报表调整!Print_Area</vt:lpstr>
      <vt:lpstr>母公司汇总抵销!Print_Area</vt:lpstr>
      <vt:lpstr>母公司账项调整!Print_Area</vt:lpstr>
      <vt:lpstr>母已审比率分析!Print_Area</vt:lpstr>
      <vt:lpstr>母已审纵向BS!Print_Area</vt:lpstr>
      <vt:lpstr>期初核对BS!Print_Area</vt:lpstr>
      <vt:lpstr>权益抵销!Print_Area</vt:lpstr>
      <vt:lpstr>审定合并BS!Print_Area</vt:lpstr>
      <vt:lpstr>审定合并CF!Print_Area</vt:lpstr>
      <vt:lpstr>审定合并PL!Print_Area</vt:lpstr>
      <vt:lpstr>往来交易抵销!Print_Area</vt:lpstr>
      <vt:lpstr>已审比率分析!Print_Area</vt:lpstr>
      <vt:lpstr>已审纵向BS!Print_Area</vt:lpstr>
      <vt:lpstr>TB合并CF!Print_Titles</vt:lpstr>
      <vt:lpstr>TB母公司CF!Print_Titles</vt:lpstr>
      <vt:lpstr>报表格式!Print_Titles</vt:lpstr>
      <vt:lpstr>合并TB负债!Print_Titles</vt:lpstr>
      <vt:lpstr>合并TB损益!Print_Titles</vt:lpstr>
      <vt:lpstr>合并TB资产!Print_Titles</vt:lpstr>
      <vt:lpstr>'合并报表调整 '!Print_Titles</vt:lpstr>
      <vt:lpstr>母公司TB负债!Print_Titles</vt:lpstr>
      <vt:lpstr>母公司TB损益!Print_Titles</vt:lpstr>
      <vt:lpstr>母公司TB资产!Print_Titles</vt:lpstr>
      <vt:lpstr>母已审比率分析!Print_Titles</vt:lpstr>
      <vt:lpstr>权益抵销!Print_Titles</vt:lpstr>
      <vt:lpstr>往来交易抵销!Print_Titles</vt:lpstr>
      <vt:lpstr>已审比率分析!Print_Titles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用户</cp:lastModifiedBy>
  <cp:lastPrinted>2018-12-05T01:51:57Z</cp:lastPrinted>
  <dcterms:created xsi:type="dcterms:W3CDTF">2000-02-14T12:03:30Z</dcterms:created>
  <dcterms:modified xsi:type="dcterms:W3CDTF">2019-12-31T04:24:33Z</dcterms:modified>
</cp:coreProperties>
</file>